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codeName="ThisWorkbook" defaultThemeVersion="166925"/>
  <mc:AlternateContent xmlns:mc="http://schemas.openxmlformats.org/markup-compatibility/2006">
    <mc:Choice Requires="x15">
      <x15ac:absPath xmlns:x15ac="http://schemas.microsoft.com/office/spreadsheetml/2010/11/ac" url="/Users/tinosolutionslimited/Desktop/LENOVO/TINO/DOCUMENTS/TINO SOLUTIONS LIMITED/"/>
    </mc:Choice>
  </mc:AlternateContent>
  <xr:revisionPtr revIDLastSave="0" documentId="13_ncr:1_{4FD874D9-6391-BF4D-9347-46971CCDA45E}" xr6:coauthVersionLast="47" xr6:coauthVersionMax="47" xr10:uidLastSave="{00000000-0000-0000-0000-000000000000}"/>
  <bookViews>
    <workbookView xWindow="0" yWindow="500" windowWidth="26880" windowHeight="16300" tabRatio="653" activeTab="2" xr2:uid="{00000000-000D-0000-FFFF-FFFF00000000}"/>
  </bookViews>
  <sheets>
    <sheet name="Items" sheetId="12" r:id="rId1"/>
    <sheet name="Client List" sheetId="13" r:id="rId2"/>
    <sheet name="INVOICE" sheetId="2" r:id="rId3"/>
    <sheet name="Customer Base" sheetId="6" r:id="rId4"/>
    <sheet name="T" sheetId="19" r:id="rId5"/>
    <sheet name="CABLE SIZING TOOL" sheetId="20" r:id="rId6"/>
  </sheets>
  <definedNames>
    <definedName name="_xlnm._FilterDatabase" localSheetId="1" hidden="1">'Client List'!$B$1:$H$1522</definedName>
    <definedName name="_xlnm._FilterDatabase" localSheetId="3" hidden="1">'Customer Base'!$C$34:$C$34</definedName>
    <definedName name="_xlnm._FilterDatabase" localSheetId="2" hidden="1">INVOICE!$K$13:$L$16</definedName>
    <definedName name="_xlnm._FilterDatabase" localSheetId="0" hidden="1">Items!$B$3:$I$686</definedName>
    <definedName name="Accesories_citel">OFFSET(Items!#REF!,,,COUNTA(#REF!))</definedName>
    <definedName name="BATTERY_TYPE">OFFSET(Items!#REF!,,,COUNTA(#REF!))</definedName>
    <definedName name="BYD_Lithium">Items!$AN$205:$AN$212</definedName>
    <definedName name="BYD_Solar_Panel">Items!$AN$242:$AN$243</definedName>
    <definedName name="CLIENT_info">OFFSET('Customer Base'!#REF!,,,COUNTA('Customer Base'!#REF!))</definedName>
    <definedName name="CurrentUser">#REF!</definedName>
    <definedName name="Deye">Items!$AN$77:$AN$83</definedName>
    <definedName name="EasySolar">Items!$AN$62</definedName>
    <definedName name="EasySolar_II">Items!$AN$64:$AN$66</definedName>
    <definedName name="Eco">Items!$AN$117:$AN$118</definedName>
    <definedName name="Freedom_Won">Items!#REF!</definedName>
    <definedName name="Galvo">Items!$AN$103:$AN$105</definedName>
    <definedName name="Gen_24_Primo">Items!$AN$122:$AN$124</definedName>
    <definedName name="Gen_24_Symo">Items!$AN$125:$AN$132</definedName>
    <definedName name="GX_MONITORING">OFFSET(Items!#REF!,,,COUNTA(#REF!))</definedName>
    <definedName name="Hoppecke_Lead_Acid">Items!$AN$234:$AN$236</definedName>
    <definedName name="Hoppecke_OPzS">Items!#REF!</definedName>
    <definedName name="Hoppecke_OPzV">Items!$AN$233:$AN$233</definedName>
    <definedName name="Huawei">Items!$AN$86:$AN$94</definedName>
    <definedName name="Huawei_Lithium">Items!$AN$217:$AN$219</definedName>
    <definedName name="JA_Solar_Panel">Items!#REF!</definedName>
    <definedName name="Jinko_Lithium">Items!$AN$215</definedName>
    <definedName name="Jinko_Solar_Panel">Items!$AN$245</definedName>
    <definedName name="LIST_OF_INVERTER_INVERTER">OFFSET(Items!$C$5,,,COUNTA(Items!$C:$C))</definedName>
    <definedName name="MPPT">OFFSET(#REF!,,,COUNTA(#REF!))</definedName>
    <definedName name="Multiplus">Items!$AN$26:$AN$45</definedName>
    <definedName name="Multiplus_II">Items!$AN$47:$AN$53</definedName>
    <definedName name="Multiplus_II_GX">Items!$AN$54:$AN$55</definedName>
    <definedName name="Phocos_B">Items!$AN$72</definedName>
    <definedName name="Phocos_H">Items!$AN$69:$AN$71</definedName>
    <definedName name="Phoenix">Items!$AN$6:$AN$24</definedName>
    <definedName name="Primo">Items!$AN$106:$AN$108</definedName>
    <definedName name="_xlnm.Print_Area" localSheetId="2">INVOICE!$A$2:$L$80</definedName>
    <definedName name="Quantity">OFFSET(#REF!,,,COUNTA(#REF!))</definedName>
    <definedName name="Quattro">Items!$AN$57:$AN$60</definedName>
    <definedName name="Select_Location">OFFSET('Customer Base'!#REF!,,,COUNTA('Customer Base'!#REF!))</definedName>
    <definedName name="Select_Solar_Panel_Type">OFFSET(Items!#REF!,,,COUNTA(#REF!))</definedName>
    <definedName name="Sharp_Solar_Panel">Items!$AN$249:$AN$249</definedName>
    <definedName name="SheetNames">OFFSET(#REF!,,,COUNTA(#REF!))</definedName>
    <definedName name="SHUNTS__FUSES_AND_FUSE_HOLDERS">OFFSET(Items!#REF!,,,COUNTA(#REF!))</definedName>
    <definedName name="Symo">Items!$AN$109:$AN$116</definedName>
    <definedName name="Tauro">Items!$AN$119:$AN$120</definedName>
    <definedName name="TOP_DC_AND_AC_SOLAR_CABLE">OFFSET(Items!$M$4,,,COUNTA(#REF!))</definedName>
    <definedName name="Victron_AGM">Items!$AN$221:$AN$231</definedName>
    <definedName name="VICTRON_CABLES">OFFSET(Items!#REF!,,,COUNTA(#REF!))</definedName>
    <definedName name="Victron_Gel">Items!$AN$232:$AN$232</definedName>
    <definedName name="Victron_Lead_Carbon">Items!#REF!</definedName>
    <definedName name="VICTRON_SMART_MPPT_SOLAR_CHARGE_CONTROLLERS">OFFSET(#REF!,,,COUNTA(#REF!))</definedName>
    <definedName name="Victron_Solar_Panel">Items!$AN$251:$AN$254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3" i="13" l="1"/>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3" i="13"/>
  <c r="F34" i="13"/>
  <c r="F35" i="13"/>
  <c r="F36" i="13"/>
  <c r="F37" i="13"/>
  <c r="F38" i="13"/>
  <c r="F39" i="13"/>
  <c r="F40" i="13"/>
  <c r="F41" i="13"/>
  <c r="F42" i="13"/>
  <c r="F43" i="13"/>
  <c r="F44" i="13"/>
  <c r="F45" i="13"/>
  <c r="F46" i="13"/>
  <c r="F47" i="13"/>
  <c r="F48" i="13"/>
  <c r="F49" i="13"/>
  <c r="F50" i="13"/>
  <c r="F51" i="13"/>
  <c r="F52" i="13"/>
  <c r="F53" i="13"/>
  <c r="F54" i="13"/>
  <c r="F55" i="13"/>
  <c r="F56" i="13"/>
  <c r="F57" i="13"/>
  <c r="F58" i="13"/>
  <c r="F59" i="13"/>
  <c r="F60" i="13"/>
  <c r="F61" i="13"/>
  <c r="F62" i="13"/>
  <c r="F63" i="13"/>
  <c r="F64" i="13"/>
  <c r="F65" i="13"/>
  <c r="F66" i="13"/>
  <c r="F67" i="13"/>
  <c r="F68" i="13"/>
  <c r="F69" i="13"/>
  <c r="F70" i="13"/>
  <c r="F71" i="13"/>
  <c r="F72" i="13"/>
  <c r="F73" i="13"/>
  <c r="F74" i="13"/>
  <c r="F75" i="13"/>
  <c r="F76" i="13"/>
  <c r="F77" i="13"/>
  <c r="F78" i="13"/>
  <c r="F79" i="13"/>
  <c r="F80" i="13"/>
  <c r="F81" i="13"/>
  <c r="F82" i="13"/>
  <c r="F83" i="13"/>
  <c r="F84" i="13"/>
  <c r="F85" i="13"/>
  <c r="F86" i="13"/>
  <c r="F87" i="13"/>
  <c r="F88" i="13"/>
  <c r="F89" i="13"/>
  <c r="F90" i="13"/>
  <c r="F91" i="13"/>
  <c r="F92" i="13"/>
  <c r="F93" i="13"/>
  <c r="F94" i="13"/>
  <c r="F95" i="13"/>
  <c r="F96" i="13"/>
  <c r="F97" i="13"/>
  <c r="F98" i="13"/>
  <c r="F99" i="13"/>
  <c r="F100" i="13"/>
  <c r="F101" i="13"/>
  <c r="F102" i="13"/>
  <c r="F103" i="13"/>
  <c r="F104" i="13"/>
  <c r="F105" i="13"/>
  <c r="F106" i="13"/>
  <c r="F107" i="13"/>
  <c r="F108" i="13"/>
  <c r="F109" i="13"/>
  <c r="F110" i="13"/>
  <c r="F111" i="13"/>
  <c r="F112" i="13"/>
  <c r="F113" i="13"/>
  <c r="F114" i="13"/>
  <c r="F115" i="13"/>
  <c r="F116" i="13"/>
  <c r="F117" i="13"/>
  <c r="F118" i="13"/>
  <c r="F119" i="13"/>
  <c r="F120" i="13"/>
  <c r="F121" i="13"/>
  <c r="F122" i="13"/>
  <c r="F123" i="13"/>
  <c r="F124" i="13"/>
  <c r="F125" i="13"/>
  <c r="F126" i="13"/>
  <c r="F127" i="13"/>
  <c r="F128" i="13"/>
  <c r="F129" i="13"/>
  <c r="F130" i="13"/>
  <c r="F131" i="13"/>
  <c r="F132" i="13"/>
  <c r="F133" i="13"/>
  <c r="F134" i="13"/>
  <c r="F135" i="13"/>
  <c r="F136" i="13"/>
  <c r="F137" i="13"/>
  <c r="F138" i="13"/>
  <c r="F139" i="13"/>
  <c r="F140" i="13"/>
  <c r="F141" i="13"/>
  <c r="F142" i="13"/>
  <c r="F143" i="13"/>
  <c r="F144" i="13"/>
  <c r="F145" i="13"/>
  <c r="F146" i="13"/>
  <c r="F147" i="13"/>
  <c r="F148" i="13"/>
  <c r="F149" i="13"/>
  <c r="F150" i="13"/>
  <c r="F151" i="13"/>
  <c r="F152" i="13"/>
  <c r="F153" i="13"/>
  <c r="F154" i="13"/>
  <c r="F155" i="13"/>
  <c r="F156" i="13"/>
  <c r="F157" i="13"/>
  <c r="F158" i="13"/>
  <c r="F159" i="13"/>
  <c r="F160" i="13"/>
  <c r="F161" i="13"/>
  <c r="F162" i="13"/>
  <c r="F163" i="13"/>
  <c r="F164" i="13"/>
  <c r="F165" i="13"/>
  <c r="F166" i="13"/>
  <c r="F167" i="13"/>
  <c r="F168" i="13"/>
  <c r="F169" i="13"/>
  <c r="F170" i="13"/>
  <c r="F171" i="13"/>
  <c r="F172" i="13"/>
  <c r="F173" i="13"/>
  <c r="F174" i="13"/>
  <c r="F175" i="13"/>
  <c r="F176" i="13"/>
  <c r="F177" i="13"/>
  <c r="F178" i="13"/>
  <c r="F179" i="13"/>
  <c r="F180" i="13"/>
  <c r="F181" i="13"/>
  <c r="F182" i="13"/>
  <c r="F183" i="13"/>
  <c r="F184" i="13"/>
  <c r="F185" i="13"/>
  <c r="F186" i="13"/>
  <c r="F187" i="13"/>
  <c r="F188" i="13"/>
  <c r="F189" i="13"/>
  <c r="F190" i="13"/>
  <c r="F191" i="13"/>
  <c r="F192" i="13"/>
  <c r="F193" i="13"/>
  <c r="F194" i="13"/>
  <c r="F195" i="13"/>
  <c r="F196" i="13"/>
  <c r="F197" i="13"/>
  <c r="F198" i="13"/>
  <c r="F199" i="13"/>
  <c r="F200" i="13"/>
  <c r="F201" i="13"/>
  <c r="F202" i="13"/>
  <c r="F203" i="13"/>
  <c r="F204" i="13"/>
  <c r="F205" i="13"/>
  <c r="F206" i="13"/>
  <c r="F207" i="13"/>
  <c r="F208" i="13"/>
  <c r="F209" i="13"/>
  <c r="F210" i="13"/>
  <c r="F211" i="13"/>
  <c r="F212" i="13"/>
  <c r="F213" i="13"/>
  <c r="F214" i="13"/>
  <c r="F215" i="13"/>
  <c r="F216" i="13"/>
  <c r="F217" i="13"/>
  <c r="F218" i="13"/>
  <c r="F219" i="13"/>
  <c r="F220" i="13"/>
  <c r="F221" i="13"/>
  <c r="F222" i="13"/>
  <c r="F223" i="13"/>
  <c r="F224" i="13"/>
  <c r="F225" i="13"/>
  <c r="F226" i="13"/>
  <c r="F227" i="13"/>
  <c r="F228" i="13"/>
  <c r="F229" i="13"/>
  <c r="F230" i="13"/>
  <c r="F231" i="13"/>
  <c r="F232" i="13"/>
  <c r="F233" i="13"/>
  <c r="F234" i="13"/>
  <c r="F235" i="13"/>
  <c r="F236" i="13"/>
  <c r="F237" i="13"/>
  <c r="F238" i="13"/>
  <c r="F239" i="13"/>
  <c r="F240" i="13"/>
  <c r="F241" i="13"/>
  <c r="F242" i="13"/>
  <c r="F243" i="13"/>
  <c r="F244" i="13"/>
  <c r="F245" i="13"/>
  <c r="F246" i="13"/>
  <c r="F247" i="13"/>
  <c r="F248" i="13"/>
  <c r="F249" i="13"/>
  <c r="F250" i="13"/>
  <c r="F251" i="13"/>
  <c r="F252" i="13"/>
  <c r="F253" i="13"/>
  <c r="F254" i="13"/>
  <c r="F255" i="13"/>
  <c r="F256" i="13"/>
  <c r="F257" i="13"/>
  <c r="F258" i="13"/>
  <c r="F259" i="13"/>
  <c r="F260" i="13"/>
  <c r="F261" i="13"/>
  <c r="F262" i="13"/>
  <c r="F263" i="13"/>
  <c r="F264" i="13"/>
  <c r="F265" i="13"/>
  <c r="F266" i="13"/>
  <c r="F267" i="13"/>
  <c r="F268" i="13"/>
  <c r="F269" i="13"/>
  <c r="F270" i="13"/>
  <c r="F271" i="13"/>
  <c r="F272" i="13"/>
  <c r="F273" i="13"/>
  <c r="F274" i="13"/>
  <c r="F275" i="13"/>
  <c r="F276" i="13"/>
  <c r="F277" i="13"/>
  <c r="F278" i="13"/>
  <c r="F279" i="13"/>
  <c r="F280" i="13"/>
  <c r="F281" i="13"/>
  <c r="F282"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F725" i="13"/>
  <c r="F726" i="13"/>
  <c r="F727" i="13"/>
  <c r="F728" i="13"/>
  <c r="F729" i="13"/>
  <c r="F730" i="13"/>
  <c r="F731" i="13"/>
  <c r="F732" i="13"/>
  <c r="F733" i="13"/>
  <c r="F734" i="13"/>
  <c r="F735" i="13"/>
  <c r="F736" i="13"/>
  <c r="F737" i="13"/>
  <c r="F738" i="13"/>
  <c r="F739" i="13"/>
  <c r="F740" i="13"/>
  <c r="F741" i="13"/>
  <c r="F742" i="13"/>
  <c r="F743" i="13"/>
  <c r="F744" i="13"/>
  <c r="F745" i="13"/>
  <c r="F746" i="13"/>
  <c r="F747" i="13"/>
  <c r="F748" i="13"/>
  <c r="F749" i="13"/>
  <c r="F750" i="13"/>
  <c r="F751" i="13"/>
  <c r="F752" i="13"/>
  <c r="F753" i="13"/>
  <c r="F754" i="13"/>
  <c r="F755" i="13"/>
  <c r="F756" i="13"/>
  <c r="F757" i="13"/>
  <c r="F758" i="13"/>
  <c r="F759" i="13"/>
  <c r="F760" i="13"/>
  <c r="F761" i="13"/>
  <c r="F762" i="13"/>
  <c r="F763" i="13"/>
  <c r="F764" i="13"/>
  <c r="F765" i="13"/>
  <c r="F766" i="13"/>
  <c r="F767" i="13"/>
  <c r="F768" i="13"/>
  <c r="F769" i="13"/>
  <c r="F770" i="13"/>
  <c r="F771" i="13"/>
  <c r="F772" i="13"/>
  <c r="F773" i="13"/>
  <c r="F774" i="13"/>
  <c r="F775" i="13"/>
  <c r="F776" i="13"/>
  <c r="F777" i="13"/>
  <c r="F778" i="13"/>
  <c r="F779" i="13"/>
  <c r="F780" i="13"/>
  <c r="F781" i="13"/>
  <c r="F782" i="13"/>
  <c r="F783" i="13"/>
  <c r="F784" i="13"/>
  <c r="F785" i="13"/>
  <c r="F786" i="13"/>
  <c r="F787" i="13"/>
  <c r="F788" i="13"/>
  <c r="F789" i="13"/>
  <c r="F790" i="13"/>
  <c r="F791" i="13"/>
  <c r="F792" i="13"/>
  <c r="F793" i="13"/>
  <c r="F794" i="13"/>
  <c r="F795" i="13"/>
  <c r="F796" i="13"/>
  <c r="F797" i="13"/>
  <c r="F798" i="13"/>
  <c r="F799" i="13"/>
  <c r="F800" i="13"/>
  <c r="F801" i="13"/>
  <c r="F802" i="13"/>
  <c r="F803" i="13"/>
  <c r="F804" i="13"/>
  <c r="F805" i="13"/>
  <c r="F806" i="13"/>
  <c r="F807" i="13"/>
  <c r="F808" i="13"/>
  <c r="F809" i="13"/>
  <c r="F810" i="13"/>
  <c r="F811" i="13"/>
  <c r="F812" i="13"/>
  <c r="F813" i="13"/>
  <c r="F814" i="13"/>
  <c r="F815" i="13"/>
  <c r="F816" i="13"/>
  <c r="F817" i="13"/>
  <c r="F818" i="13"/>
  <c r="F819" i="13"/>
  <c r="F820" i="13"/>
  <c r="F821" i="13"/>
  <c r="F822" i="13"/>
  <c r="F823" i="13"/>
  <c r="F824" i="13"/>
  <c r="F825" i="13"/>
  <c r="F826" i="13"/>
  <c r="F827" i="13"/>
  <c r="F828" i="13"/>
  <c r="F829" i="13"/>
  <c r="F830" i="13"/>
  <c r="F831" i="13"/>
  <c r="F832" i="13"/>
  <c r="F833" i="13"/>
  <c r="F834" i="13"/>
  <c r="F835" i="13"/>
  <c r="F836" i="13"/>
  <c r="F837" i="13"/>
  <c r="F838" i="13"/>
  <c r="F839" i="13"/>
  <c r="F840" i="13"/>
  <c r="F841" i="13"/>
  <c r="F842" i="13"/>
  <c r="F843" i="13"/>
  <c r="F844" i="13"/>
  <c r="F845" i="13"/>
  <c r="F846" i="13"/>
  <c r="F847" i="13"/>
  <c r="F848" i="13"/>
  <c r="F849" i="13"/>
  <c r="F850" i="13"/>
  <c r="F851" i="13"/>
  <c r="F852" i="13"/>
  <c r="F853" i="13"/>
  <c r="F854" i="13"/>
  <c r="F855" i="13"/>
  <c r="F856" i="13"/>
  <c r="F857" i="13"/>
  <c r="F858" i="13"/>
  <c r="F859" i="13"/>
  <c r="F860" i="13"/>
  <c r="F861" i="13"/>
  <c r="F862" i="13"/>
  <c r="F863" i="13"/>
  <c r="F864" i="13"/>
  <c r="F865" i="13"/>
  <c r="F866" i="13"/>
  <c r="F867" i="13"/>
  <c r="F868" i="13"/>
  <c r="F869" i="13"/>
  <c r="F870" i="13"/>
  <c r="F871" i="13"/>
  <c r="F872" i="13"/>
  <c r="F873" i="13"/>
  <c r="F874" i="13"/>
  <c r="F875" i="13"/>
  <c r="F876" i="13"/>
  <c r="F877" i="13"/>
  <c r="F878" i="13"/>
  <c r="F879" i="13"/>
  <c r="F880" i="13"/>
  <c r="F881" i="13"/>
  <c r="F882" i="13"/>
  <c r="F883" i="13"/>
  <c r="F884" i="13"/>
  <c r="F885" i="13"/>
  <c r="F886" i="13"/>
  <c r="F887" i="13"/>
  <c r="F888" i="13"/>
  <c r="F889" i="13"/>
  <c r="F890" i="13"/>
  <c r="F891" i="13"/>
  <c r="F892" i="13"/>
  <c r="F893" i="13"/>
  <c r="F894" i="13"/>
  <c r="F895" i="13"/>
  <c r="F896" i="13"/>
  <c r="F897" i="13"/>
  <c r="F898" i="13"/>
  <c r="F899" i="13"/>
  <c r="F900" i="13"/>
  <c r="F901" i="13"/>
  <c r="F902" i="13"/>
  <c r="F903" i="13"/>
  <c r="F904" i="13"/>
  <c r="F905" i="13"/>
  <c r="F906" i="13"/>
  <c r="F907" i="13"/>
  <c r="F908" i="13"/>
  <c r="F909" i="13"/>
  <c r="F910" i="13"/>
  <c r="F911" i="13"/>
  <c r="F912" i="13"/>
  <c r="F913" i="13"/>
  <c r="F914" i="13"/>
  <c r="F915" i="13"/>
  <c r="F916" i="13"/>
  <c r="F917" i="13"/>
  <c r="F918" i="13"/>
  <c r="F919" i="13"/>
  <c r="F920" i="13"/>
  <c r="F921" i="13"/>
  <c r="F922" i="13"/>
  <c r="F923" i="13"/>
  <c r="F924" i="13"/>
  <c r="F925" i="13"/>
  <c r="F926" i="13"/>
  <c r="F927" i="13"/>
  <c r="F928" i="13"/>
  <c r="F929" i="13"/>
  <c r="F930" i="13"/>
  <c r="F931" i="13"/>
  <c r="F932" i="13"/>
  <c r="F933" i="13"/>
  <c r="F934" i="13"/>
  <c r="F935" i="13"/>
  <c r="F936" i="13"/>
  <c r="F937" i="13"/>
  <c r="F938" i="13"/>
  <c r="F939" i="13"/>
  <c r="F940" i="13"/>
  <c r="F941" i="13"/>
  <c r="F942" i="13"/>
  <c r="F943" i="13"/>
  <c r="F944" i="13"/>
  <c r="F945" i="13"/>
  <c r="F946" i="13"/>
  <c r="F947" i="13"/>
  <c r="F948" i="13"/>
  <c r="F949" i="13"/>
  <c r="F950" i="13"/>
  <c r="F951" i="13"/>
  <c r="F952" i="13"/>
  <c r="F953" i="13"/>
  <c r="F954" i="13"/>
  <c r="F955" i="13"/>
  <c r="F956" i="13"/>
  <c r="F957" i="13"/>
  <c r="F958" i="13"/>
  <c r="F959" i="13"/>
  <c r="F960" i="13"/>
  <c r="F961" i="13"/>
  <c r="F962" i="13"/>
  <c r="F963" i="13"/>
  <c r="F964" i="13"/>
  <c r="F965" i="13"/>
  <c r="F966" i="13"/>
  <c r="F967" i="13"/>
  <c r="F968" i="13"/>
  <c r="F969" i="13"/>
  <c r="F970" i="13"/>
  <c r="F971" i="13"/>
  <c r="F972" i="13"/>
  <c r="F973" i="13"/>
  <c r="F974" i="13"/>
  <c r="F975" i="13"/>
  <c r="F976" i="13"/>
  <c r="F977" i="13"/>
  <c r="F978" i="13"/>
  <c r="F979" i="13"/>
  <c r="F980" i="13"/>
  <c r="F981" i="13"/>
  <c r="F982" i="13"/>
  <c r="F983" i="13"/>
  <c r="F984" i="13"/>
  <c r="F985" i="13"/>
  <c r="F986" i="13"/>
  <c r="F987" i="13"/>
  <c r="F988" i="13"/>
  <c r="F989" i="13"/>
  <c r="F990" i="13"/>
  <c r="F991" i="13"/>
  <c r="F992" i="13"/>
  <c r="F993" i="13"/>
  <c r="F994" i="13"/>
  <c r="F995" i="13"/>
  <c r="F996" i="13"/>
  <c r="F997" i="13"/>
  <c r="F998" i="13"/>
  <c r="F999" i="13"/>
  <c r="F1000" i="13"/>
  <c r="F1001" i="13"/>
  <c r="F1002" i="13"/>
  <c r="F1003" i="13"/>
  <c r="F1004" i="13"/>
  <c r="F1005" i="13"/>
  <c r="F1006" i="13"/>
  <c r="F1007" i="13"/>
  <c r="F1008" i="13"/>
  <c r="F1009" i="13"/>
  <c r="F1010" i="13"/>
  <c r="F1011" i="13"/>
  <c r="F1012" i="13"/>
  <c r="F1013" i="13"/>
  <c r="F1014" i="13"/>
  <c r="F1015" i="13"/>
  <c r="F1016" i="13"/>
  <c r="F1017" i="13"/>
  <c r="F1018" i="13"/>
  <c r="F1019" i="13"/>
  <c r="F1020" i="13"/>
  <c r="F1021" i="13"/>
  <c r="F1022" i="13"/>
  <c r="F1023" i="13"/>
  <c r="F1024" i="13"/>
  <c r="F1025" i="13"/>
  <c r="F1026" i="13"/>
  <c r="F1027" i="13"/>
  <c r="F1028" i="13"/>
  <c r="F1029" i="13"/>
  <c r="F1030" i="13"/>
  <c r="F1031" i="13"/>
  <c r="F1032" i="13"/>
  <c r="F1033" i="13"/>
  <c r="F1034" i="13"/>
  <c r="F1035" i="13"/>
  <c r="F1036" i="13"/>
  <c r="F1037" i="13"/>
  <c r="F1038" i="13"/>
  <c r="F1039" i="13"/>
  <c r="F1040" i="13"/>
  <c r="F1041" i="13"/>
  <c r="F1042" i="13"/>
  <c r="F1043" i="13"/>
  <c r="F1044" i="13"/>
  <c r="F1045" i="13"/>
  <c r="F1046" i="13"/>
  <c r="F1047" i="13"/>
  <c r="F1048" i="13"/>
  <c r="F1049" i="13"/>
  <c r="F1050" i="13"/>
  <c r="F1051" i="13"/>
  <c r="F1052" i="13"/>
  <c r="F1053" i="13"/>
  <c r="F1054" i="13"/>
  <c r="F1055" i="13"/>
  <c r="F1056" i="13"/>
  <c r="F1057" i="13"/>
  <c r="F1058" i="13"/>
  <c r="F1059" i="13"/>
  <c r="F1060" i="13"/>
  <c r="F1061" i="13"/>
  <c r="F1062" i="13"/>
  <c r="F1063" i="13"/>
  <c r="F1064" i="13"/>
  <c r="F1065" i="13"/>
  <c r="F1066" i="13"/>
  <c r="F1067" i="13"/>
  <c r="F1068" i="13"/>
  <c r="F1069" i="13"/>
  <c r="F1070" i="13"/>
  <c r="F1071" i="13"/>
  <c r="F1072" i="13"/>
  <c r="F1073" i="13"/>
  <c r="F1074" i="13"/>
  <c r="F1075" i="13"/>
  <c r="F1076" i="13"/>
  <c r="F1077" i="13"/>
  <c r="F1078" i="13"/>
  <c r="F1079" i="13"/>
  <c r="F1080" i="13"/>
  <c r="F1081" i="13"/>
  <c r="F1082" i="13"/>
  <c r="F1083" i="13"/>
  <c r="F1084" i="13"/>
  <c r="F1085" i="13"/>
  <c r="F1086" i="13"/>
  <c r="F1087" i="13"/>
  <c r="F1088" i="13"/>
  <c r="F1089" i="13"/>
  <c r="F1090" i="13"/>
  <c r="F1091" i="13"/>
  <c r="F1092" i="13"/>
  <c r="F1093" i="13"/>
  <c r="F1094" i="13"/>
  <c r="F1095" i="13"/>
  <c r="F1096" i="13"/>
  <c r="F1097" i="13"/>
  <c r="F1098" i="13"/>
  <c r="F1099" i="13"/>
  <c r="F1100" i="13"/>
  <c r="F1101" i="13"/>
  <c r="F1102" i="13"/>
  <c r="F1103" i="13"/>
  <c r="F1104" i="13"/>
  <c r="F1105" i="13"/>
  <c r="F1106" i="13"/>
  <c r="F1107" i="13"/>
  <c r="F1108" i="13"/>
  <c r="F1109" i="13"/>
  <c r="F1110" i="13"/>
  <c r="F1111" i="13"/>
  <c r="F1112" i="13"/>
  <c r="F1113" i="13"/>
  <c r="F1114" i="13"/>
  <c r="F1115" i="13"/>
  <c r="F1116" i="13"/>
  <c r="F1117" i="13"/>
  <c r="F1118" i="13"/>
  <c r="F1119" i="13"/>
  <c r="F1120" i="13"/>
  <c r="F1121" i="13"/>
  <c r="F1122" i="13"/>
  <c r="F1123" i="13"/>
  <c r="F1124" i="13"/>
  <c r="F1125" i="13"/>
  <c r="F1126" i="13"/>
  <c r="F1127" i="13"/>
  <c r="F1128" i="13"/>
  <c r="F1129" i="13"/>
  <c r="F1130" i="13"/>
  <c r="F1131" i="13"/>
  <c r="F1132" i="13"/>
  <c r="F1133" i="13"/>
  <c r="F1134" i="13"/>
  <c r="F1135" i="13"/>
  <c r="F1136" i="13"/>
  <c r="F1137" i="13"/>
  <c r="F1138" i="13"/>
  <c r="F1139" i="13"/>
  <c r="F1140" i="13"/>
  <c r="F1141" i="13"/>
  <c r="F1142" i="13"/>
  <c r="F1143" i="13"/>
  <c r="F1144" i="13"/>
  <c r="F1145" i="13"/>
  <c r="F1146" i="13"/>
  <c r="F1147" i="13"/>
  <c r="F1148" i="13"/>
  <c r="F1149" i="13"/>
  <c r="F1150" i="13"/>
  <c r="F1151" i="13"/>
  <c r="F1152" i="13"/>
  <c r="F1153" i="13"/>
  <c r="F1154" i="13"/>
  <c r="F1155" i="13"/>
  <c r="F1156" i="13"/>
  <c r="F1157" i="13"/>
  <c r="F1158" i="13"/>
  <c r="F1159" i="13"/>
  <c r="F1160" i="13"/>
  <c r="F1161" i="13"/>
  <c r="F1162" i="13"/>
  <c r="F1163" i="13"/>
  <c r="F1164" i="13"/>
  <c r="F1165" i="13"/>
  <c r="F1166" i="13"/>
  <c r="F1167" i="13"/>
  <c r="F1168" i="13"/>
  <c r="F1169" i="13"/>
  <c r="F1170" i="13"/>
  <c r="F1171" i="13"/>
  <c r="F1172" i="13"/>
  <c r="F1173" i="13"/>
  <c r="F1174" i="13"/>
  <c r="F1175" i="13"/>
  <c r="F1176" i="13"/>
  <c r="F1177" i="13"/>
  <c r="F1178" i="13"/>
  <c r="F1179" i="13"/>
  <c r="F1180" i="13"/>
  <c r="F1181" i="13"/>
  <c r="F1182" i="13"/>
  <c r="F1183" i="13"/>
  <c r="F1184" i="13"/>
  <c r="F1185" i="13"/>
  <c r="F1186" i="13"/>
  <c r="F1187" i="13"/>
  <c r="F1188" i="13"/>
  <c r="F1189" i="13"/>
  <c r="F1190" i="13"/>
  <c r="F1191" i="13"/>
  <c r="F1192" i="13"/>
  <c r="F1193" i="13"/>
  <c r="F1194" i="13"/>
  <c r="F1195" i="13"/>
  <c r="F1196" i="13"/>
  <c r="F1197" i="13"/>
  <c r="F1198" i="13"/>
  <c r="F1199" i="13"/>
  <c r="F1200" i="13"/>
  <c r="F1201" i="13"/>
  <c r="F1202" i="13"/>
  <c r="F1203" i="13"/>
  <c r="F1204" i="13"/>
  <c r="F1205" i="13"/>
  <c r="F1206" i="13"/>
  <c r="F1207" i="13"/>
  <c r="F1208" i="13"/>
  <c r="F1209" i="13"/>
  <c r="F1210" i="13"/>
  <c r="F1211" i="13"/>
  <c r="F1212" i="13"/>
  <c r="F1213" i="13"/>
  <c r="F1214" i="13"/>
  <c r="F1215" i="13"/>
  <c r="F1216" i="13"/>
  <c r="F1217" i="13"/>
  <c r="F1218" i="13"/>
  <c r="F1219" i="13"/>
  <c r="F1220" i="13"/>
  <c r="F1221" i="13"/>
  <c r="F1222" i="13"/>
  <c r="F1223" i="13"/>
  <c r="F1224" i="13"/>
  <c r="F1225" i="13"/>
  <c r="F1226" i="13"/>
  <c r="F1227" i="13"/>
  <c r="F1228" i="13"/>
  <c r="F1229" i="13"/>
  <c r="F1230" i="13"/>
  <c r="F1231" i="13"/>
  <c r="F1232" i="13"/>
  <c r="F1233" i="13"/>
  <c r="F1234" i="13"/>
  <c r="F1235" i="13"/>
  <c r="F1236" i="13"/>
  <c r="F1237" i="13"/>
  <c r="F1238" i="13"/>
  <c r="F1239" i="13"/>
  <c r="F1240" i="13"/>
  <c r="F1241" i="13"/>
  <c r="F1242" i="13"/>
  <c r="F1243" i="13"/>
  <c r="F1244" i="13"/>
  <c r="F1245" i="13"/>
  <c r="F1246" i="13"/>
  <c r="F1247" i="13"/>
  <c r="F1248" i="13"/>
  <c r="F1249" i="13"/>
  <c r="F1250" i="13"/>
  <c r="F1251" i="13"/>
  <c r="F1252" i="13"/>
  <c r="F1253" i="13"/>
  <c r="F1254" i="13"/>
  <c r="F1255" i="13"/>
  <c r="F1256" i="13"/>
  <c r="F1257" i="13"/>
  <c r="F1258" i="13"/>
  <c r="F1259" i="13"/>
  <c r="F1260" i="13"/>
  <c r="F1261" i="13"/>
  <c r="F1262" i="13"/>
  <c r="F1263" i="13"/>
  <c r="F1264" i="13"/>
  <c r="F1265" i="13"/>
  <c r="F1266" i="13"/>
  <c r="F1267" i="13"/>
  <c r="F1268" i="13"/>
  <c r="F1269" i="13"/>
  <c r="F1270" i="13"/>
  <c r="F1271" i="13"/>
  <c r="F1272" i="13"/>
  <c r="F1273" i="13"/>
  <c r="F1274" i="13"/>
  <c r="F1275" i="13"/>
  <c r="F1276" i="13"/>
  <c r="F1277" i="13"/>
  <c r="F1278" i="13"/>
  <c r="F1279" i="13"/>
  <c r="F1280" i="13"/>
  <c r="F1281" i="13"/>
  <c r="F1282" i="13"/>
  <c r="F1283" i="13"/>
  <c r="F1284" i="13"/>
  <c r="F1285" i="13"/>
  <c r="F1286" i="13"/>
  <c r="F1287" i="13"/>
  <c r="F1288" i="13"/>
  <c r="F1289" i="13"/>
  <c r="F1290" i="13"/>
  <c r="F1291" i="13"/>
  <c r="F1292" i="13"/>
  <c r="F1293" i="13"/>
  <c r="F1294" i="13"/>
  <c r="F1295" i="13"/>
  <c r="F1296" i="13"/>
  <c r="F1297" i="13"/>
  <c r="F1298" i="13"/>
  <c r="F1299" i="13"/>
  <c r="F1300" i="13"/>
  <c r="F1301" i="13"/>
  <c r="F1302" i="13"/>
  <c r="F1303" i="13"/>
  <c r="F1304" i="13"/>
  <c r="F1305" i="13"/>
  <c r="F1306" i="13"/>
  <c r="F1307" i="13"/>
  <c r="F1308" i="13"/>
  <c r="F1309" i="13"/>
  <c r="F1310" i="13"/>
  <c r="F1311" i="13"/>
  <c r="F1312" i="13"/>
  <c r="F1313" i="13"/>
  <c r="F1314" i="13"/>
  <c r="F1315" i="13"/>
  <c r="F1316" i="13"/>
  <c r="F1317" i="13"/>
  <c r="F1318" i="13"/>
  <c r="F1319" i="13"/>
  <c r="F1320" i="13"/>
  <c r="F1321" i="13"/>
  <c r="F1322" i="13"/>
  <c r="F1323" i="13"/>
  <c r="F1324" i="13"/>
  <c r="F1325" i="13"/>
  <c r="F1326" i="13"/>
  <c r="F1327" i="13"/>
  <c r="F1328" i="13"/>
  <c r="F1329" i="13"/>
  <c r="F1330" i="13"/>
  <c r="F1331" i="13"/>
  <c r="F1332" i="13"/>
  <c r="F1333" i="13"/>
  <c r="F1334" i="13"/>
  <c r="F1335" i="13"/>
  <c r="F1336" i="13"/>
  <c r="F1337" i="13"/>
  <c r="F1338" i="13"/>
  <c r="F1339" i="13"/>
  <c r="F1340" i="13"/>
  <c r="F1341" i="13"/>
  <c r="F1342" i="13"/>
  <c r="F1343" i="13"/>
  <c r="F1344" i="13"/>
  <c r="F1345" i="13"/>
  <c r="F1346" i="13"/>
  <c r="F1347" i="13"/>
  <c r="F1348" i="13"/>
  <c r="F1349" i="13"/>
  <c r="F1350" i="13"/>
  <c r="F1351" i="13"/>
  <c r="F1352" i="13"/>
  <c r="F1353" i="13"/>
  <c r="F1354" i="13"/>
  <c r="F1355" i="13"/>
  <c r="F1356" i="13"/>
  <c r="F1357" i="13"/>
  <c r="F1358" i="13"/>
  <c r="F1359" i="13"/>
  <c r="F1360" i="13"/>
  <c r="F1361" i="13"/>
  <c r="F1362" i="13"/>
  <c r="F1363" i="13"/>
  <c r="F1364" i="13"/>
  <c r="F1365" i="13"/>
  <c r="F1366" i="13"/>
  <c r="F1367" i="13"/>
  <c r="F1368" i="13"/>
  <c r="F1369" i="13"/>
  <c r="F1370" i="13"/>
  <c r="F1371" i="13"/>
  <c r="F1372" i="13"/>
  <c r="F1373" i="13"/>
  <c r="F1374" i="13"/>
  <c r="F1375" i="13"/>
  <c r="F1376" i="13"/>
  <c r="F1377" i="13"/>
  <c r="F1378" i="13"/>
  <c r="F1379" i="13"/>
  <c r="F1380" i="13"/>
  <c r="F1381" i="13"/>
  <c r="F1382" i="13"/>
  <c r="F1383" i="13"/>
  <c r="F1384" i="13"/>
  <c r="F1385" i="13"/>
  <c r="F1386" i="13"/>
  <c r="F1387" i="13"/>
  <c r="F1388" i="13"/>
  <c r="F1389" i="13"/>
  <c r="F1390" i="13"/>
  <c r="F1391" i="13"/>
  <c r="F1392" i="13"/>
  <c r="F1393" i="13"/>
  <c r="F1394" i="13"/>
  <c r="F1395" i="13"/>
  <c r="F1396" i="13"/>
  <c r="F1397" i="13"/>
  <c r="F1398" i="13"/>
  <c r="F1399" i="13"/>
  <c r="F1400" i="13"/>
  <c r="F1401" i="13"/>
  <c r="F1402" i="13"/>
  <c r="F1403" i="13"/>
  <c r="F1404" i="13"/>
  <c r="F1405" i="13"/>
  <c r="F1406" i="13"/>
  <c r="F1407" i="13"/>
  <c r="F1408" i="13"/>
  <c r="F1409" i="13"/>
  <c r="F1410" i="13"/>
  <c r="F1411" i="13"/>
  <c r="F1412" i="13"/>
  <c r="F1413" i="13"/>
  <c r="F1414" i="13"/>
  <c r="F1415" i="13"/>
  <c r="F1416" i="13"/>
  <c r="F1417" i="13"/>
  <c r="F1418" i="13"/>
  <c r="F1419" i="13"/>
  <c r="F1420" i="13"/>
  <c r="F1421" i="13"/>
  <c r="F1422" i="13"/>
  <c r="F1423" i="13"/>
  <c r="F1424" i="13"/>
  <c r="F1425" i="13"/>
  <c r="F1426" i="13"/>
  <c r="F1427" i="13"/>
  <c r="F1428" i="13"/>
  <c r="F1429" i="13"/>
  <c r="F1430" i="13"/>
  <c r="F1431" i="13"/>
  <c r="F1432" i="13"/>
  <c r="F1433" i="13"/>
  <c r="F1434" i="13"/>
  <c r="F1435" i="13"/>
  <c r="F1436" i="13"/>
  <c r="F1437" i="13"/>
  <c r="F1438" i="13"/>
  <c r="F1439" i="13"/>
  <c r="F1440" i="13"/>
  <c r="F1441" i="13"/>
  <c r="F1442" i="13"/>
  <c r="F1443" i="13"/>
  <c r="F1444" i="13"/>
  <c r="F1445" i="13"/>
  <c r="F1446" i="13"/>
  <c r="F1447" i="13"/>
  <c r="F1448" i="13"/>
  <c r="F1449" i="13"/>
  <c r="F1450" i="13"/>
  <c r="F1451" i="13"/>
  <c r="F1452" i="13"/>
  <c r="F1453" i="13"/>
  <c r="F1454" i="13"/>
  <c r="F1455" i="13"/>
  <c r="F1456" i="13"/>
  <c r="F1457" i="13"/>
  <c r="F1458" i="13"/>
  <c r="F1459" i="13"/>
  <c r="F1460" i="13"/>
  <c r="F1461" i="13"/>
  <c r="F1462" i="13"/>
  <c r="F1463" i="13"/>
  <c r="F1464" i="13"/>
  <c r="F1465" i="13"/>
  <c r="F1466" i="13"/>
  <c r="F1467" i="13"/>
  <c r="F1468" i="13"/>
  <c r="F1469" i="13"/>
  <c r="F1470" i="13"/>
  <c r="F1471" i="13"/>
  <c r="F1472" i="13"/>
  <c r="F1473" i="13"/>
  <c r="F1474" i="13"/>
  <c r="F1475" i="13"/>
  <c r="F1476" i="13"/>
  <c r="F1477" i="13"/>
  <c r="F1478" i="13"/>
  <c r="F1479" i="13"/>
  <c r="F1480" i="13"/>
  <c r="F1481" i="13"/>
  <c r="F1482" i="13"/>
  <c r="F1483" i="13"/>
  <c r="F1484" i="13"/>
  <c r="F1485" i="13"/>
  <c r="F1486" i="13"/>
  <c r="F1487" i="13"/>
  <c r="F1488" i="13"/>
  <c r="F1489" i="13"/>
  <c r="F1490" i="13"/>
  <c r="F1491" i="13"/>
  <c r="F1492" i="13"/>
  <c r="F1493" i="13"/>
  <c r="F1494" i="13"/>
  <c r="F1495" i="13"/>
  <c r="F1496" i="13"/>
  <c r="F1497" i="13"/>
  <c r="F1498" i="13"/>
  <c r="F1499" i="13"/>
  <c r="F1500" i="13"/>
  <c r="F1501" i="13"/>
  <c r="F1502" i="13"/>
  <c r="F1503" i="13"/>
  <c r="F1504" i="13"/>
  <c r="F1505" i="13"/>
  <c r="F1506" i="13"/>
  <c r="F1507" i="13"/>
  <c r="F1508" i="13"/>
  <c r="F1509" i="13"/>
  <c r="F1510" i="13"/>
  <c r="F1511" i="13"/>
  <c r="F1512" i="13"/>
  <c r="F1513" i="13"/>
  <c r="F1514" i="13"/>
  <c r="F1515" i="13"/>
  <c r="F1516" i="13"/>
  <c r="F1517" i="13"/>
  <c r="F1518" i="13"/>
  <c r="F1519" i="13"/>
  <c r="F1520" i="13"/>
  <c r="F1521" i="13"/>
  <c r="F1522" i="13"/>
  <c r="F2" i="13"/>
  <c r="V15" i="2" l="1"/>
  <c r="A207" i="12"/>
  <c r="E27" i="6"/>
  <c r="P2" i="12"/>
  <c r="A426" i="12"/>
  <c r="J36" i="12"/>
  <c r="L36" i="12" s="1"/>
  <c r="J37" i="12"/>
  <c r="L37" i="12" s="1"/>
  <c r="K59" i="2"/>
  <c r="K60" i="2"/>
  <c r="K61" i="2"/>
  <c r="E519" i="12"/>
  <c r="D519" i="12"/>
  <c r="H484" i="12" l="1"/>
  <c r="I484" i="12" s="1"/>
  <c r="F484" i="12"/>
  <c r="G484" i="12" s="1"/>
  <c r="H474" i="12"/>
  <c r="I474" i="12" s="1"/>
  <c r="H475" i="12"/>
  <c r="I475" i="12" s="1"/>
  <c r="H476" i="12"/>
  <c r="I476" i="12" s="1"/>
  <c r="F474" i="12"/>
  <c r="G474" i="12" s="1"/>
  <c r="F434" i="12"/>
  <c r="G434" i="12" s="1"/>
  <c r="H434" i="12"/>
  <c r="I434" i="12" s="1"/>
  <c r="F435" i="12"/>
  <c r="G435" i="12" s="1"/>
  <c r="H435" i="12"/>
  <c r="I435" i="12" s="1"/>
  <c r="F436" i="12"/>
  <c r="G436" i="12" s="1"/>
  <c r="H436" i="12"/>
  <c r="I436" i="12" s="1"/>
  <c r="F437" i="12"/>
  <c r="G437" i="12" s="1"/>
  <c r="H437" i="12"/>
  <c r="I437" i="12" s="1"/>
  <c r="F438" i="12"/>
  <c r="G438" i="12" s="1"/>
  <c r="H438" i="12"/>
  <c r="I438" i="12" s="1"/>
  <c r="F439" i="12"/>
  <c r="G439" i="12" s="1"/>
  <c r="H439" i="12"/>
  <c r="I439" i="12" s="1"/>
  <c r="F440" i="12"/>
  <c r="G440" i="12" s="1"/>
  <c r="H440" i="12"/>
  <c r="I440" i="12" s="1"/>
  <c r="F441" i="12"/>
  <c r="G441" i="12" s="1"/>
  <c r="H441" i="12"/>
  <c r="I441" i="12" s="1"/>
  <c r="F442" i="12"/>
  <c r="G442" i="12" s="1"/>
  <c r="H442" i="12"/>
  <c r="I442" i="12" s="1"/>
  <c r="F443" i="12"/>
  <c r="G443" i="12" s="1"/>
  <c r="H443" i="12"/>
  <c r="I443" i="12" s="1"/>
  <c r="F444" i="12"/>
  <c r="G444" i="12" s="1"/>
  <c r="H444" i="12"/>
  <c r="I444" i="12" s="1"/>
  <c r="F445" i="12"/>
  <c r="G445" i="12" s="1"/>
  <c r="H445" i="12"/>
  <c r="I445" i="12" s="1"/>
  <c r="F446" i="12"/>
  <c r="G446" i="12" s="1"/>
  <c r="H446" i="12"/>
  <c r="I446" i="12" s="1"/>
  <c r="F447" i="12"/>
  <c r="G447" i="12" s="1"/>
  <c r="H447" i="12"/>
  <c r="I447" i="12" s="1"/>
  <c r="F448" i="12"/>
  <c r="G448" i="12" s="1"/>
  <c r="H448" i="12"/>
  <c r="I448" i="12" s="1"/>
  <c r="F449" i="12"/>
  <c r="G449" i="12" s="1"/>
  <c r="H449" i="12"/>
  <c r="I449" i="12" s="1"/>
  <c r="F450" i="12"/>
  <c r="G450" i="12" s="1"/>
  <c r="H450" i="12"/>
  <c r="I450" i="12" s="1"/>
  <c r="F414" i="12"/>
  <c r="G414" i="12" s="1"/>
  <c r="H414" i="12"/>
  <c r="I414" i="12" s="1"/>
  <c r="F415" i="12"/>
  <c r="H415" i="12"/>
  <c r="I415" i="12" s="1"/>
  <c r="F416" i="12"/>
  <c r="G416" i="12" s="1"/>
  <c r="H416" i="12"/>
  <c r="I416" i="12" s="1"/>
  <c r="F417" i="12"/>
  <c r="G417" i="12" s="1"/>
  <c r="H417" i="12"/>
  <c r="I417" i="12" s="1"/>
  <c r="F418" i="12"/>
  <c r="G418" i="12" s="1"/>
  <c r="H418" i="12"/>
  <c r="I418" i="12" s="1"/>
  <c r="F419" i="12"/>
  <c r="G419" i="12" s="1"/>
  <c r="H419" i="12"/>
  <c r="I419" i="12" s="1"/>
  <c r="F420" i="12"/>
  <c r="G420" i="12" s="1"/>
  <c r="H420" i="12"/>
  <c r="I420" i="12" s="1"/>
  <c r="F421" i="12"/>
  <c r="G421" i="12" s="1"/>
  <c r="H421" i="12"/>
  <c r="I421" i="12" s="1"/>
  <c r="F62" i="12"/>
  <c r="G62" i="12" s="1"/>
  <c r="H62" i="12"/>
  <c r="I62" i="12" s="1"/>
  <c r="F63" i="12"/>
  <c r="G63" i="12" s="1"/>
  <c r="H63" i="12"/>
  <c r="I63" i="12" s="1"/>
  <c r="F299" i="12"/>
  <c r="G299" i="12" s="1"/>
  <c r="H299" i="12"/>
  <c r="I299" i="12" s="1"/>
  <c r="F300" i="12"/>
  <c r="G300" i="12" s="1"/>
  <c r="H300" i="12"/>
  <c r="I300" i="12" s="1"/>
  <c r="F301" i="12"/>
  <c r="G301" i="12" s="1"/>
  <c r="H301" i="12"/>
  <c r="I301" i="12" s="1"/>
  <c r="F302" i="12"/>
  <c r="G302" i="12" s="1"/>
  <c r="H302" i="12"/>
  <c r="I302" i="12" s="1"/>
  <c r="F303" i="12"/>
  <c r="G303" i="12" s="1"/>
  <c r="H303" i="12"/>
  <c r="I303" i="12" s="1"/>
  <c r="F304" i="12"/>
  <c r="G304" i="12" s="1"/>
  <c r="H304" i="12"/>
  <c r="I304" i="12" s="1"/>
  <c r="F305" i="12"/>
  <c r="G305" i="12" s="1"/>
  <c r="H305" i="12"/>
  <c r="I305" i="12" s="1"/>
  <c r="F306" i="12"/>
  <c r="G306" i="12" s="1"/>
  <c r="H306" i="12"/>
  <c r="I306" i="12" s="1"/>
  <c r="F307" i="12"/>
  <c r="G307" i="12" s="1"/>
  <c r="H307" i="12"/>
  <c r="I307" i="12" s="1"/>
  <c r="F316" i="12"/>
  <c r="G316" i="12" s="1"/>
  <c r="H316" i="12"/>
  <c r="I316" i="12" s="1"/>
  <c r="F324" i="12"/>
  <c r="G324" i="12" s="1"/>
  <c r="H324" i="12"/>
  <c r="I324" i="12" s="1"/>
  <c r="F325" i="12"/>
  <c r="G325" i="12" s="1"/>
  <c r="H325" i="12"/>
  <c r="I325" i="12" s="1"/>
  <c r="F326" i="12"/>
  <c r="G326" i="12" s="1"/>
  <c r="H326" i="12"/>
  <c r="I326" i="12" s="1"/>
  <c r="F327" i="12"/>
  <c r="G327" i="12" s="1"/>
  <c r="H327" i="12"/>
  <c r="I327" i="12" s="1"/>
  <c r="F328" i="12"/>
  <c r="G328" i="12" s="1"/>
  <c r="H328" i="12"/>
  <c r="I328" i="12" s="1"/>
  <c r="F329" i="12"/>
  <c r="G329" i="12" s="1"/>
  <c r="H329" i="12"/>
  <c r="I329" i="12" s="1"/>
  <c r="F330" i="12"/>
  <c r="G330" i="12" s="1"/>
  <c r="H330" i="12"/>
  <c r="I330" i="12" s="1"/>
  <c r="F331" i="12"/>
  <c r="G331" i="12" s="1"/>
  <c r="H331" i="12"/>
  <c r="I331" i="12" s="1"/>
  <c r="O208" i="12"/>
  <c r="O209" i="12"/>
  <c r="O212" i="12"/>
  <c r="O213" i="12"/>
  <c r="O214" i="12"/>
  <c r="O216" i="12"/>
  <c r="O217" i="12"/>
  <c r="O218" i="12"/>
  <c r="O219" i="12"/>
  <c r="O220" i="12"/>
  <c r="O228" i="12"/>
  <c r="O229" i="12"/>
  <c r="O230" i="12"/>
  <c r="O232" i="12"/>
  <c r="O237" i="12"/>
  <c r="O238" i="12"/>
  <c r="O239" i="12"/>
  <c r="O240" i="12"/>
  <c r="O241" i="12"/>
  <c r="O244" i="12"/>
  <c r="O246" i="12"/>
  <c r="O248" i="12"/>
  <c r="O250" i="12"/>
  <c r="O255" i="12"/>
  <c r="O256" i="12"/>
  <c r="O257" i="12"/>
  <c r="O258" i="12"/>
  <c r="O259" i="12"/>
  <c r="O266" i="12"/>
  <c r="O267" i="12"/>
  <c r="O269" i="12"/>
  <c r="O271" i="12"/>
  <c r="O273" i="12"/>
  <c r="O275" i="12"/>
  <c r="O276" i="12"/>
  <c r="O278" i="12"/>
  <c r="O280" i="12"/>
  <c r="O282" i="12"/>
  <c r="O283" i="12"/>
  <c r="O284" i="12"/>
  <c r="O285" i="12"/>
  <c r="O286" i="12"/>
  <c r="O287" i="12"/>
  <c r="O288" i="12"/>
  <c r="O289" i="12"/>
  <c r="O290" i="12"/>
  <c r="O291" i="12"/>
  <c r="O292" i="12"/>
  <c r="O293" i="12"/>
  <c r="O294" i="12"/>
  <c r="O295" i="12"/>
  <c r="O296" i="12"/>
  <c r="O297" i="12"/>
  <c r="O299" i="12"/>
  <c r="O300" i="12"/>
  <c r="O302" i="12"/>
  <c r="O303" i="12"/>
  <c r="O304" i="12"/>
  <c r="O305" i="12"/>
  <c r="O306" i="12"/>
  <c r="O307" i="12"/>
  <c r="O308" i="12"/>
  <c r="O309" i="12"/>
  <c r="O310" i="12"/>
  <c r="O311" i="12"/>
  <c r="O312" i="12"/>
  <c r="O313" i="12"/>
  <c r="O314" i="12"/>
  <c r="O315" i="12"/>
  <c r="O316" i="12"/>
  <c r="O317" i="12"/>
  <c r="O318" i="12"/>
  <c r="O319" i="12"/>
  <c r="O320" i="12"/>
  <c r="O323" i="12"/>
  <c r="O324" i="12"/>
  <c r="O325" i="12"/>
  <c r="O327" i="12"/>
  <c r="O328" i="12"/>
  <c r="O329" i="12"/>
  <c r="O331" i="12"/>
  <c r="O332" i="12"/>
  <c r="O333" i="12"/>
  <c r="O337" i="12"/>
  <c r="O338" i="12"/>
  <c r="O339" i="12"/>
  <c r="O340" i="12"/>
  <c r="O341" i="12"/>
  <c r="O342" i="12"/>
  <c r="O343" i="12"/>
  <c r="O344" i="12"/>
  <c r="O345" i="12"/>
  <c r="O346" i="12"/>
  <c r="O347" i="12"/>
  <c r="O348" i="12"/>
  <c r="O349" i="12"/>
  <c r="O350" i="12"/>
  <c r="O351" i="12"/>
  <c r="O352" i="12"/>
  <c r="O353" i="12"/>
  <c r="O354" i="12"/>
  <c r="O355" i="12"/>
  <c r="O358" i="12"/>
  <c r="O361" i="12"/>
  <c r="O362" i="12"/>
  <c r="O363" i="12"/>
  <c r="O364" i="12"/>
  <c r="O374" i="12"/>
  <c r="O382" i="12"/>
  <c r="O392" i="12"/>
  <c r="O393" i="12"/>
  <c r="O394" i="12"/>
  <c r="O396" i="12"/>
  <c r="O397" i="12"/>
  <c r="O398" i="12"/>
  <c r="O399" i="12"/>
  <c r="O400" i="12"/>
  <c r="O403" i="12"/>
  <c r="O404" i="12"/>
  <c r="O406" i="12"/>
  <c r="O408" i="12"/>
  <c r="O409" i="12"/>
  <c r="O411" i="12"/>
  <c r="O412" i="12"/>
  <c r="O413" i="12"/>
  <c r="O414" i="12"/>
  <c r="O415" i="12"/>
  <c r="O416" i="12"/>
  <c r="O417" i="12"/>
  <c r="O418" i="12"/>
  <c r="O419" i="12"/>
  <c r="O420" i="12"/>
  <c r="O421" i="12"/>
  <c r="O422" i="12"/>
  <c r="O423" i="12"/>
  <c r="O424" i="12"/>
  <c r="O425" i="12"/>
  <c r="O427" i="12"/>
  <c r="O428" i="12"/>
  <c r="O429" i="12"/>
  <c r="O430" i="12"/>
  <c r="O431" i="12"/>
  <c r="O432" i="12"/>
  <c r="O433" i="12"/>
  <c r="O434" i="12"/>
  <c r="O435" i="12"/>
  <c r="O436" i="12"/>
  <c r="O437" i="12"/>
  <c r="O438" i="12"/>
  <c r="O439" i="12"/>
  <c r="O440" i="12"/>
  <c r="O441" i="12"/>
  <c r="O442" i="12"/>
  <c r="O443" i="12"/>
  <c r="O444" i="12"/>
  <c r="O445" i="12"/>
  <c r="O446" i="12"/>
  <c r="O447" i="12"/>
  <c r="O448" i="12"/>
  <c r="O449" i="12"/>
  <c r="O450" i="12"/>
  <c r="O451" i="12"/>
  <c r="O452" i="12"/>
  <c r="O453" i="12"/>
  <c r="O454" i="12"/>
  <c r="O461" i="12"/>
  <c r="O462" i="12"/>
  <c r="O463" i="12"/>
  <c r="O464" i="12"/>
  <c r="O475" i="12"/>
  <c r="O484" i="12"/>
  <c r="O485" i="12"/>
  <c r="O486" i="12"/>
  <c r="O492" i="12"/>
  <c r="O494" i="12"/>
  <c r="O495" i="12"/>
  <c r="O496" i="12"/>
  <c r="O497" i="12"/>
  <c r="O499" i="12"/>
  <c r="O500" i="12"/>
  <c r="O502" i="12"/>
  <c r="O503" i="12"/>
  <c r="O507" i="12"/>
  <c r="O510" i="12"/>
  <c r="O511" i="12"/>
  <c r="O512" i="12"/>
  <c r="O513" i="12"/>
  <c r="O514" i="12"/>
  <c r="O515" i="12"/>
  <c r="O516" i="12"/>
  <c r="O517" i="12"/>
  <c r="O518" i="12"/>
  <c r="O519" i="12"/>
  <c r="O520" i="12"/>
  <c r="O521" i="12"/>
  <c r="O522" i="12"/>
  <c r="O523" i="12"/>
  <c r="O524" i="12"/>
  <c r="O525" i="12"/>
  <c r="O526" i="12"/>
  <c r="O527" i="12"/>
  <c r="O532" i="12"/>
  <c r="O538" i="12"/>
  <c r="O540" i="12"/>
  <c r="O541" i="12"/>
  <c r="O542" i="12"/>
  <c r="O543" i="12"/>
  <c r="O544" i="12"/>
  <c r="O545" i="12"/>
  <c r="O546" i="12"/>
  <c r="O547" i="12"/>
  <c r="O548" i="12"/>
  <c r="O550" i="12"/>
  <c r="O551" i="12"/>
  <c r="O552" i="12"/>
  <c r="O553" i="12"/>
  <c r="O556" i="12"/>
  <c r="O557" i="12"/>
  <c r="O558" i="12"/>
  <c r="O560" i="12"/>
  <c r="O561" i="12"/>
  <c r="O562" i="12"/>
  <c r="O563" i="12"/>
  <c r="O564" i="12"/>
  <c r="O565" i="12"/>
  <c r="O566" i="12"/>
  <c r="O567" i="12"/>
  <c r="O568" i="12"/>
  <c r="O569" i="12"/>
  <c r="O570" i="12"/>
  <c r="O571" i="12"/>
  <c r="O572" i="12"/>
  <c r="O573" i="12"/>
  <c r="O574" i="12"/>
  <c r="O575" i="12"/>
  <c r="O576" i="12"/>
  <c r="O577" i="12"/>
  <c r="O578" i="12"/>
  <c r="O579" i="12"/>
  <c r="O580" i="12"/>
  <c r="O581" i="12"/>
  <c r="O582" i="12"/>
  <c r="O583" i="12"/>
  <c r="O584" i="12"/>
  <c r="O585" i="12"/>
  <c r="O586" i="12"/>
  <c r="O587" i="12"/>
  <c r="O588" i="12"/>
  <c r="O589" i="12"/>
  <c r="O590" i="12"/>
  <c r="O591" i="12"/>
  <c r="O592" i="12"/>
  <c r="O593" i="12"/>
  <c r="O594" i="12"/>
  <c r="O595" i="12"/>
  <c r="O596" i="12"/>
  <c r="O597" i="12"/>
  <c r="O598" i="12"/>
  <c r="O599" i="12"/>
  <c r="O600" i="12"/>
  <c r="O601" i="12"/>
  <c r="O602" i="12"/>
  <c r="O603" i="12"/>
  <c r="O604" i="12"/>
  <c r="O605" i="12"/>
  <c r="O606" i="12"/>
  <c r="O607" i="12"/>
  <c r="O608" i="12"/>
  <c r="O609" i="12"/>
  <c r="O610" i="12"/>
  <c r="O611" i="12"/>
  <c r="O612" i="12"/>
  <c r="O613" i="12"/>
  <c r="O614" i="12"/>
  <c r="O615" i="12"/>
  <c r="O616" i="12"/>
  <c r="O617" i="12"/>
  <c r="O618" i="12"/>
  <c r="O619" i="12"/>
  <c r="O620" i="12"/>
  <c r="O621" i="12"/>
  <c r="O622" i="12"/>
  <c r="O623" i="12"/>
  <c r="O624" i="12"/>
  <c r="O625" i="12"/>
  <c r="O626" i="12"/>
  <c r="O627" i="12"/>
  <c r="O628" i="12"/>
  <c r="O629" i="12"/>
  <c r="O630" i="12"/>
  <c r="O631" i="12"/>
  <c r="O632" i="12"/>
  <c r="O633" i="12"/>
  <c r="O634" i="12"/>
  <c r="O635" i="12"/>
  <c r="O636" i="12"/>
  <c r="O637" i="12"/>
  <c r="O638" i="12"/>
  <c r="O639" i="12"/>
  <c r="O640" i="12"/>
  <c r="O641" i="12"/>
  <c r="O642" i="12"/>
  <c r="O643" i="12"/>
  <c r="O644" i="12"/>
  <c r="O645" i="12"/>
  <c r="O646" i="12"/>
  <c r="O647" i="12"/>
  <c r="O648" i="12"/>
  <c r="O649" i="12"/>
  <c r="O650" i="12"/>
  <c r="O651" i="12"/>
  <c r="O652" i="12"/>
  <c r="O653" i="12"/>
  <c r="O654" i="12"/>
  <c r="O655" i="12"/>
  <c r="O656" i="12"/>
  <c r="O657" i="12"/>
  <c r="O658" i="12"/>
  <c r="O659" i="12"/>
  <c r="O660" i="12"/>
  <c r="O661" i="12"/>
  <c r="O662" i="12"/>
  <c r="O663" i="12"/>
  <c r="O664" i="12"/>
  <c r="O665" i="12"/>
  <c r="O666" i="12"/>
  <c r="O667" i="12"/>
  <c r="O668" i="12"/>
  <c r="O669" i="12"/>
  <c r="O670" i="12"/>
  <c r="O671" i="12"/>
  <c r="O672" i="12"/>
  <c r="O673" i="12"/>
  <c r="O674" i="12"/>
  <c r="O675" i="12"/>
  <c r="O676" i="12"/>
  <c r="O677" i="12"/>
  <c r="O678" i="12"/>
  <c r="O679" i="12"/>
  <c r="O680" i="12"/>
  <c r="O681" i="12"/>
  <c r="O682" i="12"/>
  <c r="O683" i="12"/>
  <c r="O684" i="12"/>
  <c r="O685" i="12"/>
  <c r="O686" i="12"/>
  <c r="O207" i="12"/>
  <c r="O12" i="12"/>
  <c r="O15" i="12"/>
  <c r="O16" i="12"/>
  <c r="O17" i="12"/>
  <c r="O25" i="12"/>
  <c r="O29" i="12"/>
  <c r="O30" i="12"/>
  <c r="O36" i="12"/>
  <c r="O42" i="12"/>
  <c r="O43" i="12"/>
  <c r="O44" i="12"/>
  <c r="O46" i="12"/>
  <c r="O54" i="12"/>
  <c r="O55" i="12"/>
  <c r="O56" i="12"/>
  <c r="O61" i="12"/>
  <c r="O62" i="12"/>
  <c r="O63" i="12"/>
  <c r="O64" i="12"/>
  <c r="O65" i="12"/>
  <c r="O66" i="12"/>
  <c r="O67" i="12"/>
  <c r="O68" i="12"/>
  <c r="O72" i="12"/>
  <c r="O73" i="12"/>
  <c r="O74" i="12"/>
  <c r="O75" i="12"/>
  <c r="O76" i="12"/>
  <c r="O84" i="12"/>
  <c r="O85" i="12"/>
  <c r="O96" i="12"/>
  <c r="O97" i="12"/>
  <c r="O99" i="12"/>
  <c r="O100" i="12"/>
  <c r="O101" i="12"/>
  <c r="O102" i="12"/>
  <c r="O116" i="12"/>
  <c r="O118" i="12"/>
  <c r="O121" i="12"/>
  <c r="O122" i="12"/>
  <c r="O123" i="12"/>
  <c r="O124" i="12"/>
  <c r="O125" i="12"/>
  <c r="O126" i="12"/>
  <c r="O127" i="12"/>
  <c r="O128" i="12"/>
  <c r="O129" i="12"/>
  <c r="O130" i="12"/>
  <c r="O131" i="12"/>
  <c r="O132" i="12"/>
  <c r="O133" i="12"/>
  <c r="O135" i="12"/>
  <c r="O137" i="12"/>
  <c r="O138" i="12"/>
  <c r="O139" i="12"/>
  <c r="O140" i="12"/>
  <c r="O142" i="12"/>
  <c r="O154" i="12"/>
  <c r="O155" i="12"/>
  <c r="O156" i="12"/>
  <c r="O157" i="12"/>
  <c r="O158" i="12"/>
  <c r="O159" i="12"/>
  <c r="O160" i="12"/>
  <c r="O161" i="12"/>
  <c r="O162" i="12"/>
  <c r="O171" i="12"/>
  <c r="O172" i="12"/>
  <c r="O173" i="12"/>
  <c r="O174" i="12"/>
  <c r="O175" i="12"/>
  <c r="O180" i="12"/>
  <c r="O181" i="12"/>
  <c r="O182" i="12"/>
  <c r="O183" i="12"/>
  <c r="O184" i="12"/>
  <c r="O185" i="12"/>
  <c r="O186" i="12"/>
  <c r="O187" i="12"/>
  <c r="O188" i="12"/>
  <c r="O189" i="12"/>
  <c r="O190" i="12"/>
  <c r="O191" i="12"/>
  <c r="O192" i="12"/>
  <c r="O193" i="12"/>
  <c r="O194" i="12"/>
  <c r="O195" i="12"/>
  <c r="O196" i="12"/>
  <c r="O197" i="12"/>
  <c r="O198" i="12"/>
  <c r="O199" i="12"/>
  <c r="O200" i="12"/>
  <c r="O201" i="12"/>
  <c r="O202" i="12"/>
  <c r="O203" i="12"/>
  <c r="O204" i="12"/>
  <c r="O205" i="12"/>
  <c r="AO419" i="12"/>
  <c r="AO420" i="12"/>
  <c r="AO421" i="12"/>
  <c r="AO422" i="12"/>
  <c r="AO423" i="12"/>
  <c r="AO424" i="12"/>
  <c r="AO425" i="12"/>
  <c r="AO427" i="12"/>
  <c r="AO428" i="12"/>
  <c r="AO429" i="12"/>
  <c r="AO430" i="12"/>
  <c r="AO431" i="12"/>
  <c r="AO432" i="12"/>
  <c r="AO433" i="12"/>
  <c r="AO434" i="12"/>
  <c r="AO435" i="12"/>
  <c r="AO436" i="12"/>
  <c r="AO437" i="12"/>
  <c r="AO438" i="12"/>
  <c r="AO439" i="12"/>
  <c r="AO440" i="12"/>
  <c r="AO441" i="12"/>
  <c r="AO442" i="12"/>
  <c r="AO443" i="12"/>
  <c r="AO444" i="12"/>
  <c r="AO445" i="12"/>
  <c r="AO446" i="12"/>
  <c r="AO447" i="12"/>
  <c r="AO448" i="12"/>
  <c r="AO449" i="12"/>
  <c r="AO450" i="12"/>
  <c r="AO451" i="12"/>
  <c r="AO452" i="12"/>
  <c r="AO453" i="12"/>
  <c r="AO454" i="12"/>
  <c r="AO461" i="12"/>
  <c r="AO462" i="12"/>
  <c r="AO463" i="12"/>
  <c r="AO464" i="12"/>
  <c r="AO475" i="12"/>
  <c r="AO484" i="12"/>
  <c r="AO485" i="12"/>
  <c r="AO486" i="12"/>
  <c r="AO492" i="12"/>
  <c r="AO494" i="12"/>
  <c r="AO495" i="12"/>
  <c r="AO496" i="12"/>
  <c r="AO497" i="12"/>
  <c r="AO499" i="12"/>
  <c r="AO500" i="12"/>
  <c r="AO502" i="12"/>
  <c r="AO503" i="12"/>
  <c r="AO507" i="12"/>
  <c r="AO510" i="12"/>
  <c r="AO511" i="12"/>
  <c r="AO512" i="12"/>
  <c r="AO513" i="12"/>
  <c r="AO514" i="12"/>
  <c r="AO515" i="12"/>
  <c r="AO516" i="12"/>
  <c r="AO517" i="12"/>
  <c r="AO518" i="12"/>
  <c r="AO519" i="12"/>
  <c r="AO520" i="12"/>
  <c r="AO521" i="12"/>
  <c r="AO522" i="12"/>
  <c r="AO523" i="12"/>
  <c r="AO524" i="12"/>
  <c r="AO525" i="12"/>
  <c r="AO526" i="12"/>
  <c r="AO527" i="12"/>
  <c r="AO532" i="12"/>
  <c r="AO538" i="12"/>
  <c r="AO540" i="12"/>
  <c r="AO541" i="12"/>
  <c r="AO542" i="12"/>
  <c r="AO543" i="12"/>
  <c r="AO544" i="12"/>
  <c r="AO545" i="12"/>
  <c r="AO546" i="12"/>
  <c r="AO547" i="12"/>
  <c r="AO548" i="12"/>
  <c r="AO550" i="12"/>
  <c r="AO551" i="12"/>
  <c r="AO552" i="12"/>
  <c r="AO553" i="12"/>
  <c r="AO556" i="12"/>
  <c r="AO416" i="12"/>
  <c r="AO417" i="12"/>
  <c r="AO418" i="12"/>
  <c r="AO392" i="12"/>
  <c r="AO393" i="12"/>
  <c r="AO394" i="12"/>
  <c r="AO396" i="12"/>
  <c r="AO397" i="12"/>
  <c r="AO398" i="12"/>
  <c r="AO399" i="12"/>
  <c r="AO400" i="12"/>
  <c r="AO403" i="12"/>
  <c r="AO404" i="12"/>
  <c r="AO406" i="12"/>
  <c r="AO408" i="12"/>
  <c r="AO409" i="12"/>
  <c r="AO411" i="12"/>
  <c r="AO412" i="12"/>
  <c r="AO413" i="12"/>
  <c r="AO414" i="12"/>
  <c r="AO415" i="12"/>
  <c r="AO337" i="12"/>
  <c r="AO338" i="12"/>
  <c r="AO339" i="12"/>
  <c r="AO340" i="12"/>
  <c r="AO341" i="12"/>
  <c r="AO342" i="12"/>
  <c r="AO343" i="12"/>
  <c r="AO344" i="12"/>
  <c r="AO345" i="12"/>
  <c r="AO346" i="12"/>
  <c r="AO347" i="12"/>
  <c r="AO348" i="12"/>
  <c r="AO349" i="12"/>
  <c r="AO350" i="12"/>
  <c r="AO351" i="12"/>
  <c r="AO352" i="12"/>
  <c r="AO353" i="12"/>
  <c r="AO354" i="12"/>
  <c r="AO355" i="12"/>
  <c r="AO358" i="12"/>
  <c r="AO361" i="12"/>
  <c r="AO362" i="12"/>
  <c r="AO363" i="12"/>
  <c r="AO364" i="12"/>
  <c r="AO374" i="12"/>
  <c r="AO382" i="12"/>
  <c r="AO323" i="12"/>
  <c r="AO324" i="12"/>
  <c r="AO325" i="12"/>
  <c r="AO327" i="12"/>
  <c r="AO328" i="12"/>
  <c r="AO329" i="12"/>
  <c r="AO331" i="12"/>
  <c r="AO332" i="12"/>
  <c r="AO333" i="12"/>
  <c r="AO315" i="12"/>
  <c r="AO316" i="12"/>
  <c r="AO317" i="12"/>
  <c r="AO318" i="12"/>
  <c r="AO319" i="12"/>
  <c r="AO320" i="12"/>
  <c r="AO171" i="12"/>
  <c r="AO172" i="12"/>
  <c r="AO173" i="12"/>
  <c r="AO174" i="12"/>
  <c r="AO175" i="12"/>
  <c r="AO180" i="12"/>
  <c r="AO181" i="12"/>
  <c r="AO182" i="12"/>
  <c r="AO183" i="12"/>
  <c r="AO184" i="12"/>
  <c r="AO185" i="12"/>
  <c r="AO186" i="12"/>
  <c r="AO187" i="12"/>
  <c r="AO188" i="12"/>
  <c r="AO189" i="12"/>
  <c r="AO190" i="12"/>
  <c r="AO191" i="12"/>
  <c r="AO192" i="12"/>
  <c r="AO193" i="12"/>
  <c r="AO194" i="12"/>
  <c r="AO195" i="12"/>
  <c r="AO196" i="12"/>
  <c r="AO197" i="12"/>
  <c r="AO198" i="12"/>
  <c r="AO199" i="12"/>
  <c r="AO200" i="12"/>
  <c r="AO201" i="12"/>
  <c r="AO202" i="12"/>
  <c r="AO203" i="12"/>
  <c r="AO204" i="12"/>
  <c r="AO205" i="12"/>
  <c r="AO207" i="12"/>
  <c r="AO208" i="12"/>
  <c r="AO209" i="12"/>
  <c r="AO212" i="12"/>
  <c r="AO213" i="12"/>
  <c r="AO214" i="12"/>
  <c r="AO216" i="12"/>
  <c r="AO217" i="12"/>
  <c r="AO218" i="12"/>
  <c r="AO219" i="12"/>
  <c r="AO220" i="12"/>
  <c r="AO228" i="12"/>
  <c r="AO229" i="12"/>
  <c r="AO230" i="12"/>
  <c r="AO232" i="12"/>
  <c r="AO237" i="12"/>
  <c r="AO238" i="12"/>
  <c r="AO239" i="12"/>
  <c r="AO240" i="12"/>
  <c r="AO241" i="12"/>
  <c r="AO244" i="12"/>
  <c r="AO246" i="12"/>
  <c r="AO248" i="12"/>
  <c r="AO250" i="12"/>
  <c r="AO255" i="12"/>
  <c r="AO256" i="12"/>
  <c r="AO257" i="12"/>
  <c r="AO258" i="12"/>
  <c r="AO259" i="12"/>
  <c r="AO266" i="12"/>
  <c r="AO267" i="12"/>
  <c r="AO269" i="12"/>
  <c r="AO271" i="12"/>
  <c r="AO273" i="12"/>
  <c r="AO275" i="12"/>
  <c r="AO276" i="12"/>
  <c r="AO278" i="12"/>
  <c r="AO280" i="12"/>
  <c r="AO282" i="12"/>
  <c r="AO283" i="12"/>
  <c r="AO284" i="12"/>
  <c r="AO285" i="12"/>
  <c r="AO286" i="12"/>
  <c r="AO287" i="12"/>
  <c r="AO288" i="12"/>
  <c r="AO289" i="12"/>
  <c r="AO290" i="12"/>
  <c r="AO291" i="12"/>
  <c r="AO292" i="12"/>
  <c r="AO293" i="12"/>
  <c r="AO294" i="12"/>
  <c r="AO295" i="12"/>
  <c r="AO296" i="12"/>
  <c r="AO297" i="12"/>
  <c r="AO299" i="12"/>
  <c r="AO300" i="12"/>
  <c r="AO302" i="12"/>
  <c r="AO303" i="12"/>
  <c r="AO304" i="12"/>
  <c r="AO305" i="12"/>
  <c r="AO306" i="12"/>
  <c r="AO307" i="12"/>
  <c r="AO308" i="12"/>
  <c r="AO309" i="12"/>
  <c r="AO310" i="12"/>
  <c r="AO311" i="12"/>
  <c r="AO312" i="12"/>
  <c r="AO313" i="12"/>
  <c r="AO314" i="12"/>
  <c r="AO137" i="12"/>
  <c r="AO138" i="12"/>
  <c r="AO139" i="12"/>
  <c r="AO140" i="12"/>
  <c r="AO142" i="12"/>
  <c r="AO154" i="12"/>
  <c r="AO155" i="12"/>
  <c r="AO156" i="12"/>
  <c r="AO157" i="12"/>
  <c r="AO158" i="12"/>
  <c r="AO159" i="12"/>
  <c r="AO160" i="12"/>
  <c r="AO161" i="12"/>
  <c r="AO162" i="12"/>
  <c r="AO131" i="12"/>
  <c r="AO132" i="12"/>
  <c r="AO133" i="12"/>
  <c r="AO135" i="12"/>
  <c r="AO130" i="12"/>
  <c r="AO118" i="12"/>
  <c r="AO121" i="12"/>
  <c r="AO122" i="12"/>
  <c r="AO123" i="12"/>
  <c r="AO124" i="12"/>
  <c r="AO125" i="12"/>
  <c r="AO126" i="12"/>
  <c r="AO127" i="12"/>
  <c r="AO128" i="12"/>
  <c r="AO129" i="12"/>
  <c r="AO116" i="12"/>
  <c r="AO10" i="12"/>
  <c r="AO11" i="12"/>
  <c r="AO12" i="12"/>
  <c r="AO15" i="12"/>
  <c r="AO16" i="12"/>
  <c r="AO17" i="12"/>
  <c r="AO25" i="12"/>
  <c r="AO29" i="12"/>
  <c r="AO30" i="12"/>
  <c r="AO36" i="12"/>
  <c r="AO42" i="12"/>
  <c r="AO43" i="12"/>
  <c r="AO44" i="12"/>
  <c r="AO46" i="12"/>
  <c r="AO54" i="12"/>
  <c r="AO55" i="12"/>
  <c r="AO56" i="12"/>
  <c r="AO61" i="12"/>
  <c r="AO62" i="12"/>
  <c r="AO63" i="12"/>
  <c r="AO64" i="12"/>
  <c r="AO65" i="12"/>
  <c r="AO66" i="12"/>
  <c r="AO67" i="12"/>
  <c r="AO68" i="12"/>
  <c r="AO72" i="12"/>
  <c r="AO73" i="12"/>
  <c r="AO74" i="12"/>
  <c r="AO75" i="12"/>
  <c r="AO76" i="12"/>
  <c r="AO84" i="12"/>
  <c r="AO85" i="12"/>
  <c r="AO96" i="12"/>
  <c r="AO97" i="12"/>
  <c r="AO99" i="12"/>
  <c r="AO100" i="12"/>
  <c r="AO101" i="12"/>
  <c r="AO102" i="12"/>
  <c r="F207" i="12"/>
  <c r="G207" i="12" s="1"/>
  <c r="H207" i="12"/>
  <c r="I207" i="12" s="1"/>
  <c r="AT115" i="12"/>
  <c r="AV115" i="12" s="1"/>
  <c r="H132" i="12"/>
  <c r="I132" i="12" s="1"/>
  <c r="F132" i="12"/>
  <c r="F253" i="12"/>
  <c r="G253" i="12" s="1"/>
  <c r="H253" i="12"/>
  <c r="I253" i="12" s="1"/>
  <c r="F254" i="12"/>
  <c r="G254" i="12" s="1"/>
  <c r="H254" i="12"/>
  <c r="I254" i="12" s="1"/>
  <c r="F149" i="12"/>
  <c r="G149" i="12" s="1"/>
  <c r="H149" i="12"/>
  <c r="I149" i="12" s="1"/>
  <c r="F150" i="12"/>
  <c r="G150" i="12" s="1"/>
  <c r="H150" i="12"/>
  <c r="I150" i="12" s="1"/>
  <c r="F151" i="12"/>
  <c r="G151" i="12" s="1"/>
  <c r="H151" i="12"/>
  <c r="I151" i="12" s="1"/>
  <c r="F152" i="12"/>
  <c r="G152" i="12" s="1"/>
  <c r="H152" i="12"/>
  <c r="I152" i="12" s="1"/>
  <c r="F137" i="12"/>
  <c r="G137" i="12" s="1"/>
  <c r="H137" i="12"/>
  <c r="I137" i="12" s="1"/>
  <c r="F138" i="12"/>
  <c r="G138" i="12" s="1"/>
  <c r="H138" i="12"/>
  <c r="F139" i="12"/>
  <c r="G139" i="12" s="1"/>
  <c r="H139" i="12"/>
  <c r="I139" i="12" s="1"/>
  <c r="F140" i="12"/>
  <c r="H140" i="12"/>
  <c r="I140" i="12" s="1"/>
  <c r="F141" i="12"/>
  <c r="G141" i="12" s="1"/>
  <c r="H141" i="12"/>
  <c r="I141" i="12" s="1"/>
  <c r="F107" i="12"/>
  <c r="G107" i="12" s="1"/>
  <c r="H107" i="12"/>
  <c r="I107" i="12" s="1"/>
  <c r="F108" i="12"/>
  <c r="G108" i="12" s="1"/>
  <c r="H108" i="12"/>
  <c r="I108" i="12" s="1"/>
  <c r="F109" i="12"/>
  <c r="G109" i="12" s="1"/>
  <c r="H109" i="12"/>
  <c r="I109" i="12" s="1"/>
  <c r="F110" i="12"/>
  <c r="G110" i="12" s="1"/>
  <c r="H110" i="12"/>
  <c r="I110" i="12" s="1"/>
  <c r="F111" i="12"/>
  <c r="G111" i="12" s="1"/>
  <c r="H111" i="12"/>
  <c r="I111" i="12" s="1"/>
  <c r="F112" i="12"/>
  <c r="G112" i="12" s="1"/>
  <c r="H112" i="12"/>
  <c r="I112" i="12" s="1"/>
  <c r="F113" i="12"/>
  <c r="G113" i="12" s="1"/>
  <c r="H113" i="12"/>
  <c r="I113" i="12" s="1"/>
  <c r="F114" i="12"/>
  <c r="G114" i="12" s="1"/>
  <c r="H114" i="12"/>
  <c r="F115" i="12"/>
  <c r="G115" i="12" s="1"/>
  <c r="H115" i="12"/>
  <c r="I115" i="12" s="1"/>
  <c r="F116" i="12"/>
  <c r="G116" i="12" s="1"/>
  <c r="H116" i="12"/>
  <c r="I116" i="12" s="1"/>
  <c r="F103" i="12"/>
  <c r="G103" i="12" s="1"/>
  <c r="H103" i="12"/>
  <c r="F104" i="12"/>
  <c r="G104" i="12" s="1"/>
  <c r="H104" i="12"/>
  <c r="I104" i="12" s="1"/>
  <c r="F105" i="12"/>
  <c r="G105" i="12" s="1"/>
  <c r="H105" i="12"/>
  <c r="I105" i="12" s="1"/>
  <c r="R28" i="6" a="1"/>
  <c r="R28" i="6" s="1"/>
  <c r="R29" i="6" a="1"/>
  <c r="R29" i="6" s="1"/>
  <c r="R30" i="6" a="1"/>
  <c r="R30" i="6" s="1"/>
  <c r="R31" i="6" a="1"/>
  <c r="R31" i="6" s="1"/>
  <c r="R27" i="6" a="1"/>
  <c r="R27" i="6" s="1"/>
  <c r="A117" i="12"/>
  <c r="AO117" i="12" s="1"/>
  <c r="A115" i="12"/>
  <c r="AO115" i="12" s="1"/>
  <c r="A119" i="12"/>
  <c r="O119" i="12" s="1"/>
  <c r="A114" i="12"/>
  <c r="AO114" i="12" s="1"/>
  <c r="A113" i="12"/>
  <c r="AO113" i="12" s="1"/>
  <c r="A112" i="12"/>
  <c r="AO112" i="12" s="1"/>
  <c r="A111" i="12"/>
  <c r="AO111" i="12" s="1"/>
  <c r="A110" i="12"/>
  <c r="AO110" i="12" s="1"/>
  <c r="A109" i="12"/>
  <c r="O109" i="12" s="1"/>
  <c r="A108" i="12"/>
  <c r="O108" i="12" s="1"/>
  <c r="A107" i="12"/>
  <c r="O107" i="12" s="1"/>
  <c r="A106" i="12"/>
  <c r="O106" i="12" s="1"/>
  <c r="A105" i="12"/>
  <c r="O105" i="12" s="1"/>
  <c r="A104" i="12"/>
  <c r="AO104" i="12" s="1"/>
  <c r="A103" i="12"/>
  <c r="O103" i="12" s="1"/>
  <c r="A57" i="12"/>
  <c r="O57" i="12" s="1"/>
  <c r="A58" i="12"/>
  <c r="O58" i="12" s="1"/>
  <c r="R16" i="6" a="1"/>
  <c r="R16" i="6" s="1"/>
  <c r="R17" i="6" a="1"/>
  <c r="R17" i="6" s="1"/>
  <c r="R13" i="6" a="1"/>
  <c r="R13" i="6" s="1"/>
  <c r="R14" i="6" a="1"/>
  <c r="R14" i="6" s="1"/>
  <c r="R15" i="6" a="1"/>
  <c r="R15" i="6" s="1"/>
  <c r="A24" i="12"/>
  <c r="AO24" i="12" s="1"/>
  <c r="A23" i="12"/>
  <c r="AO23" i="12" s="1"/>
  <c r="X16" i="6"/>
  <c r="X15" i="6"/>
  <c r="X14" i="6"/>
  <c r="X13" i="6"/>
  <c r="X12" i="6"/>
  <c r="X11" i="6"/>
  <c r="X10" i="6"/>
  <c r="X9" i="6"/>
  <c r="AW264"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49"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300" i="12"/>
  <c r="J301" i="12"/>
  <c r="J302"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400" i="12"/>
  <c r="J401"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10" i="12"/>
  <c r="J511" i="12"/>
  <c r="J512" i="12"/>
  <c r="J513" i="12"/>
  <c r="J514" i="12"/>
  <c r="J515" i="12"/>
  <c r="J516" i="12"/>
  <c r="J517" i="12"/>
  <c r="J518" i="12"/>
  <c r="J520" i="12"/>
  <c r="J521" i="12"/>
  <c r="J522" i="12"/>
  <c r="J523" i="12"/>
  <c r="J524" i="12"/>
  <c r="J525" i="12"/>
  <c r="J526" i="12"/>
  <c r="J527" i="12"/>
  <c r="J528" i="12"/>
  <c r="J529" i="12"/>
  <c r="J530" i="12"/>
  <c r="J531" i="12"/>
  <c r="J532" i="12"/>
  <c r="J533" i="12"/>
  <c r="J534" i="12"/>
  <c r="J535" i="12"/>
  <c r="J536" i="12"/>
  <c r="J537" i="12"/>
  <c r="J538" i="12"/>
  <c r="J541" i="12"/>
  <c r="J542" i="12"/>
  <c r="J544" i="12"/>
  <c r="J545" i="12"/>
  <c r="J546" i="12"/>
  <c r="J547" i="12"/>
  <c r="J548" i="12"/>
  <c r="J145" i="12"/>
  <c r="J146" i="12"/>
  <c r="J147" i="12"/>
  <c r="J148" i="12"/>
  <c r="L131" i="12"/>
  <c r="L135" i="12"/>
  <c r="L203" i="12"/>
  <c r="L216" i="12"/>
  <c r="L220" i="12"/>
  <c r="L244" i="12"/>
  <c r="L255" i="12"/>
  <c r="L290" i="12"/>
  <c r="L318" i="12"/>
  <c r="L363" i="12"/>
  <c r="L404" i="12"/>
  <c r="L434" i="12"/>
  <c r="L453" i="12"/>
  <c r="L474" i="12"/>
  <c r="L484" i="12"/>
  <c r="L502" i="12"/>
  <c r="L503" i="12"/>
  <c r="L507" i="12"/>
  <c r="L510" i="12"/>
  <c r="L511" i="12"/>
  <c r="L527" i="12"/>
  <c r="L532" i="12"/>
  <c r="L538" i="12"/>
  <c r="L541" i="12"/>
  <c r="L544" i="12"/>
  <c r="L547" i="12"/>
  <c r="L548" i="12"/>
  <c r="L557" i="12"/>
  <c r="L67" i="12"/>
  <c r="L68" i="12"/>
  <c r="L75" i="12"/>
  <c r="L76" i="12"/>
  <c r="L84" i="12"/>
  <c r="L85" i="12"/>
  <c r="L101" i="12"/>
  <c r="L46" i="12"/>
  <c r="O10" i="12"/>
  <c r="O11" i="12"/>
  <c r="BD7" i="12" a="1"/>
  <c r="BD7" i="12" s="1"/>
  <c r="BE6" i="12" a="1"/>
  <c r="BE6" i="12" s="1"/>
  <c r="BC6" i="12" a="1"/>
  <c r="BC6" i="12" s="1"/>
  <c r="BB6" i="12" a="1"/>
  <c r="BB6" i="12" s="1"/>
  <c r="BA6" i="12" a="1"/>
  <c r="BA6" i="12" s="1"/>
  <c r="AZ6" i="12" a="1"/>
  <c r="AZ6" i="12" s="1"/>
  <c r="J35" i="12"/>
  <c r="L35" i="12" s="1"/>
  <c r="J34" i="12"/>
  <c r="L34" i="12" s="1"/>
  <c r="J33" i="12"/>
  <c r="L33" i="12" s="1"/>
  <c r="J32" i="12"/>
  <c r="L32" i="12" s="1"/>
  <c r="J31" i="12"/>
  <c r="L31" i="12" s="1"/>
  <c r="J30" i="12"/>
  <c r="L30" i="12" s="1"/>
  <c r="J29" i="12"/>
  <c r="L29" i="12" s="1"/>
  <c r="J28" i="12"/>
  <c r="L28" i="12" s="1"/>
  <c r="J27" i="12"/>
  <c r="L27" i="12" s="1"/>
  <c r="J26" i="12"/>
  <c r="L26" i="12" s="1"/>
  <c r="J25" i="12"/>
  <c r="L25" i="12" s="1"/>
  <c r="J24" i="12"/>
  <c r="L24" i="12" s="1"/>
  <c r="J23" i="12"/>
  <c r="L23" i="12" s="1"/>
  <c r="J22" i="12"/>
  <c r="L22" i="12" s="1"/>
  <c r="J21" i="12"/>
  <c r="L21" i="12" s="1"/>
  <c r="J20" i="12"/>
  <c r="L20" i="12" s="1"/>
  <c r="J19" i="12"/>
  <c r="L19" i="12" s="1"/>
  <c r="J18" i="12"/>
  <c r="L18" i="12" s="1"/>
  <c r="J17" i="12"/>
  <c r="L17" i="12" s="1"/>
  <c r="J16" i="12"/>
  <c r="L16" i="12" s="1"/>
  <c r="J15" i="12"/>
  <c r="L15" i="12" s="1"/>
  <c r="J14" i="12"/>
  <c r="L14" i="12" s="1"/>
  <c r="J13" i="12"/>
  <c r="L13" i="12" s="1"/>
  <c r="J12" i="12"/>
  <c r="L12" i="12" s="1"/>
  <c r="J11" i="12"/>
  <c r="L11" i="12" s="1"/>
  <c r="J10" i="12"/>
  <c r="L10" i="12" s="1"/>
  <c r="J9" i="12"/>
  <c r="L9" i="12" s="1"/>
  <c r="J8" i="12"/>
  <c r="L8" i="12" s="1"/>
  <c r="J7" i="12"/>
  <c r="L7" i="12" s="1"/>
  <c r="P6" i="12"/>
  <c r="J6" i="12"/>
  <c r="L6" i="12" s="1"/>
  <c r="F61" i="12"/>
  <c r="G61" i="12" s="1"/>
  <c r="H61" i="12"/>
  <c r="I61" i="12" s="1"/>
  <c r="J61" i="12"/>
  <c r="AT61" i="12"/>
  <c r="AV61" i="12" s="1"/>
  <c r="A405" i="12"/>
  <c r="O405" i="12" s="1"/>
  <c r="H321" i="12"/>
  <c r="I321" i="12" s="1"/>
  <c r="F321" i="12"/>
  <c r="G321" i="12" s="1"/>
  <c r="A254" i="12"/>
  <c r="AO254" i="12" s="1"/>
  <c r="A253" i="12"/>
  <c r="AO253" i="12" s="1"/>
  <c r="H130" i="12"/>
  <c r="I130" i="12" s="1"/>
  <c r="F130" i="12"/>
  <c r="G130" i="12" s="1"/>
  <c r="A6" i="12"/>
  <c r="O6" i="12" s="1"/>
  <c r="A8" i="12"/>
  <c r="O8" i="12" s="1"/>
  <c r="A7" i="12"/>
  <c r="O7" i="12" s="1"/>
  <c r="S8" i="6" a="1"/>
  <c r="S8" i="6" s="1"/>
  <c r="R8" i="6" a="1"/>
  <c r="R8" i="6" s="1"/>
  <c r="S9" i="6" a="1"/>
  <c r="S9" i="6" s="1"/>
  <c r="R10" i="6" a="1"/>
  <c r="R10" i="6" s="1"/>
  <c r="S10" i="6" a="1"/>
  <c r="S10" i="6" s="1"/>
  <c r="R11" i="6" a="1"/>
  <c r="R11" i="6" s="1"/>
  <c r="S11" i="6" a="1"/>
  <c r="S11" i="6" s="1"/>
  <c r="R12" i="6" a="1"/>
  <c r="R12" i="6" s="1"/>
  <c r="S12" i="6" a="1"/>
  <c r="S12" i="6" s="1"/>
  <c r="S13" i="6" a="1"/>
  <c r="S13" i="6" s="1"/>
  <c r="S14" i="6" a="1"/>
  <c r="S14" i="6" s="1"/>
  <c r="S15" i="6" a="1"/>
  <c r="S15" i="6" s="1"/>
  <c r="S16" i="6" a="1"/>
  <c r="S16" i="6" s="1"/>
  <c r="S17" i="6" a="1"/>
  <c r="S17" i="6" s="1"/>
  <c r="R18" i="6" a="1"/>
  <c r="R18" i="6" s="1"/>
  <c r="S18" i="6" a="1"/>
  <c r="S18" i="6" s="1"/>
  <c r="R19" i="6" a="1"/>
  <c r="R19" i="6" s="1"/>
  <c r="S19" i="6" a="1"/>
  <c r="S19" i="6" s="1"/>
  <c r="R20" i="6" a="1"/>
  <c r="R20" i="6" s="1"/>
  <c r="S20" i="6" a="1"/>
  <c r="S20" i="6" s="1"/>
  <c r="R21" i="6" a="1"/>
  <c r="R21" i="6" s="1"/>
  <c r="S21" i="6" a="1"/>
  <c r="S21" i="6" s="1"/>
  <c r="R22" i="6" a="1"/>
  <c r="R22" i="6" s="1"/>
  <c r="S22" i="6" a="1"/>
  <c r="S22" i="6" s="1"/>
  <c r="R23" i="6" a="1"/>
  <c r="R23" i="6" s="1"/>
  <c r="S23" i="6" a="1"/>
  <c r="S23" i="6" s="1"/>
  <c r="R24" i="6" a="1"/>
  <c r="R24" i="6" s="1"/>
  <c r="S24" i="6" a="1"/>
  <c r="S24" i="6" s="1"/>
  <c r="R25" i="6" a="1"/>
  <c r="R25" i="6" s="1"/>
  <c r="S25" i="6" a="1"/>
  <c r="S25" i="6" s="1"/>
  <c r="R26" i="6" a="1"/>
  <c r="R26" i="6" s="1"/>
  <c r="S26" i="6" a="1"/>
  <c r="S26" i="6" s="1"/>
  <c r="S27" i="6" a="1"/>
  <c r="S27" i="6" s="1"/>
  <c r="S28" i="6" a="1"/>
  <c r="S28" i="6" s="1"/>
  <c r="S29" i="6" a="1"/>
  <c r="S29" i="6" s="1"/>
  <c r="S30" i="6" a="1"/>
  <c r="S30" i="6" s="1"/>
  <c r="A22" i="12"/>
  <c r="AO22" i="12" s="1"/>
  <c r="A21" i="12"/>
  <c r="AO21" i="12" s="1"/>
  <c r="A20" i="12"/>
  <c r="O20" i="12" s="1"/>
  <c r="A19" i="12"/>
  <c r="O19" i="12" s="1"/>
  <c r="A18" i="12"/>
  <c r="O18" i="12" s="1"/>
  <c r="A14" i="12"/>
  <c r="O14" i="12" s="1"/>
  <c r="A13" i="12"/>
  <c r="O13" i="12" s="1"/>
  <c r="A9" i="12"/>
  <c r="O9" i="12" s="1"/>
  <c r="A60" i="12"/>
  <c r="O60" i="12" s="1"/>
  <c r="A59" i="12"/>
  <c r="O59" i="12" s="1"/>
  <c r="A53" i="12"/>
  <c r="AO53" i="12" s="1"/>
  <c r="A52" i="12"/>
  <c r="AO52" i="12" s="1"/>
  <c r="A51" i="12"/>
  <c r="AO51" i="12" s="1"/>
  <c r="A50" i="12"/>
  <c r="AO50" i="12" s="1"/>
  <c r="A49" i="12"/>
  <c r="O49" i="12" s="1"/>
  <c r="A48" i="12"/>
  <c r="O48" i="12" s="1"/>
  <c r="A47" i="12"/>
  <c r="O47" i="12" s="1"/>
  <c r="A45" i="12"/>
  <c r="O45" i="12" s="1"/>
  <c r="A41" i="12"/>
  <c r="AO41" i="12" s="1"/>
  <c r="A40" i="12"/>
  <c r="AO40" i="12" s="1"/>
  <c r="A39" i="12"/>
  <c r="AO39" i="12" s="1"/>
  <c r="A38" i="12"/>
  <c r="AO38" i="12" s="1"/>
  <c r="A37" i="12"/>
  <c r="AO37" i="12" s="1"/>
  <c r="A35" i="12"/>
  <c r="AO35" i="12" s="1"/>
  <c r="A34" i="12"/>
  <c r="AO34" i="12" s="1"/>
  <c r="A33" i="12"/>
  <c r="O33" i="12" s="1"/>
  <c r="A32" i="12"/>
  <c r="O32" i="12" s="1"/>
  <c r="A31" i="12"/>
  <c r="O31" i="12" s="1"/>
  <c r="A28" i="12"/>
  <c r="O28" i="12" s="1"/>
  <c r="A27" i="12"/>
  <c r="O27" i="12" s="1"/>
  <c r="A26" i="12"/>
  <c r="AO26" i="12" s="1"/>
  <c r="V12" i="6"/>
  <c r="V13" i="6"/>
  <c r="V14" i="6"/>
  <c r="V15" i="6"/>
  <c r="V16" i="6"/>
  <c r="V17" i="6"/>
  <c r="V18" i="6"/>
  <c r="V19" i="6"/>
  <c r="V20" i="6"/>
  <c r="V21" i="6"/>
  <c r="V22" i="6"/>
  <c r="V23" i="6"/>
  <c r="V24" i="6"/>
  <c r="V25" i="6"/>
  <c r="V11" i="6"/>
  <c r="V10" i="6"/>
  <c r="V9" i="6"/>
  <c r="V8" i="6"/>
  <c r="Q28" i="2"/>
  <c r="R28" i="2"/>
  <c r="S28" i="2"/>
  <c r="T28" i="2"/>
  <c r="U28" i="2"/>
  <c r="V28" i="2"/>
  <c r="W28" i="2"/>
  <c r="T11" i="6" a="1"/>
  <c r="T11" i="6" s="1"/>
  <c r="T10" i="6" a="1"/>
  <c r="T10" i="6" s="1"/>
  <c r="T9" i="6" a="1"/>
  <c r="T9" i="6" s="1"/>
  <c r="O8" i="2"/>
  <c r="A252" i="12"/>
  <c r="AO252" i="12" s="1"/>
  <c r="A251" i="12"/>
  <c r="AO251" i="12" s="1"/>
  <c r="A249" i="12"/>
  <c r="AO249" i="12" s="1"/>
  <c r="A243" i="12"/>
  <c r="AO243" i="12" s="1"/>
  <c r="A242" i="12"/>
  <c r="A245" i="12"/>
  <c r="AO245" i="12" s="1"/>
  <c r="A247" i="12"/>
  <c r="AO247" i="12" s="1"/>
  <c r="I540" i="12"/>
  <c r="H540" i="12"/>
  <c r="F540" i="12"/>
  <c r="EK479" i="13"/>
  <c r="EK478" i="13"/>
  <c r="EK477" i="13"/>
  <c r="AW281" i="12"/>
  <c r="EL491" i="13"/>
  <c r="EM491" i="13" s="1"/>
  <c r="EK491" i="13"/>
  <c r="EL490" i="13"/>
  <c r="EK490" i="13"/>
  <c r="EL489" i="13"/>
  <c r="EL485" i="13" s="1"/>
  <c r="EM485" i="13" s="1"/>
  <c r="EK489" i="13"/>
  <c r="EK485" i="13"/>
  <c r="EK484" i="13"/>
  <c r="EK483" i="13"/>
  <c r="C14" i="6"/>
  <c r="A233" i="12"/>
  <c r="AO233" i="12" s="1"/>
  <c r="U11" i="6" a="1"/>
  <c r="U11" i="6" s="1"/>
  <c r="U10" i="6" a="1"/>
  <c r="U10" i="6" s="1"/>
  <c r="A234" i="12"/>
  <c r="AO234" i="12" s="1"/>
  <c r="A236" i="12"/>
  <c r="AO236" i="12" s="1"/>
  <c r="A235" i="12"/>
  <c r="AO235" i="12" s="1"/>
  <c r="A231" i="12"/>
  <c r="AO231" i="12" s="1"/>
  <c r="A227" i="12"/>
  <c r="AO227" i="12" s="1"/>
  <c r="A226" i="12"/>
  <c r="AO226" i="12" s="1"/>
  <c r="A225" i="12"/>
  <c r="AO225" i="12" s="1"/>
  <c r="A224" i="12"/>
  <c r="AO224" i="12" s="1"/>
  <c r="A223" i="12"/>
  <c r="AO223" i="12" s="1"/>
  <c r="A222" i="12"/>
  <c r="O222" i="12" s="1"/>
  <c r="A221" i="12"/>
  <c r="O221" i="12" s="1"/>
  <c r="A211" i="12"/>
  <c r="AO211" i="12" s="1"/>
  <c r="O206" i="12"/>
  <c r="A215" i="12"/>
  <c r="AO215" i="12" s="1"/>
  <c r="A120" i="12"/>
  <c r="AO120" i="12" s="1"/>
  <c r="A94" i="12"/>
  <c r="AO94" i="12" s="1"/>
  <c r="A93" i="12"/>
  <c r="O93" i="12" s="1"/>
  <c r="A92" i="12"/>
  <c r="O92" i="12" s="1"/>
  <c r="A91" i="12"/>
  <c r="O91" i="12" s="1"/>
  <c r="A90" i="12"/>
  <c r="O90" i="12" s="1"/>
  <c r="A89" i="12"/>
  <c r="O89" i="12" s="1"/>
  <c r="A88" i="12"/>
  <c r="AO88" i="12" s="1"/>
  <c r="A87" i="12"/>
  <c r="AO87" i="12" s="1"/>
  <c r="A86" i="12"/>
  <c r="AO86" i="12" s="1"/>
  <c r="A83" i="12"/>
  <c r="AO83" i="12" s="1"/>
  <c r="A82" i="12"/>
  <c r="AO82" i="12" s="1"/>
  <c r="A81" i="12"/>
  <c r="AO81" i="12" s="1"/>
  <c r="A80" i="12"/>
  <c r="AO80" i="12" s="1"/>
  <c r="A79" i="12"/>
  <c r="AO79" i="12" s="1"/>
  <c r="A78" i="12"/>
  <c r="AO78" i="12" s="1"/>
  <c r="A77" i="12"/>
  <c r="O77" i="12" s="1"/>
  <c r="A71" i="12"/>
  <c r="O71" i="12" s="1"/>
  <c r="A70" i="12"/>
  <c r="O70" i="12" s="1"/>
  <c r="A69" i="12"/>
  <c r="AO69" i="12" s="1"/>
  <c r="A298" i="12"/>
  <c r="U8" i="6" a="1"/>
  <c r="U8" i="6" s="1"/>
  <c r="U9" i="6" a="1"/>
  <c r="U9" i="6" s="1"/>
  <c r="U12" i="6" a="1"/>
  <c r="U12" i="6" s="1"/>
  <c r="X8" i="6"/>
  <c r="F20" i="6"/>
  <c r="AW257" i="12"/>
  <c r="AW258" i="12"/>
  <c r="AW259" i="12"/>
  <c r="AW265" i="12"/>
  <c r="AW266" i="12"/>
  <c r="AW267" i="12"/>
  <c r="AW268" i="12"/>
  <c r="AW269" i="12"/>
  <c r="AW270" i="12"/>
  <c r="AW271" i="12"/>
  <c r="AW272" i="12"/>
  <c r="AW273" i="12"/>
  <c r="AW274" i="12"/>
  <c r="AW275" i="12"/>
  <c r="AW276" i="12"/>
  <c r="AW277" i="12"/>
  <c r="AW278" i="12"/>
  <c r="AW279" i="12"/>
  <c r="AW280" i="12"/>
  <c r="AW282" i="12"/>
  <c r="AW283" i="12"/>
  <c r="AW284" i="12"/>
  <c r="AW260" i="12"/>
  <c r="AW261" i="12"/>
  <c r="AW262" i="12"/>
  <c r="AW263" i="12"/>
  <c r="AT247" i="12"/>
  <c r="AS247" i="12" s="1"/>
  <c r="H247" i="12"/>
  <c r="I247" i="12" s="1"/>
  <c r="F247" i="12"/>
  <c r="G247" i="12" s="1"/>
  <c r="A95" i="12"/>
  <c r="O95" i="12" s="1"/>
  <c r="A141" i="12"/>
  <c r="O141" i="12" s="1"/>
  <c r="A136" i="12"/>
  <c r="O136" i="12" s="1"/>
  <c r="A98" i="12"/>
  <c r="O98" i="12" s="1"/>
  <c r="A501" i="12"/>
  <c r="O501" i="12" s="1"/>
  <c r="C34" i="6"/>
  <c r="T8" i="6" a="1"/>
  <c r="T8" i="6" s="1"/>
  <c r="O11" i="6" a="1"/>
  <c r="O11" i="6" s="1"/>
  <c r="O8" i="6" a="1"/>
  <c r="O8" i="6" s="1"/>
  <c r="O9" i="6" a="1"/>
  <c r="O9" i="6" s="1"/>
  <c r="O10" i="6" a="1"/>
  <c r="O10" i="6" s="1"/>
  <c r="F490" i="12"/>
  <c r="G490" i="12" s="1"/>
  <c r="H490" i="12"/>
  <c r="I490" i="12" s="1"/>
  <c r="D57" i="20"/>
  <c r="H488" i="12"/>
  <c r="I488" i="12" s="1"/>
  <c r="H489" i="12"/>
  <c r="I489" i="12" s="1"/>
  <c r="F488" i="12"/>
  <c r="G488" i="12" s="1"/>
  <c r="F489" i="12"/>
  <c r="G489" i="12" s="1"/>
  <c r="H483" i="12"/>
  <c r="I483" i="12" s="1"/>
  <c r="F483" i="12"/>
  <c r="G483" i="12" s="1"/>
  <c r="H473" i="12"/>
  <c r="I473" i="12" s="1"/>
  <c r="F473" i="12"/>
  <c r="G473" i="12" s="1"/>
  <c r="H471" i="12"/>
  <c r="I471" i="12" s="1"/>
  <c r="F471" i="12"/>
  <c r="G471" i="12" s="1"/>
  <c r="A559" i="12"/>
  <c r="O559" i="12" s="1"/>
  <c r="V6" i="2"/>
  <c r="H389" i="12"/>
  <c r="I389" i="12" s="1"/>
  <c r="H390" i="12"/>
  <c r="I390" i="12" s="1"/>
  <c r="F390" i="12"/>
  <c r="G390" i="12" s="1"/>
  <c r="F389" i="12"/>
  <c r="G389" i="12" s="1"/>
  <c r="H387" i="12"/>
  <c r="I387" i="12" s="1"/>
  <c r="F387" i="12"/>
  <c r="G387" i="12" s="1"/>
  <c r="J57" i="20"/>
  <c r="N1" i="13" l="1"/>
  <c r="A210" i="12"/>
  <c r="AO298" i="12"/>
  <c r="A301" i="12"/>
  <c r="A505" i="12"/>
  <c r="L300" i="12"/>
  <c r="L114" i="12"/>
  <c r="L306" i="12"/>
  <c r="L414" i="12"/>
  <c r="L316" i="12"/>
  <c r="L138" i="12"/>
  <c r="L132" i="12"/>
  <c r="L327" i="12"/>
  <c r="L419" i="12"/>
  <c r="L150" i="12"/>
  <c r="L302" i="12"/>
  <c r="L103" i="12"/>
  <c r="L438" i="12"/>
  <c r="I103" i="12"/>
  <c r="I138" i="12"/>
  <c r="AO47" i="12"/>
  <c r="L62" i="12"/>
  <c r="L447" i="12"/>
  <c r="AO222" i="12"/>
  <c r="L448" i="12"/>
  <c r="AO501" i="12"/>
  <c r="L417" i="12"/>
  <c r="L140" i="12"/>
  <c r="L149" i="12"/>
  <c r="O26" i="12"/>
  <c r="O298" i="12"/>
  <c r="O24" i="12"/>
  <c r="O235" i="12"/>
  <c r="AO206" i="12"/>
  <c r="O236" i="12"/>
  <c r="AO221" i="12"/>
  <c r="O53" i="12"/>
  <c r="O52" i="12"/>
  <c r="O234" i="12"/>
  <c r="O242" i="12"/>
  <c r="AO98" i="12"/>
  <c r="O51" i="12"/>
  <c r="O23" i="12"/>
  <c r="O233" i="12"/>
  <c r="O50" i="12"/>
  <c r="O22" i="12"/>
  <c r="L324" i="12"/>
  <c r="L137" i="12"/>
  <c r="O21" i="12"/>
  <c r="O231" i="12"/>
  <c r="O215" i="12"/>
  <c r="AO95" i="12"/>
  <c r="AO59" i="12"/>
  <c r="AO33" i="12"/>
  <c r="O254" i="12"/>
  <c r="L439" i="12"/>
  <c r="AO32" i="12"/>
  <c r="L115" i="12"/>
  <c r="AO31" i="12"/>
  <c r="O227" i="12"/>
  <c r="O211" i="12"/>
  <c r="O41" i="12"/>
  <c r="O226" i="12"/>
  <c r="L299" i="12"/>
  <c r="O40" i="12"/>
  <c r="O225" i="12"/>
  <c r="AO20" i="12"/>
  <c r="AO242" i="12"/>
  <c r="O39" i="12"/>
  <c r="O224" i="12"/>
  <c r="L329" i="12"/>
  <c r="L415" i="12"/>
  <c r="AO49" i="12"/>
  <c r="AO19" i="12"/>
  <c r="O223" i="12"/>
  <c r="L325" i="12"/>
  <c r="L253" i="12"/>
  <c r="L105" i="12"/>
  <c r="AO18" i="12"/>
  <c r="L328" i="12"/>
  <c r="L418" i="12"/>
  <c r="AO48" i="12"/>
  <c r="AO93" i="12"/>
  <c r="AO90" i="12"/>
  <c r="AO89" i="12"/>
  <c r="AO105" i="12"/>
  <c r="O253" i="12"/>
  <c r="O252" i="12"/>
  <c r="O251" i="12"/>
  <c r="O249" i="12"/>
  <c r="O247" i="12"/>
  <c r="O245" i="12"/>
  <c r="O243" i="12"/>
  <c r="AO109" i="12"/>
  <c r="AO45" i="12"/>
  <c r="AO107" i="12"/>
  <c r="AO77" i="12"/>
  <c r="AO58" i="12"/>
  <c r="AO28" i="12"/>
  <c r="AO119" i="12"/>
  <c r="AO405" i="12"/>
  <c r="O34" i="12"/>
  <c r="O37" i="12"/>
  <c r="O35" i="12"/>
  <c r="AO106" i="12"/>
  <c r="AO57" i="12"/>
  <c r="AO27" i="12"/>
  <c r="O120" i="12"/>
  <c r="O88" i="12"/>
  <c r="O38" i="12"/>
  <c r="AO14" i="12"/>
  <c r="AO13" i="12"/>
  <c r="AO9" i="12"/>
  <c r="O87" i="12"/>
  <c r="AO60" i="12"/>
  <c r="AO108" i="12"/>
  <c r="AO8" i="12"/>
  <c r="O86" i="12"/>
  <c r="AO7" i="12"/>
  <c r="O104" i="12"/>
  <c r="O117" i="12"/>
  <c r="O69" i="12"/>
  <c r="AO103" i="12"/>
  <c r="AO71" i="12"/>
  <c r="AO70" i="12"/>
  <c r="O115" i="12"/>
  <c r="O83" i="12"/>
  <c r="O114" i="12"/>
  <c r="O82" i="12"/>
  <c r="AO141" i="12"/>
  <c r="AO136" i="12"/>
  <c r="O113" i="12"/>
  <c r="O81" i="12"/>
  <c r="O112" i="12"/>
  <c r="O80" i="12"/>
  <c r="O111" i="12"/>
  <c r="O79" i="12"/>
  <c r="O110" i="12"/>
  <c r="O94" i="12"/>
  <c r="O78" i="12"/>
  <c r="AO92" i="12"/>
  <c r="AO91" i="12"/>
  <c r="G415" i="12"/>
  <c r="I114" i="12"/>
  <c r="G140" i="12"/>
  <c r="L104" i="12"/>
  <c r="G132" i="12"/>
  <c r="G540" i="12" s="1"/>
  <c r="L540" i="12"/>
  <c r="J519" i="12"/>
  <c r="L61" i="12"/>
  <c r="L130" i="12"/>
  <c r="L390" i="12"/>
  <c r="L389" i="12"/>
  <c r="L483" i="12"/>
  <c r="L387" i="12"/>
  <c r="L321" i="12"/>
  <c r="L490" i="12"/>
  <c r="L247" i="12"/>
  <c r="L152" i="12"/>
  <c r="L489" i="12"/>
  <c r="L473" i="12"/>
  <c r="L488" i="12"/>
  <c r="L471" i="12"/>
  <c r="BC7" i="12" a="1"/>
  <c r="BC7" i="12" s="1"/>
  <c r="BE7" i="12" a="1"/>
  <c r="BE7" i="12" s="1"/>
  <c r="AZ7" i="12" a="1"/>
  <c r="AZ7" i="12" s="1"/>
  <c r="BA7" i="12" a="1"/>
  <c r="BA7" i="12" s="1"/>
  <c r="BB7" i="12" a="1"/>
  <c r="BB7" i="12" s="1"/>
  <c r="BB8" i="12" s="1" a="1"/>
  <c r="BB8" i="12" s="1"/>
  <c r="BD8" i="12" a="1"/>
  <c r="BD8" i="12" s="1"/>
  <c r="A321" i="12"/>
  <c r="A359" i="12"/>
  <c r="A360" i="12"/>
  <c r="EM490" i="13"/>
  <c r="A134" i="12"/>
  <c r="L23" i="20"/>
  <c r="K23" i="20"/>
  <c r="L5" i="12"/>
  <c r="I23" i="20"/>
  <c r="EL483" i="13"/>
  <c r="EL484" i="13"/>
  <c r="EM484" i="13" s="1"/>
  <c r="EM489" i="13"/>
  <c r="A498" i="12"/>
  <c r="O27" i="13" l="1"/>
  <c r="O90" i="13"/>
  <c r="O40" i="13"/>
  <c r="O42" i="13"/>
  <c r="O56" i="13"/>
  <c r="O58" i="13"/>
  <c r="O74" i="13"/>
  <c r="O88" i="13"/>
  <c r="O5" i="13"/>
  <c r="O41" i="13"/>
  <c r="O57" i="13"/>
  <c r="O24" i="13"/>
  <c r="O6" i="13"/>
  <c r="O25" i="13"/>
  <c r="O7" i="13"/>
  <c r="O26" i="13"/>
  <c r="O73" i="13"/>
  <c r="O89" i="13"/>
  <c r="O72" i="13"/>
  <c r="O16" i="13"/>
  <c r="O15" i="13"/>
  <c r="O55" i="13"/>
  <c r="O94" i="13"/>
  <c r="O31" i="13"/>
  <c r="O86" i="13"/>
  <c r="O28" i="13"/>
  <c r="O70" i="13"/>
  <c r="O87" i="13"/>
  <c r="O17" i="13"/>
  <c r="O83" i="13"/>
  <c r="O82" i="13"/>
  <c r="O1" i="13"/>
  <c r="O78" i="13"/>
  <c r="O43" i="13"/>
  <c r="O4" i="13"/>
  <c r="O63" i="13"/>
  <c r="O21" i="13"/>
  <c r="O48" i="13"/>
  <c r="O9" i="13"/>
  <c r="O33" i="13"/>
  <c r="O44" i="13"/>
  <c r="O22" i="13"/>
  <c r="O100" i="13"/>
  <c r="O67" i="13"/>
  <c r="O50" i="13"/>
  <c r="O62" i="13"/>
  <c r="O23" i="13"/>
  <c r="O93" i="13"/>
  <c r="O14" i="13"/>
  <c r="O81" i="13"/>
  <c r="O84" i="13"/>
  <c r="O51" i="13"/>
  <c r="O96" i="13"/>
  <c r="O46" i="13"/>
  <c r="O8" i="13"/>
  <c r="O20" i="13"/>
  <c r="O39" i="13"/>
  <c r="O77" i="13"/>
  <c r="O54" i="13"/>
  <c r="O61" i="13"/>
  <c r="O45" i="13"/>
  <c r="O69" i="13"/>
  <c r="O92" i="13"/>
  <c r="O79" i="13"/>
  <c r="O68" i="13"/>
  <c r="O35" i="13"/>
  <c r="O98" i="13"/>
  <c r="O30" i="13"/>
  <c r="O64" i="13"/>
  <c r="O91" i="13"/>
  <c r="O47" i="13"/>
  <c r="O32" i="13"/>
  <c r="O37" i="13"/>
  <c r="O38" i="13"/>
  <c r="O13" i="13"/>
  <c r="O2" i="13"/>
  <c r="O29" i="13"/>
  <c r="O76" i="13"/>
  <c r="O60" i="13"/>
  <c r="O11" i="13"/>
  <c r="O52" i="13"/>
  <c r="O19" i="13"/>
  <c r="O66" i="13"/>
  <c r="O75" i="13"/>
  <c r="O10" i="13"/>
  <c r="O85" i="13"/>
  <c r="O36" i="13"/>
  <c r="O34" i="13"/>
  <c r="O95" i="13"/>
  <c r="O71" i="13"/>
  <c r="O80" i="13"/>
  <c r="O59" i="13"/>
  <c r="O97" i="13"/>
  <c r="O65" i="13"/>
  <c r="O53" i="13"/>
  <c r="O12" i="13"/>
  <c r="O3" i="13"/>
  <c r="O18" i="13"/>
  <c r="O99" i="13"/>
  <c r="O49" i="13"/>
  <c r="U24" i="13"/>
  <c r="U71" i="13"/>
  <c r="U2" i="13"/>
  <c r="U22" i="13"/>
  <c r="U38" i="13"/>
  <c r="U53" i="13"/>
  <c r="U54" i="13"/>
  <c r="U70" i="13"/>
  <c r="U85" i="13"/>
  <c r="U101" i="13"/>
  <c r="U21" i="13"/>
  <c r="U3" i="13"/>
  <c r="U23" i="13"/>
  <c r="U37" i="13"/>
  <c r="U86" i="13"/>
  <c r="U87" i="13"/>
  <c r="U17" i="13"/>
  <c r="U18" i="13"/>
  <c r="U19" i="13"/>
  <c r="U39" i="13"/>
  <c r="U55" i="13"/>
  <c r="U69" i="13"/>
  <c r="U68" i="13"/>
  <c r="U33" i="13"/>
  <c r="U72" i="13"/>
  <c r="U62" i="13"/>
  <c r="U98" i="13"/>
  <c r="U91" i="13"/>
  <c r="U41" i="13"/>
  <c r="U11" i="13"/>
  <c r="U83" i="13"/>
  <c r="U95" i="13"/>
  <c r="U6" i="13"/>
  <c r="U14" i="13"/>
  <c r="U52" i="13"/>
  <c r="U56" i="13"/>
  <c r="U36" i="13"/>
  <c r="U9" i="13"/>
  <c r="U61" i="13"/>
  <c r="U73" i="13"/>
  <c r="U82" i="13"/>
  <c r="U75" i="13"/>
  <c r="U25" i="13"/>
  <c r="U97" i="13"/>
  <c r="U59" i="13"/>
  <c r="U81" i="13"/>
  <c r="U76" i="13"/>
  <c r="U20" i="13"/>
  <c r="U65" i="13"/>
  <c r="U27" i="13"/>
  <c r="U49" i="13"/>
  <c r="U63" i="13"/>
  <c r="U93" i="13"/>
  <c r="U90" i="13"/>
  <c r="U77" i="13"/>
  <c r="U40" i="13"/>
  <c r="U79" i="13"/>
  <c r="U31" i="13"/>
  <c r="U74" i="13"/>
  <c r="U29" i="13"/>
  <c r="U35" i="13"/>
  <c r="U8" i="13"/>
  <c r="U99" i="13"/>
  <c r="U89" i="13"/>
  <c r="U13" i="13"/>
  <c r="U96" i="13"/>
  <c r="U100" i="13"/>
  <c r="U64" i="13"/>
  <c r="U28" i="13"/>
  <c r="U32" i="13"/>
  <c r="U47" i="13"/>
  <c r="U88" i="13"/>
  <c r="U66" i="13"/>
  <c r="U10" i="13"/>
  <c r="U92" i="13"/>
  <c r="U58" i="13"/>
  <c r="U51" i="13"/>
  <c r="U5" i="13"/>
  <c r="U57" i="13"/>
  <c r="U50" i="13"/>
  <c r="U80" i="13"/>
  <c r="U48" i="13"/>
  <c r="U67" i="13"/>
  <c r="U34" i="13"/>
  <c r="U94" i="13"/>
  <c r="U44" i="13"/>
  <c r="U84" i="13"/>
  <c r="U42" i="13"/>
  <c r="U45" i="13"/>
  <c r="U46" i="13"/>
  <c r="U7" i="13"/>
  <c r="U12" i="13"/>
  <c r="U43" i="13"/>
  <c r="U4" i="13"/>
  <c r="U16" i="13"/>
  <c r="U78" i="13"/>
  <c r="U26" i="13"/>
  <c r="U60" i="13"/>
  <c r="U15" i="13"/>
  <c r="U30" i="13"/>
  <c r="O301" i="12"/>
  <c r="AO301" i="12"/>
  <c r="AO505" i="12"/>
  <c r="O505" i="12"/>
  <c r="AO498" i="12"/>
  <c r="O498" i="12"/>
  <c r="AO210" i="12"/>
  <c r="O210" i="12"/>
  <c r="O134" i="12"/>
  <c r="AO134" i="12"/>
  <c r="AO360" i="12"/>
  <c r="O360" i="12"/>
  <c r="AO321" i="12"/>
  <c r="O321" i="12"/>
  <c r="AO359" i="12"/>
  <c r="O359" i="12"/>
  <c r="BA8" i="12" a="1"/>
  <c r="BA8" i="12" s="1"/>
  <c r="BA9" i="12" s="1" a="1"/>
  <c r="BA9" i="12" s="1"/>
  <c r="BB9" i="12" a="1"/>
  <c r="BB9" i="12" s="1"/>
  <c r="BB10" i="12" s="1" a="1"/>
  <c r="BB10" i="12" s="1"/>
  <c r="AZ8" i="12" a="1"/>
  <c r="AZ8" i="12" s="1"/>
  <c r="BE8" i="12" a="1"/>
  <c r="BE8" i="12" s="1"/>
  <c r="BE9" i="12" s="1" a="1"/>
  <c r="BE9" i="12" s="1"/>
  <c r="BD9" i="12" a="1"/>
  <c r="BD9" i="12" s="1"/>
  <c r="BD10" i="12" s="1" a="1"/>
  <c r="BD10" i="12" s="1"/>
  <c r="BD11" i="12" s="1" a="1"/>
  <c r="BD11" i="12" s="1"/>
  <c r="BC8" i="12" a="1"/>
  <c r="BC8" i="12" s="1"/>
  <c r="BC9" i="12" s="1" a="1"/>
  <c r="BC9" i="12" s="1"/>
  <c r="EL479" i="13"/>
  <c r="EM479" i="13" s="1"/>
  <c r="EL478" i="13"/>
  <c r="EL477" i="13"/>
  <c r="EM483" i="13"/>
  <c r="A509" i="12"/>
  <c r="A508" i="12"/>
  <c r="A357" i="12"/>
  <c r="A356" i="12"/>
  <c r="E69" i="20"/>
  <c r="D69" i="20"/>
  <c r="P4" i="13" l="1"/>
  <c r="P82" i="13"/>
  <c r="P37" i="13"/>
  <c r="P86" i="13"/>
  <c r="P47" i="13"/>
  <c r="P50" i="13"/>
  <c r="P10" i="13"/>
  <c r="P6" i="13"/>
  <c r="P20" i="13"/>
  <c r="P14" i="13"/>
  <c r="P33" i="13"/>
  <c r="P28" i="13"/>
  <c r="P1" i="13"/>
  <c r="P8" i="13"/>
  <c r="P36" i="13"/>
  <c r="P69" i="13"/>
  <c r="P55" i="13"/>
  <c r="P26" i="13"/>
  <c r="P44" i="13"/>
  <c r="P52" i="13"/>
  <c r="P60" i="13"/>
  <c r="P68" i="13"/>
  <c r="P13" i="13"/>
  <c r="P94" i="13"/>
  <c r="P58" i="13"/>
  <c r="P76" i="13"/>
  <c r="P12" i="13"/>
  <c r="P84" i="13"/>
  <c r="P71" i="13"/>
  <c r="P81" i="13"/>
  <c r="P74" i="13"/>
  <c r="P92" i="13"/>
  <c r="P2" i="13"/>
  <c r="P100" i="13"/>
  <c r="P87" i="13"/>
  <c r="P98" i="13"/>
  <c r="P18" i="13"/>
  <c r="P45" i="13"/>
  <c r="P19" i="13"/>
  <c r="P39" i="13"/>
  <c r="P56" i="13"/>
  <c r="P23" i="13"/>
  <c r="P32" i="13"/>
  <c r="P61" i="13"/>
  <c r="P35" i="13"/>
  <c r="P15" i="13"/>
  <c r="P46" i="13"/>
  <c r="P24" i="13"/>
  <c r="P34" i="13"/>
  <c r="P77" i="13"/>
  <c r="P51" i="13"/>
  <c r="P72" i="13"/>
  <c r="P63" i="13"/>
  <c r="P25" i="13"/>
  <c r="P27" i="13"/>
  <c r="P93" i="13"/>
  <c r="P67" i="13"/>
  <c r="P16" i="13"/>
  <c r="P64" i="13"/>
  <c r="P95" i="13"/>
  <c r="P78" i="13"/>
  <c r="P57" i="13"/>
  <c r="P97" i="13"/>
  <c r="P99" i="13"/>
  <c r="P48" i="13"/>
  <c r="P38" i="13"/>
  <c r="P91" i="13"/>
  <c r="P62" i="13"/>
  <c r="P96" i="13"/>
  <c r="P7" i="13"/>
  <c r="P53" i="13"/>
  <c r="P9" i="13"/>
  <c r="P85" i="13"/>
  <c r="P88" i="13"/>
  <c r="P42" i="13"/>
  <c r="P59" i="13"/>
  <c r="P29" i="13"/>
  <c r="P40" i="13"/>
  <c r="P89" i="13"/>
  <c r="P49" i="13"/>
  <c r="P21" i="13"/>
  <c r="P41" i="13"/>
  <c r="P54" i="13"/>
  <c r="P70" i="13"/>
  <c r="P43" i="13"/>
  <c r="P30" i="13"/>
  <c r="P79" i="13"/>
  <c r="P90" i="13"/>
  <c r="P83" i="13"/>
  <c r="P17" i="13"/>
  <c r="P65" i="13"/>
  <c r="P66" i="13"/>
  <c r="P80" i="13"/>
  <c r="P22" i="13"/>
  <c r="P31" i="13"/>
  <c r="P75" i="13"/>
  <c r="P73" i="13"/>
  <c r="P11" i="13"/>
  <c r="P5" i="13"/>
  <c r="P3" i="13"/>
  <c r="AO426" i="12"/>
  <c r="O426" i="12"/>
  <c r="AO508" i="12"/>
  <c r="O508" i="12"/>
  <c r="AO509" i="12"/>
  <c r="O509" i="12"/>
  <c r="AO357" i="12"/>
  <c r="O357" i="12"/>
  <c r="AO356" i="12"/>
  <c r="O356" i="12"/>
  <c r="BC10" i="12" a="1"/>
  <c r="BC10" i="12" s="1"/>
  <c r="BC11" i="12" s="1" a="1"/>
  <c r="BC11" i="12" s="1"/>
  <c r="BA10" i="12" a="1"/>
  <c r="BA10" i="12" s="1"/>
  <c r="BA11" i="12" s="1" a="1"/>
  <c r="BA11" i="12" s="1"/>
  <c r="AZ9" i="12" a="1"/>
  <c r="AZ9" i="12" s="1"/>
  <c r="AZ10" i="12" s="1" a="1"/>
  <c r="AZ10" i="12" s="1"/>
  <c r="BD12" i="12" a="1"/>
  <c r="BD12" i="12" s="1"/>
  <c r="BD13" i="12" s="1" a="1"/>
  <c r="BD13" i="12" s="1"/>
  <c r="BE10" i="12" a="1"/>
  <c r="BE10" i="12" s="1"/>
  <c r="BE11" i="12" s="1" a="1"/>
  <c r="BE11" i="12" s="1"/>
  <c r="EM478" i="13"/>
  <c r="H69" i="20"/>
  <c r="L69" i="20"/>
  <c r="K69" i="20"/>
  <c r="EM477" i="13"/>
  <c r="F69" i="20"/>
  <c r="G69" i="20"/>
  <c r="AO557" i="12"/>
  <c r="AO558" i="12"/>
  <c r="AO559" i="12"/>
  <c r="AO6" i="12"/>
  <c r="Y501" i="13" l="1"/>
  <c r="Q1" i="13"/>
  <c r="BC12" i="12" a="1"/>
  <c r="BC12" i="12" s="1"/>
  <c r="BC13" i="12" s="1" a="1"/>
  <c r="BC13" i="12" s="1"/>
  <c r="AZ11" i="12" a="1"/>
  <c r="AZ11" i="12" s="1"/>
  <c r="BA12" i="12" a="1"/>
  <c r="BA12" i="12" s="1"/>
  <c r="BD14" i="12" a="1"/>
  <c r="BD14" i="12" s="1"/>
  <c r="O5" i="12"/>
  <c r="Y593" i="13" l="1"/>
  <c r="Y562" i="13"/>
  <c r="Y517" i="13"/>
  <c r="Y524" i="13"/>
  <c r="Y523" i="13"/>
  <c r="Y551" i="13"/>
  <c r="Y584" i="13"/>
  <c r="Y600" i="13"/>
  <c r="Y580" i="13"/>
  <c r="Y558" i="13"/>
  <c r="Y592" i="13"/>
  <c r="Y578" i="13"/>
  <c r="Y533" i="13"/>
  <c r="Y540" i="13"/>
  <c r="Y520" i="13"/>
  <c r="Y590" i="13"/>
  <c r="Y535" i="13"/>
  <c r="Y534" i="13"/>
  <c r="Y528" i="13"/>
  <c r="Y544" i="13"/>
  <c r="Y560" i="13"/>
  <c r="Y538" i="13"/>
  <c r="Y576" i="13"/>
  <c r="Y574" i="13"/>
  <c r="Y594" i="13"/>
  <c r="Y549" i="13"/>
  <c r="Y556" i="13"/>
  <c r="Y518" i="13"/>
  <c r="Y575" i="13"/>
  <c r="Y557" i="13"/>
  <c r="Y571" i="13"/>
  <c r="Y539" i="13"/>
  <c r="Y522" i="13"/>
  <c r="Y550" i="13"/>
  <c r="Y519" i="13"/>
  <c r="Y531" i="13"/>
  <c r="Y570" i="13"/>
  <c r="Y547" i="13"/>
  <c r="Y599" i="13"/>
  <c r="Y521" i="13"/>
  <c r="Y559" i="13"/>
  <c r="Y553" i="13"/>
  <c r="Y548" i="13"/>
  <c r="Y529" i="13"/>
  <c r="Y564" i="13"/>
  <c r="Y566" i="13"/>
  <c r="Y579" i="13"/>
  <c r="Y582" i="13"/>
  <c r="Y591" i="13"/>
  <c r="Y552" i="13"/>
  <c r="Y587" i="13"/>
  <c r="Y563" i="13"/>
  <c r="Y536" i="13"/>
  <c r="Y554" i="13"/>
  <c r="Y532" i="13"/>
  <c r="Y583" i="13"/>
  <c r="Y589" i="13"/>
  <c r="Y530" i="13"/>
  <c r="Y546" i="13"/>
  <c r="Y565" i="13"/>
  <c r="Y526" i="13"/>
  <c r="Y585" i="13"/>
  <c r="Y567" i="13"/>
  <c r="Y595" i="13"/>
  <c r="Y568" i="13"/>
  <c r="Y586" i="13"/>
  <c r="Y543" i="13"/>
  <c r="Y588" i="13"/>
  <c r="Y525" i="13"/>
  <c r="Y541" i="13"/>
  <c r="Y573" i="13"/>
  <c r="Y561" i="13"/>
  <c r="Y527" i="13"/>
  <c r="Y596" i="13"/>
  <c r="Y537" i="13"/>
  <c r="Y598" i="13"/>
  <c r="Y545" i="13"/>
  <c r="Y542" i="13"/>
  <c r="Y572" i="13"/>
  <c r="Y597" i="13"/>
  <c r="Y577" i="13"/>
  <c r="Y581" i="13"/>
  <c r="Y555" i="13"/>
  <c r="Y601" i="13"/>
  <c r="Y569" i="13"/>
  <c r="BC14" i="12" a="1"/>
  <c r="BC14" i="12" s="1"/>
  <c r="BC15" i="12" s="1" a="1"/>
  <c r="BC15" i="12" s="1"/>
  <c r="AZ12" i="12" a="1"/>
  <c r="AZ12" i="12" s="1"/>
  <c r="AZ13" i="12" s="1" a="1"/>
  <c r="AZ13" i="12" s="1"/>
  <c r="AZ14" i="12" s="1" a="1"/>
  <c r="AZ14" i="12" s="1"/>
  <c r="AZ15" i="12" s="1" a="1"/>
  <c r="AZ15" i="12" s="1"/>
  <c r="AZ16" i="12" s="1" a="1"/>
  <c r="AZ16" i="12" s="1"/>
  <c r="AZ17" i="12" s="1" a="1"/>
  <c r="AZ17" i="12" s="1"/>
  <c r="AZ18" i="12" s="1" a="1"/>
  <c r="AZ18" i="12" s="1"/>
  <c r="AZ19" i="12" s="1" a="1"/>
  <c r="AZ19" i="12" s="1"/>
  <c r="AZ20" i="12" s="1" a="1"/>
  <c r="AZ20" i="12" s="1"/>
  <c r="AZ21" i="12" s="1" a="1"/>
  <c r="AZ21" i="12" s="1"/>
  <c r="AZ22" i="12" s="1" a="1"/>
  <c r="AZ22" i="12" s="1"/>
  <c r="AZ23" i="12" s="1" a="1"/>
  <c r="AZ23" i="12" s="1"/>
  <c r="AZ24" i="12" s="1" a="1"/>
  <c r="AZ24" i="12" s="1"/>
  <c r="BA13" i="12" a="1"/>
  <c r="BA13" i="12" s="1"/>
  <c r="BD15" i="12" a="1"/>
  <c r="BD15" i="12" s="1"/>
  <c r="Q12" i="6" a="1"/>
  <c r="Q12" i="6" s="1"/>
  <c r="Q11" i="6" a="1"/>
  <c r="Q11" i="6" s="1"/>
  <c r="Q10" i="6" a="1"/>
  <c r="Q10" i="6" s="1"/>
  <c r="Q9" i="6" a="1"/>
  <c r="Q9" i="6" s="1"/>
  <c r="Q8" i="6" a="1"/>
  <c r="Q8" i="6" s="1"/>
  <c r="AV533" i="12"/>
  <c r="H533" i="12"/>
  <c r="F533" i="12"/>
  <c r="G533" i="12" s="1"/>
  <c r="L13" i="2"/>
  <c r="BD1" i="12"/>
  <c r="BD2" i="12"/>
  <c r="AV255" i="12"/>
  <c r="AV256" i="12"/>
  <c r="Z528" i="13" a="1"/>
  <c r="Z569" i="13" a="1"/>
  <c r="Z550" i="13" a="1"/>
  <c r="Z600" i="13" a="1"/>
  <c r="Z534" i="13" a="1"/>
  <c r="Z520" i="13" a="1"/>
  <c r="Z517" i="13" a="1"/>
  <c r="Z519" i="13" a="1"/>
  <c r="Z593" i="13" a="1"/>
  <c r="Z544" i="13" a="1"/>
  <c r="Z526" i="13" a="1"/>
  <c r="Z596" i="13" a="1"/>
  <c r="Z571" i="13" a="1"/>
  <c r="Z537" i="13" a="1"/>
  <c r="Z529" i="13" a="1"/>
  <c r="Z551" i="13" a="1"/>
  <c r="Z533" i="13" a="1"/>
  <c r="Z547" i="13" a="1"/>
  <c r="Z549" i="13" a="1"/>
  <c r="Z524" i="13" a="1"/>
  <c r="Z598" i="13" a="1"/>
  <c r="Z535" i="13" a="1"/>
  <c r="Z589" i="13" a="1"/>
  <c r="Z587" i="13" a="1"/>
  <c r="Z572" i="13" a="1"/>
  <c r="Z522" i="13" a="1"/>
  <c r="Z554" i="13" a="1"/>
  <c r="Z591" i="13" a="1"/>
  <c r="Z566" i="13" a="1"/>
  <c r="Z558" i="13" a="1"/>
  <c r="Z597" i="13" a="1"/>
  <c r="Z586" i="13" a="1"/>
  <c r="Z543" i="13" a="1"/>
  <c r="Z579" i="13" a="1"/>
  <c r="Z556" i="13" a="1"/>
  <c r="Z552" i="13" a="1"/>
  <c r="Z588" i="13" a="1"/>
  <c r="Z538" i="13" a="1"/>
  <c r="Z576" i="13" a="1"/>
  <c r="Z546" i="13" a="1"/>
  <c r="Z581" i="13" a="1"/>
  <c r="Z577" i="13" a="1"/>
  <c r="Z540" i="13" a="1"/>
  <c r="Z563" i="13" a="1"/>
  <c r="Z601" i="13" a="1"/>
  <c r="Z518" i="13" a="1"/>
  <c r="Z585" i="13" a="1"/>
  <c r="Z584" i="13" a="1"/>
  <c r="Z557" i="13" a="1"/>
  <c r="Z555" i="13" a="1"/>
  <c r="Z575" i="13" a="1"/>
  <c r="Z599" i="13" a="1"/>
  <c r="Z582" i="13" a="1"/>
  <c r="Z567" i="13" a="1"/>
  <c r="Z580" i="13" a="1"/>
  <c r="Z570" i="13" a="1"/>
  <c r="Z548" i="13" a="1"/>
  <c r="Z521" i="13" a="1"/>
  <c r="Z542" i="13" a="1"/>
  <c r="Z530" i="13" a="1"/>
  <c r="Z590" i="13" a="1"/>
  <c r="Z541" i="13" a="1"/>
  <c r="Z564" i="13" a="1"/>
  <c r="Z562" i="13" a="1"/>
  <c r="Z545" i="13" a="1"/>
  <c r="Z573" i="13" a="1"/>
  <c r="Z594" i="13" a="1"/>
  <c r="Z578" i="13" a="1"/>
  <c r="Z568" i="13" a="1"/>
  <c r="Z539" i="13" a="1"/>
  <c r="Z532" i="13" a="1"/>
  <c r="Z536" i="13" a="1"/>
  <c r="Z561" i="13" a="1"/>
  <c r="Z527" i="13" a="1"/>
  <c r="Z583" i="13" a="1"/>
  <c r="Z559" i="13" a="1"/>
  <c r="Z525" i="13" a="1"/>
  <c r="Z592" i="13" a="1"/>
  <c r="Z531" i="13" a="1"/>
  <c r="Z565" i="13" a="1"/>
  <c r="Z560" i="13" a="1"/>
  <c r="Z574" i="13" a="1"/>
  <c r="Z595" i="13" a="1"/>
  <c r="Z523" i="13" a="1"/>
  <c r="Z553" i="13" a="1"/>
  <c r="Z597" i="13" l="1"/>
  <c r="AA597" i="13" s="1"/>
  <c r="AB597" i="13" s="1"/>
  <c r="Z572" i="13"/>
  <c r="AA572" i="13" s="1"/>
  <c r="AB572" i="13" s="1"/>
  <c r="Z542" i="13"/>
  <c r="AA542" i="13" s="1"/>
  <c r="AB542" i="13" s="1"/>
  <c r="Z585" i="13"/>
  <c r="AA585" i="13" s="1"/>
  <c r="AB585" i="13" s="1"/>
  <c r="Z566" i="13"/>
  <c r="AA566" i="13" s="1"/>
  <c r="AB566" i="13" s="1"/>
  <c r="Z557" i="13"/>
  <c r="AA557" i="13" s="1"/>
  <c r="AB557" i="13" s="1"/>
  <c r="Z540" i="13"/>
  <c r="AA540" i="13" s="1"/>
  <c r="AB540" i="13" s="1"/>
  <c r="Z545" i="13"/>
  <c r="AA545" i="13" s="1"/>
  <c r="AB545" i="13" s="1"/>
  <c r="Z526" i="13"/>
  <c r="AA526" i="13" s="1"/>
  <c r="AB526" i="13" s="1"/>
  <c r="Z564" i="13"/>
  <c r="AA564" i="13" s="1"/>
  <c r="AB564" i="13" s="1"/>
  <c r="Z575" i="13"/>
  <c r="AA575" i="13" s="1"/>
  <c r="AB575" i="13" s="1"/>
  <c r="Z533" i="13"/>
  <c r="AA533" i="13" s="1"/>
  <c r="AB533" i="13" s="1"/>
  <c r="Z590" i="13"/>
  <c r="AA590" i="13" s="1"/>
  <c r="AB590" i="13" s="1"/>
  <c r="Z565" i="13"/>
  <c r="AA565" i="13" s="1"/>
  <c r="AB565" i="13" s="1"/>
  <c r="Z529" i="13"/>
  <c r="AA529" i="13" s="1"/>
  <c r="AB529" i="13" s="1"/>
  <c r="Z518" i="13"/>
  <c r="AA518" i="13" s="1"/>
  <c r="AB518" i="13" s="1"/>
  <c r="Z578" i="13"/>
  <c r="AA578" i="13" s="1"/>
  <c r="AB578" i="13" s="1"/>
  <c r="Z595" i="13"/>
  <c r="AA595" i="13" s="1"/>
  <c r="AB595" i="13" s="1"/>
  <c r="Z579" i="13"/>
  <c r="AA579" i="13" s="1"/>
  <c r="AB579" i="13" s="1"/>
  <c r="Z537" i="13"/>
  <c r="AA537" i="13" s="1"/>
  <c r="AB537" i="13" s="1"/>
  <c r="Z546" i="13"/>
  <c r="AA546" i="13" s="1"/>
  <c r="AB546" i="13" s="1"/>
  <c r="Z548" i="13"/>
  <c r="AA548" i="13" s="1"/>
  <c r="AB548" i="13" s="1"/>
  <c r="Z556" i="13"/>
  <c r="AA556" i="13" s="1"/>
  <c r="AB556" i="13" s="1"/>
  <c r="Z592" i="13"/>
  <c r="AA592" i="13" s="1"/>
  <c r="AB592" i="13" s="1"/>
  <c r="Z582" i="13"/>
  <c r="AA582" i="13" s="1"/>
  <c r="AB582" i="13" s="1"/>
  <c r="Z596" i="13"/>
  <c r="AA596" i="13" s="1"/>
  <c r="AB596" i="13" s="1"/>
  <c r="Z530" i="13"/>
  <c r="AA530" i="13" s="1"/>
  <c r="AB530" i="13" s="1"/>
  <c r="Z553" i="13"/>
  <c r="AA553" i="13" s="1"/>
  <c r="AB553" i="13" s="1"/>
  <c r="Z549" i="13"/>
  <c r="AA549" i="13" s="1"/>
  <c r="AB549" i="13" s="1"/>
  <c r="Z558" i="13"/>
  <c r="AA558" i="13" s="1"/>
  <c r="AB558" i="13" s="1"/>
  <c r="Z539" i="13"/>
  <c r="AA539" i="13" s="1"/>
  <c r="AB539" i="13" s="1"/>
  <c r="Z598" i="13"/>
  <c r="AA598" i="13" s="1"/>
  <c r="AB598" i="13" s="1"/>
  <c r="Z589" i="13"/>
  <c r="AA589" i="13" s="1"/>
  <c r="AB589" i="13" s="1"/>
  <c r="Z559" i="13"/>
  <c r="AA559" i="13" s="1"/>
  <c r="AB559" i="13" s="1"/>
  <c r="Z594" i="13"/>
  <c r="AA594" i="13" s="1"/>
  <c r="AB594" i="13" s="1"/>
  <c r="Z580" i="13"/>
  <c r="AA580" i="13" s="1"/>
  <c r="AB580" i="13" s="1"/>
  <c r="Z574" i="13"/>
  <c r="AA574" i="13" s="1"/>
  <c r="AB574" i="13" s="1"/>
  <c r="Z600" i="13"/>
  <c r="AA600" i="13" s="1"/>
  <c r="AB600" i="13" s="1"/>
  <c r="Z571" i="13"/>
  <c r="AA571" i="13" s="1"/>
  <c r="AB571" i="13" s="1"/>
  <c r="Z583" i="13"/>
  <c r="AA583" i="13" s="1"/>
  <c r="AB583" i="13" s="1"/>
  <c r="Z573" i="13"/>
  <c r="AA573" i="13" s="1"/>
  <c r="AB573" i="13" s="1"/>
  <c r="Z532" i="13"/>
  <c r="AA532" i="13" s="1"/>
  <c r="AB532" i="13" s="1"/>
  <c r="Z599" i="13"/>
  <c r="AA599" i="13" s="1"/>
  <c r="AB599" i="13" s="1"/>
  <c r="Z576" i="13"/>
  <c r="AA576" i="13" s="1"/>
  <c r="AB576" i="13" s="1"/>
  <c r="Z584" i="13"/>
  <c r="AA584" i="13" s="1"/>
  <c r="AB584" i="13" s="1"/>
  <c r="Z521" i="13"/>
  <c r="AA521" i="13" s="1"/>
  <c r="AB521" i="13" s="1"/>
  <c r="Z541" i="13"/>
  <c r="AA541" i="13" s="1"/>
  <c r="AB541" i="13" s="1"/>
  <c r="Z554" i="13"/>
  <c r="AA554" i="13" s="1"/>
  <c r="AB554" i="13" s="1"/>
  <c r="Z547" i="13"/>
  <c r="AA547" i="13" s="1"/>
  <c r="AB547" i="13" s="1"/>
  <c r="Z538" i="13"/>
  <c r="AA538" i="13" s="1"/>
  <c r="AB538" i="13" s="1"/>
  <c r="Z551" i="13"/>
  <c r="AA551" i="13" s="1"/>
  <c r="AB551" i="13" s="1"/>
  <c r="Z569" i="13"/>
  <c r="AA569" i="13" s="1"/>
  <c r="AB569" i="13" s="1"/>
  <c r="Z570" i="13"/>
  <c r="AA570" i="13" s="1"/>
  <c r="AB570" i="13" s="1"/>
  <c r="Z560" i="13"/>
  <c r="AA560" i="13" s="1"/>
  <c r="AB560" i="13" s="1"/>
  <c r="Z523" i="13"/>
  <c r="AA523" i="13" s="1"/>
  <c r="AB523" i="13" s="1"/>
  <c r="Z561" i="13"/>
  <c r="AA561" i="13" s="1"/>
  <c r="AB561" i="13" s="1"/>
  <c r="Z601" i="13"/>
  <c r="AA601" i="13" s="1"/>
  <c r="AB601" i="13" s="1"/>
  <c r="W601" i="13" s="1"/>
  <c r="Z588" i="13"/>
  <c r="AA588" i="13" s="1"/>
  <c r="AB588" i="13" s="1"/>
  <c r="W588" i="13" s="1"/>
  <c r="Z563" i="13"/>
  <c r="AA563" i="13" s="1"/>
  <c r="AB563" i="13" s="1"/>
  <c r="Z531" i="13"/>
  <c r="AA531" i="13" s="1"/>
  <c r="AB531" i="13" s="1"/>
  <c r="Z544" i="13"/>
  <c r="AA544" i="13" s="1"/>
  <c r="AB544" i="13" s="1"/>
  <c r="Z524" i="13"/>
  <c r="AA524" i="13" s="1"/>
  <c r="AB524" i="13" s="1"/>
  <c r="Z567" i="13"/>
  <c r="AA567" i="13" s="1"/>
  <c r="AB567" i="13" s="1"/>
  <c r="Z527" i="13"/>
  <c r="AA527" i="13" s="1"/>
  <c r="AB527" i="13" s="1"/>
  <c r="Z536" i="13"/>
  <c r="AA536" i="13" s="1"/>
  <c r="AB536" i="13" s="1"/>
  <c r="Z543" i="13"/>
  <c r="AA543" i="13" s="1"/>
  <c r="AB543" i="13" s="1"/>
  <c r="Z587" i="13"/>
  <c r="AA587" i="13" s="1"/>
  <c r="AB587" i="13" s="1"/>
  <c r="Z519" i="13"/>
  <c r="AA519" i="13" s="1"/>
  <c r="AB519" i="13" s="1"/>
  <c r="Z528" i="13"/>
  <c r="AA528" i="13" s="1"/>
  <c r="AB528" i="13" s="1"/>
  <c r="Z517" i="13"/>
  <c r="AA517" i="13" s="1"/>
  <c r="AB517" i="13" s="1"/>
  <c r="Z581" i="13"/>
  <c r="AA581" i="13" s="1"/>
  <c r="AB581" i="13" s="1"/>
  <c r="Z586" i="13"/>
  <c r="AA586" i="13" s="1"/>
  <c r="AB586" i="13" s="1"/>
  <c r="Z552" i="13"/>
  <c r="AA552" i="13" s="1"/>
  <c r="AB552" i="13" s="1"/>
  <c r="Z550" i="13"/>
  <c r="AA550" i="13" s="1"/>
  <c r="AB550" i="13" s="1"/>
  <c r="Z534" i="13"/>
  <c r="AA534" i="13" s="1"/>
  <c r="AB534" i="13" s="1"/>
  <c r="Z562" i="13"/>
  <c r="AA562" i="13" s="1"/>
  <c r="AB562" i="13" s="1"/>
  <c r="W562" i="13" s="1"/>
  <c r="Z520" i="13"/>
  <c r="AA520" i="13" s="1"/>
  <c r="AB520" i="13" s="1"/>
  <c r="Z525" i="13"/>
  <c r="AA525" i="13" s="1"/>
  <c r="AB525" i="13" s="1"/>
  <c r="Z555" i="13"/>
  <c r="AA555" i="13" s="1"/>
  <c r="AB555" i="13" s="1"/>
  <c r="Z577" i="13"/>
  <c r="AA577" i="13" s="1"/>
  <c r="AB577" i="13" s="1"/>
  <c r="Z568" i="13"/>
  <c r="AA568" i="13" s="1"/>
  <c r="AB568" i="13" s="1"/>
  <c r="Z591" i="13"/>
  <c r="AA591" i="13" s="1"/>
  <c r="AB591" i="13" s="1"/>
  <c r="Z522" i="13"/>
  <c r="AA522" i="13" s="1"/>
  <c r="AB522" i="13" s="1"/>
  <c r="Z535" i="13"/>
  <c r="AA535" i="13" s="1"/>
  <c r="AB535" i="13" s="1"/>
  <c r="Z593" i="13"/>
  <c r="AA593" i="13" s="1"/>
  <c r="AB593" i="13" s="1"/>
  <c r="BC16" i="12" a="1"/>
  <c r="BC16" i="12" s="1"/>
  <c r="I533" i="12"/>
  <c r="L533" i="12"/>
  <c r="BD16" i="12" a="1"/>
  <c r="BD16" i="12" s="1"/>
  <c r="BD17" i="12" s="1" a="1"/>
  <c r="BD17" i="12" s="1"/>
  <c r="BD18" i="12" s="1" a="1"/>
  <c r="BD18" i="12" s="1"/>
  <c r="BD19" i="12" s="1" a="1"/>
  <c r="BD19" i="12" s="1"/>
  <c r="BD20" i="12" s="1" a="1"/>
  <c r="BD20" i="12" s="1"/>
  <c r="BD21" i="12" s="1" a="1"/>
  <c r="BD21" i="12" s="1"/>
  <c r="BD22" i="12" s="1" a="1"/>
  <c r="BD22" i="12" s="1"/>
  <c r="BD23" i="12" s="1" a="1"/>
  <c r="BD23" i="12" s="1"/>
  <c r="BD24" i="12" s="1" a="1"/>
  <c r="BD24" i="12" s="1"/>
  <c r="BD25" i="12" s="1" a="1"/>
  <c r="BD25" i="12" s="1"/>
  <c r="BD26" i="12" s="1" a="1"/>
  <c r="BD26" i="12" s="1"/>
  <c r="BA14" i="12" a="1"/>
  <c r="BA14" i="12" s="1"/>
  <c r="A330" i="12"/>
  <c r="I556" i="12"/>
  <c r="H556" i="12"/>
  <c r="W577" i="13" l="1"/>
  <c r="W582" i="13"/>
  <c r="W544" i="13"/>
  <c r="W576" i="13"/>
  <c r="W554" i="13"/>
  <c r="W558" i="13"/>
  <c r="W553" i="13"/>
  <c r="W563" i="13"/>
  <c r="W573" i="13"/>
  <c r="W535" i="13"/>
  <c r="W556" i="13"/>
  <c r="W549" i="13"/>
  <c r="W591" i="13"/>
  <c r="W584" i="13"/>
  <c r="W552" i="13"/>
  <c r="W555" i="13"/>
  <c r="W594" i="13"/>
  <c r="W596" i="13"/>
  <c r="W567" i="13"/>
  <c r="W541" i="13"/>
  <c r="W599" i="13"/>
  <c r="W561" i="13"/>
  <c r="W581" i="13"/>
  <c r="W595" i="13"/>
  <c r="W598" i="13"/>
  <c r="W539" i="13"/>
  <c r="W575" i="13"/>
  <c r="W600" i="13"/>
  <c r="W548" i="13"/>
  <c r="W574" i="13"/>
  <c r="W580" i="13"/>
  <c r="W587" i="13"/>
  <c r="W565" i="13"/>
  <c r="W590" i="13"/>
  <c r="W533" i="13"/>
  <c r="W534" i="13"/>
  <c r="W550" i="13"/>
  <c r="W564" i="13"/>
  <c r="W586" i="13"/>
  <c r="W583" i="13"/>
  <c r="W592" i="13"/>
  <c r="W545" i="13"/>
  <c r="W571" i="13"/>
  <c r="W540" i="13"/>
  <c r="W557" i="13"/>
  <c r="W593" i="13"/>
  <c r="W546" i="13"/>
  <c r="W566" i="13"/>
  <c r="W569" i="13"/>
  <c r="W537" i="13"/>
  <c r="W585" i="13"/>
  <c r="W551" i="13"/>
  <c r="W579" i="13"/>
  <c r="W542" i="13"/>
  <c r="W543" i="13"/>
  <c r="W538" i="13"/>
  <c r="W559" i="13"/>
  <c r="W572" i="13"/>
  <c r="W560" i="13"/>
  <c r="W570" i="13"/>
  <c r="W568" i="13"/>
  <c r="W536" i="13"/>
  <c r="W547" i="13"/>
  <c r="W589" i="13"/>
  <c r="W578" i="13"/>
  <c r="W597" i="13"/>
  <c r="O330" i="12"/>
  <c r="AO330" i="12"/>
  <c r="BA15" i="12" a="1"/>
  <c r="BA15" i="12" s="1"/>
  <c r="BA16" i="12" s="1" a="1"/>
  <c r="BA16" i="12" s="1"/>
  <c r="BA17" i="12" s="1" a="1"/>
  <c r="BA17" i="12" s="1"/>
  <c r="BA18" i="12" s="1" a="1"/>
  <c r="BA18" i="12" s="1"/>
  <c r="BA19" i="12" s="1" a="1"/>
  <c r="BA19" i="12" s="1"/>
  <c r="BA20" i="12" s="1" a="1"/>
  <c r="BA20" i="12" s="1"/>
  <c r="BA21" i="12" s="1" a="1"/>
  <c r="BA21" i="12" s="1"/>
  <c r="BA22" i="12" s="1" a="1"/>
  <c r="BA22" i="12" s="1"/>
  <c r="BA23" i="12" s="1" a="1"/>
  <c r="BA23" i="12" s="1"/>
  <c r="BA24" i="12" s="1" a="1"/>
  <c r="BA24" i="12" s="1"/>
  <c r="BA25" i="12" s="1" a="1"/>
  <c r="BA25" i="12" s="1"/>
  <c r="BA26" i="12" s="1" a="1"/>
  <c r="BA26" i="12" s="1"/>
  <c r="BA27" i="12" s="1" a="1"/>
  <c r="BA27" i="12" s="1"/>
  <c r="BA28" i="12" s="1" a="1"/>
  <c r="BA28" i="12" s="1"/>
  <c r="BA29" i="12" s="1" a="1"/>
  <c r="BA29" i="12" s="1"/>
  <c r="BA30" i="12" s="1" a="1"/>
  <c r="BA30" i="12" s="1"/>
  <c r="BA31" i="12" s="1" a="1"/>
  <c r="BA31" i="12" s="1"/>
  <c r="BA32" i="12" s="1" a="1"/>
  <c r="BA32" i="12" s="1"/>
  <c r="BD27" i="12" a="1"/>
  <c r="BD27" i="12" s="1"/>
  <c r="BD28" i="12" s="1" a="1"/>
  <c r="BD28" i="12" s="1"/>
  <c r="BD29" i="12" s="1" a="1"/>
  <c r="BD29" i="12" s="1"/>
  <c r="BD30" i="12" s="1" a="1"/>
  <c r="BD30" i="12" s="1"/>
  <c r="BD31" i="12" s="1" a="1"/>
  <c r="BD31" i="12" s="1"/>
  <c r="BD32" i="12" s="1" a="1"/>
  <c r="BD32" i="12" s="1"/>
  <c r="BD33" i="12" s="1" a="1"/>
  <c r="BD33" i="12" s="1"/>
  <c r="BD34" i="12" s="1" a="1"/>
  <c r="BD34" i="12" s="1"/>
  <c r="BD35" i="12" s="1" a="1"/>
  <c r="BD35" i="12" s="1"/>
  <c r="A326" i="12"/>
  <c r="A322" i="12"/>
  <c r="A534" i="12"/>
  <c r="A535" i="12"/>
  <c r="A529" i="12"/>
  <c r="A528" i="12"/>
  <c r="A530" i="12"/>
  <c r="A531" i="12"/>
  <c r="A533" i="12"/>
  <c r="A537" i="12"/>
  <c r="A536" i="12"/>
  <c r="BB2" i="12"/>
  <c r="BB3" i="12"/>
  <c r="BB1" i="12"/>
  <c r="O537" i="12" l="1"/>
  <c r="AO537" i="12"/>
  <c r="AO528" i="12"/>
  <c r="O528" i="12"/>
  <c r="O536" i="12"/>
  <c r="AO536" i="12"/>
  <c r="AO529" i="12"/>
  <c r="O529" i="12"/>
  <c r="AO531" i="12"/>
  <c r="O531" i="12"/>
  <c r="O535" i="12"/>
  <c r="AO535" i="12"/>
  <c r="AO533" i="12"/>
  <c r="O533" i="12"/>
  <c r="AO530" i="12"/>
  <c r="O530" i="12"/>
  <c r="O534" i="12"/>
  <c r="AO534" i="12"/>
  <c r="AO322" i="12"/>
  <c r="O322" i="12"/>
  <c r="AO326" i="12"/>
  <c r="O326" i="12"/>
  <c r="BC4" i="12"/>
  <c r="AT244" i="12"/>
  <c r="AT246" i="12"/>
  <c r="AT248" i="12"/>
  <c r="AT250" i="12"/>
  <c r="AT205" i="12"/>
  <c r="AV205" i="12" s="1"/>
  <c r="AT206" i="12"/>
  <c r="AV206" i="12" s="1"/>
  <c r="AT208" i="12"/>
  <c r="AV208" i="12" s="1"/>
  <c r="AT209" i="12"/>
  <c r="AV209" i="12" s="1"/>
  <c r="AT210" i="12"/>
  <c r="AV210" i="12" s="1"/>
  <c r="AT211" i="12"/>
  <c r="AV211" i="12" s="1"/>
  <c r="AT212" i="12"/>
  <c r="AV212" i="12" s="1"/>
  <c r="AT213" i="12"/>
  <c r="AV213" i="12" s="1"/>
  <c r="AT214" i="12"/>
  <c r="AV214" i="12" s="1"/>
  <c r="AT215" i="12"/>
  <c r="AV215" i="12" s="1"/>
  <c r="AT216" i="12"/>
  <c r="AV216" i="12" s="1"/>
  <c r="AT217" i="12"/>
  <c r="AV217" i="12" s="1"/>
  <c r="AT218" i="12"/>
  <c r="AV218" i="12" s="1"/>
  <c r="AT219" i="12"/>
  <c r="AV219" i="12" s="1"/>
  <c r="AT220" i="12"/>
  <c r="AV220" i="12" s="1"/>
  <c r="AT221" i="12"/>
  <c r="AV221" i="12" s="1"/>
  <c r="AT222" i="12"/>
  <c r="AV222" i="12" s="1"/>
  <c r="AT223" i="12"/>
  <c r="AV223" i="12" s="1"/>
  <c r="AT224" i="12"/>
  <c r="AV224" i="12" s="1"/>
  <c r="AT225" i="12"/>
  <c r="AV225" i="12" s="1"/>
  <c r="AT226" i="12"/>
  <c r="AV226" i="12" s="1"/>
  <c r="AT227" i="12"/>
  <c r="AV227" i="12" s="1"/>
  <c r="AT228" i="12"/>
  <c r="AV228" i="12" s="1"/>
  <c r="AT229" i="12"/>
  <c r="AV229" i="12" s="1"/>
  <c r="AT230" i="12"/>
  <c r="AV230" i="12" s="1"/>
  <c r="AT231" i="12"/>
  <c r="AV231" i="12" s="1"/>
  <c r="AT232" i="12"/>
  <c r="AV232" i="12" s="1"/>
  <c r="AT233" i="12"/>
  <c r="AV233" i="12" s="1"/>
  <c r="AT234" i="12"/>
  <c r="AV234" i="12" s="1"/>
  <c r="AT235" i="12"/>
  <c r="AV235" i="12" s="1"/>
  <c r="AT236" i="12"/>
  <c r="AV236" i="12" s="1"/>
  <c r="AT237" i="12"/>
  <c r="AV237" i="12" s="1"/>
  <c r="AT238" i="12"/>
  <c r="AV238" i="12" s="1"/>
  <c r="AT239" i="12"/>
  <c r="AV239" i="12" s="1"/>
  <c r="AT240" i="12"/>
  <c r="AV240" i="12" s="1"/>
  <c r="AT47" i="12"/>
  <c r="AT48" i="12"/>
  <c r="AT49" i="12"/>
  <c r="AT50" i="12"/>
  <c r="AT51" i="12"/>
  <c r="AT52" i="12"/>
  <c r="AT53" i="12"/>
  <c r="AT54" i="12"/>
  <c r="AV54" i="12" s="1"/>
  <c r="AT55" i="12"/>
  <c r="AT56" i="12"/>
  <c r="AV56" i="12" s="1"/>
  <c r="AT57" i="12"/>
  <c r="AT58" i="12"/>
  <c r="AT59" i="12"/>
  <c r="AT60" i="12"/>
  <c r="AT62" i="12"/>
  <c r="AT63" i="12"/>
  <c r="AT64" i="12"/>
  <c r="AT65" i="12"/>
  <c r="AT66" i="12"/>
  <c r="AT67" i="12"/>
  <c r="AT68" i="12"/>
  <c r="AT69" i="12"/>
  <c r="AT70" i="12"/>
  <c r="AT71" i="12"/>
  <c r="AT72" i="12"/>
  <c r="AT73" i="12"/>
  <c r="AT74" i="12"/>
  <c r="AT75" i="12"/>
  <c r="AT76" i="12"/>
  <c r="AT77" i="12"/>
  <c r="AT78" i="12"/>
  <c r="AT79" i="12"/>
  <c r="AT80" i="12"/>
  <c r="AT81" i="12"/>
  <c r="AT82" i="12"/>
  <c r="AT83" i="12"/>
  <c r="AT84" i="12"/>
  <c r="AT85" i="12"/>
  <c r="AT86" i="12"/>
  <c r="AT87" i="12"/>
  <c r="AT88" i="12"/>
  <c r="AT89" i="12"/>
  <c r="AT90" i="12"/>
  <c r="AT91" i="12"/>
  <c r="AT92" i="12"/>
  <c r="AT93" i="12"/>
  <c r="AT94" i="12"/>
  <c r="AT95" i="12"/>
  <c r="AT96" i="12"/>
  <c r="AT97" i="12"/>
  <c r="AT98" i="12"/>
  <c r="AT99" i="12"/>
  <c r="AT100" i="12"/>
  <c r="AT101" i="12"/>
  <c r="AT102" i="12"/>
  <c r="AT103" i="12"/>
  <c r="AT104" i="12"/>
  <c r="AT105" i="12"/>
  <c r="AT106" i="12"/>
  <c r="AT107" i="12"/>
  <c r="AT108" i="12"/>
  <c r="AT109" i="12"/>
  <c r="AT110" i="12"/>
  <c r="AT111" i="12"/>
  <c r="AT112" i="12"/>
  <c r="AT113" i="12"/>
  <c r="AT114" i="12"/>
  <c r="AT116" i="12"/>
  <c r="AT117" i="12"/>
  <c r="AT118" i="12"/>
  <c r="AT119" i="12"/>
  <c r="AT120" i="12"/>
  <c r="AT121" i="12"/>
  <c r="AT134" i="12"/>
  <c r="AT135" i="12"/>
  <c r="AT136" i="12"/>
  <c r="AT139" i="12"/>
  <c r="AT141" i="12"/>
  <c r="AT142" i="12"/>
  <c r="AT143" i="12"/>
  <c r="AT144" i="12"/>
  <c r="AT145" i="12"/>
  <c r="AT146" i="12"/>
  <c r="AT147" i="12"/>
  <c r="AT148" i="12"/>
  <c r="AT151" i="12"/>
  <c r="AT153" i="12"/>
  <c r="AT154" i="12"/>
  <c r="AT155" i="12"/>
  <c r="AT156" i="12"/>
  <c r="AT157" i="12"/>
  <c r="AT158" i="12"/>
  <c r="AT159" i="12"/>
  <c r="AT160" i="12"/>
  <c r="AT161" i="12"/>
  <c r="AT122" i="12"/>
  <c r="AT123" i="12"/>
  <c r="AT124" i="12"/>
  <c r="AT125" i="12"/>
  <c r="AT126" i="12"/>
  <c r="AT127" i="12"/>
  <c r="AT128" i="12"/>
  <c r="AT129" i="12"/>
  <c r="AT132" i="12"/>
  <c r="AT133" i="12"/>
  <c r="AT162" i="12"/>
  <c r="AT163" i="12"/>
  <c r="AT164" i="12"/>
  <c r="AT165" i="12"/>
  <c r="AT166" i="12"/>
  <c r="AT167" i="12"/>
  <c r="AT168" i="12"/>
  <c r="AT169" i="12"/>
  <c r="AT170" i="12"/>
  <c r="AT171" i="12"/>
  <c r="AT172" i="12"/>
  <c r="AT173" i="12"/>
  <c r="AT174" i="12"/>
  <c r="AT175" i="12"/>
  <c r="AT176" i="12"/>
  <c r="AT177" i="12"/>
  <c r="AT178" i="12"/>
  <c r="AT179" i="12"/>
  <c r="AT180" i="12"/>
  <c r="AT181" i="12"/>
  <c r="AT182" i="12"/>
  <c r="AT183" i="12"/>
  <c r="AT184" i="12"/>
  <c r="AT185" i="12"/>
  <c r="AT186" i="12"/>
  <c r="AT187" i="12"/>
  <c r="AT188" i="12"/>
  <c r="AT189" i="12"/>
  <c r="AT190" i="12"/>
  <c r="AT191" i="12"/>
  <c r="AT192" i="12"/>
  <c r="AT193" i="12"/>
  <c r="AT194" i="12"/>
  <c r="AT195" i="12"/>
  <c r="AT196" i="12"/>
  <c r="AT197" i="12"/>
  <c r="AT198" i="12"/>
  <c r="AT199" i="12"/>
  <c r="AT200" i="12"/>
  <c r="AT201" i="12"/>
  <c r="AT202" i="12"/>
  <c r="AT46" i="12"/>
  <c r="AT7" i="12"/>
  <c r="AT8" i="12"/>
  <c r="AT9" i="12"/>
  <c r="AT10" i="12"/>
  <c r="AT11" i="12"/>
  <c r="AT12" i="12"/>
  <c r="AT13" i="12"/>
  <c r="AT14" i="12"/>
  <c r="AT15" i="12"/>
  <c r="AT16" i="12"/>
  <c r="AT17" i="12"/>
  <c r="AT18" i="12"/>
  <c r="AT19" i="12"/>
  <c r="AT20" i="12"/>
  <c r="AT21" i="12"/>
  <c r="AV21" i="12" s="1"/>
  <c r="AT22" i="12"/>
  <c r="AV22" i="12" s="1"/>
  <c r="AT23" i="12"/>
  <c r="AV23" i="12" s="1"/>
  <c r="AT24" i="12"/>
  <c r="AV24" i="12" s="1"/>
  <c r="AT25" i="12"/>
  <c r="AT26" i="12"/>
  <c r="AT27" i="12"/>
  <c r="AT28" i="12"/>
  <c r="AT29" i="12"/>
  <c r="AT30" i="12"/>
  <c r="AT31" i="12"/>
  <c r="AT32" i="12"/>
  <c r="AT33" i="12"/>
  <c r="AT34" i="12"/>
  <c r="AT35" i="12"/>
  <c r="AT36" i="12"/>
  <c r="AT37" i="12"/>
  <c r="AT38" i="12"/>
  <c r="AT39" i="12"/>
  <c r="AT40" i="12"/>
  <c r="AT41" i="12"/>
  <c r="AT42" i="12"/>
  <c r="AT43" i="12"/>
  <c r="AT44" i="12"/>
  <c r="AT45" i="12"/>
  <c r="AT6" i="12"/>
  <c r="F56" i="12"/>
  <c r="G56" i="12" s="1"/>
  <c r="H56" i="12"/>
  <c r="J56" i="12"/>
  <c r="F54" i="12"/>
  <c r="G54" i="12" s="1"/>
  <c r="H54" i="12"/>
  <c r="J54" i="12"/>
  <c r="AU3" i="12"/>
  <c r="AV203" i="12"/>
  <c r="AV204" i="12"/>
  <c r="AV241" i="12"/>
  <c r="AV265" i="12"/>
  <c r="AV266" i="12"/>
  <c r="AV267" i="12"/>
  <c r="AV268" i="12"/>
  <c r="AV269" i="12"/>
  <c r="AV270" i="12"/>
  <c r="AV271" i="12"/>
  <c r="AV272" i="12"/>
  <c r="AV273" i="12"/>
  <c r="AV274" i="12"/>
  <c r="AV275" i="12"/>
  <c r="AV276" i="12"/>
  <c r="AV277" i="12"/>
  <c r="AV278" i="12"/>
  <c r="AV279" i="12"/>
  <c r="AV280" i="12"/>
  <c r="AV281" i="12"/>
  <c r="AV282" i="12"/>
  <c r="AV283" i="12"/>
  <c r="AV284" i="12"/>
  <c r="AV285" i="12"/>
  <c r="AV286" i="12"/>
  <c r="AV287" i="12"/>
  <c r="AV288" i="12"/>
  <c r="AV289" i="12"/>
  <c r="AV290" i="12"/>
  <c r="AV291" i="12"/>
  <c r="AV292" i="12"/>
  <c r="AV293" i="12"/>
  <c r="AV294" i="12"/>
  <c r="AV295" i="12"/>
  <c r="AV296" i="12"/>
  <c r="AV297" i="12"/>
  <c r="AV298" i="12"/>
  <c r="AV299" i="12"/>
  <c r="AV300" i="12"/>
  <c r="AV301" i="12"/>
  <c r="AV302" i="12"/>
  <c r="AV303" i="12"/>
  <c r="AV304" i="12"/>
  <c r="AV305" i="12"/>
  <c r="AV306" i="12"/>
  <c r="AV307" i="12"/>
  <c r="AV308" i="12"/>
  <c r="AV309" i="12"/>
  <c r="AV310" i="12"/>
  <c r="AV311" i="12"/>
  <c r="AV312" i="12"/>
  <c r="AV313" i="12"/>
  <c r="AV314" i="12"/>
  <c r="AV315" i="12"/>
  <c r="AV317" i="12"/>
  <c r="AV318" i="12"/>
  <c r="AV319" i="12"/>
  <c r="AV320" i="12"/>
  <c r="AV321" i="12"/>
  <c r="AV322" i="12"/>
  <c r="AV323" i="12"/>
  <c r="AV326" i="12"/>
  <c r="AV330" i="12"/>
  <c r="AV331" i="12"/>
  <c r="AV332" i="12"/>
  <c r="AV333" i="12"/>
  <c r="AV334" i="12"/>
  <c r="AV335" i="12"/>
  <c r="AV336" i="12"/>
  <c r="AV337" i="12"/>
  <c r="AV338" i="12"/>
  <c r="AV339" i="12"/>
  <c r="AV340" i="12"/>
  <c r="AV341" i="12"/>
  <c r="AV342" i="12"/>
  <c r="AV343" i="12"/>
  <c r="AV344" i="12"/>
  <c r="AV345" i="12"/>
  <c r="AV346" i="12"/>
  <c r="AV347" i="12"/>
  <c r="AV348" i="12"/>
  <c r="AV349" i="12"/>
  <c r="AV350" i="12"/>
  <c r="AV351" i="12"/>
  <c r="AV352" i="12"/>
  <c r="AV353" i="12"/>
  <c r="AV354" i="12"/>
  <c r="AV355" i="12"/>
  <c r="AV356" i="12"/>
  <c r="AV357" i="12"/>
  <c r="AV358" i="12"/>
  <c r="AV359" i="12"/>
  <c r="AV360" i="12"/>
  <c r="AV361" i="12"/>
  <c r="AV362" i="12"/>
  <c r="AV363" i="12"/>
  <c r="AV364" i="12"/>
  <c r="AV365" i="12"/>
  <c r="AV366" i="12"/>
  <c r="AV367" i="12"/>
  <c r="AV368" i="12"/>
  <c r="AV369" i="12"/>
  <c r="AV370" i="12"/>
  <c r="AV371" i="12"/>
  <c r="AV372" i="12"/>
  <c r="AV373" i="12"/>
  <c r="AV374" i="12"/>
  <c r="AV375" i="12"/>
  <c r="AV376" i="12"/>
  <c r="AV377" i="12"/>
  <c r="AV378" i="12"/>
  <c r="AV379" i="12"/>
  <c r="AV380" i="12"/>
  <c r="AV381" i="12"/>
  <c r="AV382" i="12"/>
  <c r="AV383" i="12"/>
  <c r="AV384" i="12"/>
  <c r="AV385" i="12"/>
  <c r="AV386" i="12"/>
  <c r="AV388" i="12"/>
  <c r="AV391" i="12"/>
  <c r="AV392" i="12"/>
  <c r="AV393" i="12"/>
  <c r="AV394" i="12"/>
  <c r="AV395" i="12"/>
  <c r="AV396" i="12"/>
  <c r="AV397" i="12"/>
  <c r="AV398" i="12"/>
  <c r="AV399" i="12"/>
  <c r="AV400" i="12"/>
  <c r="AV401" i="12"/>
  <c r="AV402" i="12"/>
  <c r="AV403" i="12"/>
  <c r="AV404" i="12"/>
  <c r="AV405" i="12"/>
  <c r="AV406" i="12"/>
  <c r="AV407" i="12"/>
  <c r="AV408" i="12"/>
  <c r="AV409" i="12"/>
  <c r="AV410" i="12"/>
  <c r="AV411" i="12"/>
  <c r="AV412" i="12"/>
  <c r="AV413" i="12"/>
  <c r="AV416" i="12"/>
  <c r="AV420" i="12"/>
  <c r="AV421" i="12"/>
  <c r="AV422" i="12"/>
  <c r="AV423" i="12"/>
  <c r="AV424" i="12"/>
  <c r="AV425" i="12"/>
  <c r="AV426" i="12"/>
  <c r="AV427" i="12"/>
  <c r="AV428" i="12"/>
  <c r="AV429" i="12"/>
  <c r="AV430" i="12"/>
  <c r="AV431" i="12"/>
  <c r="AV432" i="12"/>
  <c r="AV433" i="12"/>
  <c r="AV434" i="12"/>
  <c r="AV435" i="12"/>
  <c r="AV436" i="12"/>
  <c r="AV437" i="12"/>
  <c r="AV440" i="12"/>
  <c r="AV441" i="12"/>
  <c r="AV442" i="12"/>
  <c r="AV443" i="12"/>
  <c r="AV444" i="12"/>
  <c r="AV445" i="12"/>
  <c r="AV446" i="12"/>
  <c r="AV448" i="12"/>
  <c r="AV449" i="12"/>
  <c r="AV450" i="12"/>
  <c r="AV451" i="12"/>
  <c r="AV452" i="12"/>
  <c r="AV453" i="12"/>
  <c r="AV454" i="12"/>
  <c r="AV455" i="12"/>
  <c r="AV456" i="12"/>
  <c r="AV457" i="12"/>
  <c r="AV458" i="12"/>
  <c r="AV459" i="12"/>
  <c r="AV460" i="12"/>
  <c r="AV461" i="12"/>
  <c r="AV462" i="12"/>
  <c r="AV463" i="12"/>
  <c r="AV464" i="12"/>
  <c r="AV465" i="12"/>
  <c r="AV466" i="12"/>
  <c r="AV467" i="12"/>
  <c r="AV468" i="12"/>
  <c r="AV469" i="12"/>
  <c r="AV470" i="12"/>
  <c r="AV472" i="12"/>
  <c r="AV475" i="12"/>
  <c r="AV476" i="12"/>
  <c r="AV477" i="12"/>
  <c r="AV478" i="12"/>
  <c r="AV479" i="12"/>
  <c r="AV480" i="12"/>
  <c r="AV481" i="12"/>
  <c r="AV482" i="12"/>
  <c r="AV485" i="12"/>
  <c r="AV486" i="12"/>
  <c r="AV487" i="12"/>
  <c r="AV491" i="12"/>
  <c r="AV492" i="12"/>
  <c r="AV493" i="12"/>
  <c r="AV494" i="12"/>
  <c r="AV495" i="12"/>
  <c r="AV496" i="12"/>
  <c r="AV497" i="12"/>
  <c r="AV498" i="12"/>
  <c r="AV499" i="12"/>
  <c r="AV500" i="12"/>
  <c r="AV501" i="12"/>
  <c r="AV502" i="12"/>
  <c r="AV503" i="12"/>
  <c r="AV504" i="12"/>
  <c r="AV505" i="12"/>
  <c r="AV506" i="12"/>
  <c r="AV507" i="12"/>
  <c r="AV508" i="12"/>
  <c r="AV509" i="12"/>
  <c r="AV510" i="12"/>
  <c r="AV511" i="12"/>
  <c r="AV512" i="12"/>
  <c r="AV513" i="12"/>
  <c r="AV514" i="12"/>
  <c r="AV515" i="12"/>
  <c r="AV516" i="12"/>
  <c r="AV517" i="12"/>
  <c r="AV518" i="12"/>
  <c r="AV519" i="12"/>
  <c r="AV520" i="12"/>
  <c r="AV521" i="12"/>
  <c r="AV522" i="12"/>
  <c r="AV523" i="12"/>
  <c r="AV524" i="12"/>
  <c r="AV525" i="12"/>
  <c r="AV526" i="12"/>
  <c r="AV527" i="12"/>
  <c r="AV528" i="12"/>
  <c r="AV529" i="12"/>
  <c r="AV530" i="12"/>
  <c r="AV531" i="12"/>
  <c r="AV534" i="12"/>
  <c r="AV535" i="12"/>
  <c r="AV536" i="12"/>
  <c r="AV537" i="12"/>
  <c r="AV538" i="12"/>
  <c r="AV539" i="12"/>
  <c r="AV540" i="12"/>
  <c r="AV541" i="12"/>
  <c r="AV542" i="12"/>
  <c r="AV543" i="12"/>
  <c r="AV544" i="12"/>
  <c r="AV545" i="12"/>
  <c r="AV546" i="12"/>
  <c r="AV547" i="12"/>
  <c r="AV548" i="12"/>
  <c r="AV549" i="12"/>
  <c r="AV550" i="12"/>
  <c r="AV551" i="12"/>
  <c r="AV552" i="12"/>
  <c r="AV553" i="12"/>
  <c r="AV554" i="12"/>
  <c r="AV555" i="12"/>
  <c r="AV556" i="12"/>
  <c r="AV557" i="12"/>
  <c r="AV558" i="12"/>
  <c r="AV559" i="12"/>
  <c r="L558" i="12"/>
  <c r="L559" i="12"/>
  <c r="L560" i="12"/>
  <c r="L561" i="12"/>
  <c r="L562" i="12"/>
  <c r="L563" i="12"/>
  <c r="L564" i="12"/>
  <c r="L565" i="12"/>
  <c r="L566" i="12"/>
  <c r="L567" i="12"/>
  <c r="L568" i="12"/>
  <c r="L569" i="12"/>
  <c r="L570" i="12"/>
  <c r="L571" i="12"/>
  <c r="L572" i="12"/>
  <c r="L573" i="12"/>
  <c r="L574" i="12"/>
  <c r="L575" i="12"/>
  <c r="L576" i="12"/>
  <c r="L577" i="12"/>
  <c r="L578" i="12"/>
  <c r="L579" i="12"/>
  <c r="L580" i="12"/>
  <c r="L581" i="12"/>
  <c r="L582" i="12"/>
  <c r="L583" i="12"/>
  <c r="L584" i="12"/>
  <c r="L585" i="12"/>
  <c r="L586" i="12"/>
  <c r="L587" i="12"/>
  <c r="L588" i="12"/>
  <c r="L589" i="12"/>
  <c r="L590" i="12"/>
  <c r="L591" i="12"/>
  <c r="L592" i="12"/>
  <c r="L593" i="12"/>
  <c r="L594" i="12"/>
  <c r="L595" i="12"/>
  <c r="L596" i="12"/>
  <c r="L597" i="12"/>
  <c r="L598" i="12"/>
  <c r="L599" i="12"/>
  <c r="L600" i="12"/>
  <c r="L601" i="12"/>
  <c r="L602" i="12"/>
  <c r="L603" i="12"/>
  <c r="L604" i="12"/>
  <c r="L605" i="12"/>
  <c r="L606" i="12"/>
  <c r="L607" i="12"/>
  <c r="L608" i="12"/>
  <c r="L609" i="12"/>
  <c r="L610" i="12"/>
  <c r="L611" i="12"/>
  <c r="L612" i="12"/>
  <c r="L613" i="12"/>
  <c r="L614" i="12"/>
  <c r="L615" i="12"/>
  <c r="L616" i="12"/>
  <c r="L617" i="12"/>
  <c r="L618" i="12"/>
  <c r="L619"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650" i="12"/>
  <c r="L651" i="12"/>
  <c r="L652" i="12"/>
  <c r="L653" i="12"/>
  <c r="L654" i="12"/>
  <c r="L655" i="12"/>
  <c r="L656" i="12"/>
  <c r="L657" i="12"/>
  <c r="L658" i="12"/>
  <c r="L659" i="12"/>
  <c r="L660" i="12"/>
  <c r="L661"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J557" i="12"/>
  <c r="J558" i="12"/>
  <c r="J55" i="12"/>
  <c r="J57" i="12"/>
  <c r="J58" i="12"/>
  <c r="J59" i="12"/>
  <c r="J60"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6" i="12"/>
  <c r="J117" i="12"/>
  <c r="J118" i="12"/>
  <c r="J119" i="12"/>
  <c r="J120" i="12"/>
  <c r="J121" i="12"/>
  <c r="J134" i="12"/>
  <c r="J135" i="12"/>
  <c r="J136" i="12"/>
  <c r="J139" i="12"/>
  <c r="J141" i="12"/>
  <c r="J142" i="12"/>
  <c r="J143" i="12"/>
  <c r="J144" i="12"/>
  <c r="J122" i="12"/>
  <c r="J123" i="12"/>
  <c r="J124" i="12"/>
  <c r="J125" i="12"/>
  <c r="J126" i="12"/>
  <c r="J127" i="12"/>
  <c r="J128" i="12"/>
  <c r="J129" i="12"/>
  <c r="J132" i="12"/>
  <c r="J133" i="12"/>
  <c r="I56" i="12" l="1"/>
  <c r="L56" i="12"/>
  <c r="I54" i="12"/>
  <c r="L54" i="12"/>
  <c r="BD4" i="12"/>
  <c r="BD3" i="12"/>
  <c r="BA4" i="12" s="1"/>
  <c r="AV250" i="12"/>
  <c r="AS250" i="12"/>
  <c r="AV248" i="12"/>
  <c r="AS248" i="12"/>
  <c r="AV246" i="12"/>
  <c r="AS246" i="12"/>
  <c r="AV244" i="12"/>
  <c r="AS244" i="12"/>
  <c r="AV20" i="12"/>
  <c r="AV19" i="12"/>
  <c r="AV18" i="12"/>
  <c r="AV17" i="12"/>
  <c r="AV16" i="12"/>
  <c r="AV15" i="12"/>
  <c r="AV14" i="12"/>
  <c r="AV13" i="12"/>
  <c r="AV12" i="12"/>
  <c r="AV11" i="12"/>
  <c r="AV10" i="12"/>
  <c r="AV9" i="12"/>
  <c r="AV8" i="12"/>
  <c r="AV7" i="12"/>
  <c r="AV6" i="12"/>
  <c r="AV25" i="12"/>
  <c r="AV26" i="12"/>
  <c r="AV27" i="12"/>
  <c r="AV28" i="12"/>
  <c r="AV29" i="12"/>
  <c r="AV30" i="12"/>
  <c r="AV31" i="12"/>
  <c r="AV32" i="12"/>
  <c r="AV33" i="12"/>
  <c r="AV34" i="12"/>
  <c r="AV35" i="12"/>
  <c r="AV36" i="12"/>
  <c r="AV47" i="12"/>
  <c r="AV48" i="12"/>
  <c r="AV37" i="12"/>
  <c r="AV38" i="12"/>
  <c r="AV39" i="12"/>
  <c r="AV40" i="12"/>
  <c r="AV41" i="12"/>
  <c r="AV42" i="12"/>
  <c r="AV43" i="12"/>
  <c r="AV44" i="12"/>
  <c r="AV49" i="12"/>
  <c r="AV50" i="12"/>
  <c r="AV55" i="12"/>
  <c r="AV51" i="12"/>
  <c r="AV52" i="12"/>
  <c r="AV53" i="12"/>
  <c r="AV45" i="12"/>
  <c r="AV57" i="12"/>
  <c r="AV58" i="12"/>
  <c r="AV59" i="12"/>
  <c r="AV60" i="12"/>
  <c r="AV62" i="12"/>
  <c r="AV63" i="12"/>
  <c r="AV64" i="12"/>
  <c r="AV65" i="12"/>
  <c r="AV66" i="12"/>
  <c r="AV67" i="12"/>
  <c r="AV68" i="12"/>
  <c r="AV69" i="12"/>
  <c r="AV70" i="12"/>
  <c r="AV71" i="12"/>
  <c r="AV72" i="12"/>
  <c r="AV73" i="12"/>
  <c r="AV74" i="12"/>
  <c r="AV75" i="12"/>
  <c r="AV76" i="12"/>
  <c r="AV77" i="12"/>
  <c r="AV78" i="12"/>
  <c r="AV79" i="12"/>
  <c r="AV80" i="12"/>
  <c r="AV81" i="12"/>
  <c r="AV82" i="12"/>
  <c r="AV83" i="12"/>
  <c r="AV84" i="12"/>
  <c r="AV85" i="12"/>
  <c r="AV86" i="12"/>
  <c r="AV87" i="12"/>
  <c r="AV88" i="12"/>
  <c r="AV89" i="12"/>
  <c r="AV90" i="12"/>
  <c r="AV91" i="12"/>
  <c r="AV92" i="12"/>
  <c r="AV93" i="12"/>
  <c r="AV94" i="12"/>
  <c r="AV95" i="12"/>
  <c r="AV96" i="12"/>
  <c r="AV97" i="12"/>
  <c r="AV98" i="12"/>
  <c r="AV99" i="12"/>
  <c r="AV100" i="12"/>
  <c r="AV101" i="12"/>
  <c r="AV102" i="12"/>
  <c r="AV103" i="12"/>
  <c r="AV104" i="12"/>
  <c r="AV105" i="12"/>
  <c r="AV106" i="12"/>
  <c r="AV107" i="12"/>
  <c r="AV108" i="12"/>
  <c r="AV109" i="12"/>
  <c r="AV110" i="12"/>
  <c r="AV111" i="12"/>
  <c r="AV112" i="12"/>
  <c r="AV113" i="12"/>
  <c r="AV114" i="12"/>
  <c r="AV116" i="12"/>
  <c r="AV117" i="12"/>
  <c r="AV118" i="12"/>
  <c r="AV119" i="12"/>
  <c r="AV120" i="12"/>
  <c r="AV121" i="12"/>
  <c r="AV134" i="12"/>
  <c r="AV135" i="12"/>
  <c r="AV136" i="12"/>
  <c r="AV139" i="12"/>
  <c r="AV141" i="12"/>
  <c r="AV142" i="12"/>
  <c r="AV143" i="12"/>
  <c r="AV144" i="12"/>
  <c r="AV145" i="12"/>
  <c r="AV146" i="12"/>
  <c r="AV147" i="12"/>
  <c r="AV148" i="12"/>
  <c r="AV151" i="12"/>
  <c r="AV153" i="12"/>
  <c r="AV154" i="12"/>
  <c r="AV155" i="12"/>
  <c r="AV156" i="12"/>
  <c r="AV157" i="12"/>
  <c r="AV158" i="12"/>
  <c r="AV159" i="12"/>
  <c r="AV160" i="12"/>
  <c r="AV161" i="12"/>
  <c r="AV122" i="12"/>
  <c r="AV123" i="12"/>
  <c r="AV124" i="12"/>
  <c r="AV125" i="12"/>
  <c r="AV126" i="12"/>
  <c r="AV127" i="12"/>
  <c r="AV128" i="12"/>
  <c r="AV129" i="12"/>
  <c r="AV132" i="12"/>
  <c r="AV133" i="12"/>
  <c r="AV162" i="12"/>
  <c r="AV163" i="12"/>
  <c r="AV164" i="12"/>
  <c r="AV165" i="12"/>
  <c r="AV166" i="12"/>
  <c r="AV167" i="12"/>
  <c r="AV168" i="12"/>
  <c r="AV169" i="12"/>
  <c r="AV170" i="12"/>
  <c r="AV171" i="12"/>
  <c r="AV172" i="12"/>
  <c r="AV173" i="12"/>
  <c r="AV174" i="12"/>
  <c r="AV175" i="12"/>
  <c r="AV176" i="12"/>
  <c r="AV177" i="12"/>
  <c r="AV178" i="12"/>
  <c r="AV179" i="12"/>
  <c r="AV180" i="12"/>
  <c r="AV181" i="12"/>
  <c r="AV182" i="12"/>
  <c r="AV183" i="12"/>
  <c r="AV184" i="12"/>
  <c r="AV185" i="12"/>
  <c r="AV186" i="12"/>
  <c r="AV187" i="12"/>
  <c r="AV188" i="12"/>
  <c r="AV189" i="12"/>
  <c r="AV190" i="12"/>
  <c r="AV191" i="12"/>
  <c r="AV192" i="12"/>
  <c r="AV193" i="12"/>
  <c r="AV194" i="12"/>
  <c r="AV195" i="12"/>
  <c r="AV196" i="12"/>
  <c r="AV197" i="12"/>
  <c r="AV198" i="12"/>
  <c r="AV199" i="12"/>
  <c r="AV200" i="12"/>
  <c r="AV201" i="12"/>
  <c r="AV202" i="12"/>
  <c r="F248" i="12"/>
  <c r="G248" i="12" s="1"/>
  <c r="H248" i="12"/>
  <c r="F249" i="12"/>
  <c r="G249" i="12" s="1"/>
  <c r="H249" i="12"/>
  <c r="F250" i="12"/>
  <c r="G250" i="12" s="1"/>
  <c r="H250" i="12"/>
  <c r="F251" i="12"/>
  <c r="G251" i="12" s="1"/>
  <c r="H251" i="12"/>
  <c r="F245" i="12"/>
  <c r="G245" i="12" s="1"/>
  <c r="H245" i="12"/>
  <c r="F246" i="12"/>
  <c r="G246" i="12" s="1"/>
  <c r="H246" i="12"/>
  <c r="F218" i="12"/>
  <c r="G218" i="12" s="1"/>
  <c r="H218" i="12"/>
  <c r="F219" i="12"/>
  <c r="G219" i="12" s="1"/>
  <c r="H219" i="12"/>
  <c r="L219" i="12" s="1"/>
  <c r="H217" i="12"/>
  <c r="F217" i="12"/>
  <c r="G217" i="12" s="1"/>
  <c r="H215" i="12"/>
  <c r="F215" i="12"/>
  <c r="G215" i="12" s="1"/>
  <c r="F74" i="12"/>
  <c r="G74" i="12" s="1"/>
  <c r="F495" i="12"/>
  <c r="G495" i="12" s="1"/>
  <c r="H495" i="12"/>
  <c r="F496" i="12"/>
  <c r="G496" i="12" s="1"/>
  <c r="H496" i="12"/>
  <c r="F87" i="12"/>
  <c r="G87" i="12" s="1"/>
  <c r="H87" i="12"/>
  <c r="F88" i="12"/>
  <c r="G88" i="12" s="1"/>
  <c r="H88" i="12"/>
  <c r="F89" i="12"/>
  <c r="G89" i="12" s="1"/>
  <c r="H89" i="12"/>
  <c r="F90" i="12"/>
  <c r="G90" i="12" s="1"/>
  <c r="H90" i="12"/>
  <c r="F91" i="12"/>
  <c r="G91" i="12" s="1"/>
  <c r="H91" i="12"/>
  <c r="F92" i="12"/>
  <c r="G92" i="12" s="1"/>
  <c r="H92" i="12"/>
  <c r="F93" i="12"/>
  <c r="G93" i="12" s="1"/>
  <c r="H93" i="12"/>
  <c r="F94" i="12"/>
  <c r="G94" i="12" s="1"/>
  <c r="H94" i="12"/>
  <c r="L94" i="12" s="1"/>
  <c r="F95" i="12"/>
  <c r="G95" i="12" s="1"/>
  <c r="H95" i="12"/>
  <c r="F96" i="12"/>
  <c r="G96" i="12" s="1"/>
  <c r="H96" i="12"/>
  <c r="F97" i="12"/>
  <c r="G97" i="12" s="1"/>
  <c r="H97" i="12"/>
  <c r="F98" i="12"/>
  <c r="G98" i="12" s="1"/>
  <c r="H98" i="12"/>
  <c r="F99" i="12"/>
  <c r="G99" i="12" s="1"/>
  <c r="H99" i="12"/>
  <c r="F100" i="12"/>
  <c r="G100" i="12" s="1"/>
  <c r="H100" i="12"/>
  <c r="F78" i="12"/>
  <c r="G78" i="12" s="1"/>
  <c r="H78" i="12"/>
  <c r="F79" i="12"/>
  <c r="G79" i="12" s="1"/>
  <c r="H79" i="12"/>
  <c r="F80" i="12"/>
  <c r="G80" i="12" s="1"/>
  <c r="H80" i="12"/>
  <c r="F81" i="12"/>
  <c r="G81" i="12" s="1"/>
  <c r="H81" i="12"/>
  <c r="F82" i="12"/>
  <c r="G82" i="12" s="1"/>
  <c r="H82" i="12"/>
  <c r="F83" i="12"/>
  <c r="G83" i="12" s="1"/>
  <c r="H83" i="12"/>
  <c r="H86" i="12"/>
  <c r="F86" i="12"/>
  <c r="G86" i="12" s="1"/>
  <c r="H77" i="12"/>
  <c r="F77" i="12"/>
  <c r="G77" i="12" s="1"/>
  <c r="O69" i="20"/>
  <c r="O57" i="20"/>
  <c r="M41" i="20"/>
  <c r="M39" i="20"/>
  <c r="N25" i="20"/>
  <c r="M25" i="20"/>
  <c r="L25" i="20"/>
  <c r="L90" i="20" s="1"/>
  <c r="K25" i="20"/>
  <c r="J25" i="20"/>
  <c r="I25" i="20"/>
  <c r="H25" i="20"/>
  <c r="G25" i="20"/>
  <c r="F25" i="20"/>
  <c r="E25" i="20"/>
  <c r="D25" i="20"/>
  <c r="M23" i="20"/>
  <c r="M27" i="20" s="1"/>
  <c r="M35" i="20" s="1"/>
  <c r="O21" i="20"/>
  <c r="O20" i="20"/>
  <c r="O19" i="20"/>
  <c r="N11" i="20"/>
  <c r="N13" i="20" s="1"/>
  <c r="N15" i="20" s="1"/>
  <c r="O15" i="20" s="1"/>
  <c r="L11" i="20"/>
  <c r="L13" i="20" s="1"/>
  <c r="L15" i="20" s="1"/>
  <c r="K11" i="20"/>
  <c r="K13" i="20" s="1"/>
  <c r="K15" i="20" s="1"/>
  <c r="I11" i="20"/>
  <c r="I13" i="20" s="1"/>
  <c r="O9" i="20"/>
  <c r="B3" i="20"/>
  <c r="N2" i="20"/>
  <c r="M76" i="20" l="1" a="1"/>
  <c r="M76" i="20" s="1"/>
  <c r="M77" i="20" a="1"/>
  <c r="M77" i="20" s="1"/>
  <c r="M80" i="20" a="1"/>
  <c r="M80" i="20" s="1"/>
  <c r="O11" i="20"/>
  <c r="L250" i="12"/>
  <c r="L93" i="12"/>
  <c r="L92" i="12"/>
  <c r="L82" i="12"/>
  <c r="L97" i="12"/>
  <c r="L89" i="12"/>
  <c r="L249" i="12"/>
  <c r="L91" i="12"/>
  <c r="L96" i="12"/>
  <c r="L248" i="12"/>
  <c r="L98" i="12"/>
  <c r="L217" i="12"/>
  <c r="L80" i="12"/>
  <c r="L95" i="12"/>
  <c r="L87" i="12"/>
  <c r="L79" i="12"/>
  <c r="L496" i="12"/>
  <c r="L100" i="12"/>
  <c r="L245" i="12"/>
  <c r="L83" i="12"/>
  <c r="L90" i="12"/>
  <c r="L78" i="12"/>
  <c r="L495" i="12"/>
  <c r="L246" i="12"/>
  <c r="L218" i="12"/>
  <c r="L86" i="12"/>
  <c r="L77" i="12"/>
  <c r="L99" i="12"/>
  <c r="L215" i="12"/>
  <c r="L251" i="12"/>
  <c r="L81" i="12"/>
  <c r="L88" i="12"/>
  <c r="AT245" i="12"/>
  <c r="AV245" i="12" s="1"/>
  <c r="AT249" i="12"/>
  <c r="AV249" i="12" s="1"/>
  <c r="AT251" i="12"/>
  <c r="AT242" i="12"/>
  <c r="AT243" i="12"/>
  <c r="AT252" i="12"/>
  <c r="AT254" i="12"/>
  <c r="I98" i="12"/>
  <c r="I249" i="12"/>
  <c r="I80" i="12"/>
  <c r="I87" i="12"/>
  <c r="I217" i="12"/>
  <c r="I245" i="12"/>
  <c r="I92" i="12"/>
  <c r="I219" i="12"/>
  <c r="I215" i="12"/>
  <c r="I97" i="12"/>
  <c r="I248" i="12"/>
  <c r="I77" i="12"/>
  <c r="I79" i="12"/>
  <c r="I496" i="12"/>
  <c r="I251" i="12"/>
  <c r="I91" i="12"/>
  <c r="I218" i="12"/>
  <c r="I93" i="12"/>
  <c r="I96" i="12"/>
  <c r="I86" i="12"/>
  <c r="I78" i="12"/>
  <c r="I495" i="12"/>
  <c r="I250" i="12"/>
  <c r="I83" i="12"/>
  <c r="I90" i="12"/>
  <c r="I95" i="12"/>
  <c r="I88" i="12"/>
  <c r="I100" i="12"/>
  <c r="I82" i="12"/>
  <c r="I89" i="12"/>
  <c r="I246" i="12"/>
  <c r="I94" i="12"/>
  <c r="I81" i="12"/>
  <c r="I99" i="12"/>
  <c r="AX6" i="12"/>
  <c r="M89" i="20"/>
  <c r="M88" i="20"/>
  <c r="I41" i="20"/>
  <c r="I15" i="20"/>
  <c r="I17" i="20"/>
  <c r="M47" i="20"/>
  <c r="M48" i="20"/>
  <c r="K41" i="20"/>
  <c r="O13" i="20"/>
  <c r="L41" i="20"/>
  <c r="D90" i="20"/>
  <c r="O25" i="20"/>
  <c r="E90" i="20"/>
  <c r="M92" i="20"/>
  <c r="F90" i="20"/>
  <c r="K17" i="20"/>
  <c r="M31" i="20"/>
  <c r="G90" i="20"/>
  <c r="L17" i="20"/>
  <c r="H90" i="20"/>
  <c r="N17" i="20"/>
  <c r="I90" i="20"/>
  <c r="M91" i="20"/>
  <c r="J90" i="20"/>
  <c r="M29" i="20"/>
  <c r="M33" i="20" s="1"/>
  <c r="K90" i="20"/>
  <c r="M90" i="20"/>
  <c r="N90" i="20"/>
  <c r="O90" i="20" s="1"/>
  <c r="AS245" i="12" l="1"/>
  <c r="AS249" i="12"/>
  <c r="AV251" i="12"/>
  <c r="AS251" i="12"/>
  <c r="AV243" i="12"/>
  <c r="AS243" i="12"/>
  <c r="AS242" i="12"/>
  <c r="AV242" i="12"/>
  <c r="AV254" i="12"/>
  <c r="AS254" i="12"/>
  <c r="AS252" i="12"/>
  <c r="AV252" i="12"/>
  <c r="M103" i="20"/>
  <c r="M94" i="20"/>
  <c r="M34" i="20"/>
  <c r="M99" i="20"/>
  <c r="M78" i="20"/>
  <c r="M98" i="20"/>
  <c r="M75" i="20" a="1"/>
  <c r="M75" i="20" s="1"/>
  <c r="M84" i="20" a="1"/>
  <c r="M84" i="20" s="1"/>
  <c r="M100" i="20"/>
  <c r="M97" i="20"/>
  <c r="M96" i="20"/>
  <c r="M95" i="20"/>
  <c r="M102" i="20"/>
  <c r="M101" i="20"/>
  <c r="M79" i="20"/>
  <c r="I39" i="20"/>
  <c r="I27" i="20"/>
  <c r="K39" i="20"/>
  <c r="K27" i="20"/>
  <c r="N39" i="20"/>
  <c r="O39" i="20" s="1"/>
  <c r="O17" i="20"/>
  <c r="N23" i="20"/>
  <c r="N41" i="20"/>
  <c r="O41" i="20" s="1"/>
  <c r="M43" i="20"/>
  <c r="L39" i="20"/>
  <c r="L27" i="20"/>
  <c r="K77" i="20" l="1" a="1"/>
  <c r="K77" i="20" s="1"/>
  <c r="K76" i="20" a="1"/>
  <c r="K76" i="20" s="1"/>
  <c r="L76" i="20" a="1"/>
  <c r="L76" i="20" s="1"/>
  <c r="L77" i="20" a="1"/>
  <c r="L77" i="20" s="1"/>
  <c r="I76" i="20" a="1"/>
  <c r="I76" i="20" s="1"/>
  <c r="I77" i="20" a="1"/>
  <c r="I77" i="20" s="1"/>
  <c r="BB4" i="12"/>
  <c r="L80" i="20" a="1"/>
  <c r="L80" i="20" s="1"/>
  <c r="L35" i="20"/>
  <c r="K80" i="20" a="1"/>
  <c r="K80" i="20" s="1"/>
  <c r="K35" i="20"/>
  <c r="I80" i="20" a="1"/>
  <c r="I80" i="20" s="1"/>
  <c r="I35" i="20"/>
  <c r="M45" i="20"/>
  <c r="M85" i="20"/>
  <c r="I29" i="20"/>
  <c r="K29" i="20"/>
  <c r="L29" i="20"/>
  <c r="O23" i="20"/>
  <c r="N27" i="20"/>
  <c r="N77" i="20" l="1" a="1"/>
  <c r="N77" i="20" s="1"/>
  <c r="N76" i="20" a="1"/>
  <c r="N76" i="20" s="1"/>
  <c r="AT262" i="12"/>
  <c r="AV262" i="12" s="1"/>
  <c r="AT264" i="12"/>
  <c r="AV264" i="12" s="1"/>
  <c r="AT258" i="12"/>
  <c r="AV258" i="12" s="1"/>
  <c r="AT260" i="12"/>
  <c r="AV260" i="12" s="1"/>
  <c r="AT257" i="12"/>
  <c r="AV257" i="12" s="1"/>
  <c r="AT261" i="12"/>
  <c r="AV261" i="12" s="1"/>
  <c r="AT259" i="12"/>
  <c r="AV259" i="12" s="1"/>
  <c r="AT263" i="12"/>
  <c r="AV263" i="12" s="1"/>
  <c r="BH4" i="12"/>
  <c r="BI4" i="12" s="1"/>
  <c r="BF3" i="12"/>
  <c r="BJ3" i="12" s="1"/>
  <c r="K101" i="20"/>
  <c r="K75" i="20" a="1"/>
  <c r="K75" i="20" s="1"/>
  <c r="K78" i="20" s="1"/>
  <c r="K98" i="20"/>
  <c r="K103" i="20"/>
  <c r="K79" i="20"/>
  <c r="K34" i="20"/>
  <c r="K99" i="20"/>
  <c r="K100" i="20"/>
  <c r="L98" i="20"/>
  <c r="L79" i="20"/>
  <c r="L103" i="20"/>
  <c r="L34" i="20"/>
  <c r="L75" i="20" a="1"/>
  <c r="L75" i="20" s="1"/>
  <c r="L78" i="20" s="1"/>
  <c r="L99" i="20"/>
  <c r="L101" i="20"/>
  <c r="L100" i="20"/>
  <c r="I79" i="20"/>
  <c r="I101" i="20"/>
  <c r="I75" i="20" a="1"/>
  <c r="I75" i="20" s="1"/>
  <c r="I78" i="20" s="1"/>
  <c r="I94" i="20" s="1"/>
  <c r="I95" i="20" s="1"/>
  <c r="I98" i="20"/>
  <c r="I103" i="20"/>
  <c r="I34" i="20"/>
  <c r="I99" i="20"/>
  <c r="I100" i="20"/>
  <c r="N80" i="20" a="1"/>
  <c r="N80" i="20" s="1"/>
  <c r="N35" i="20"/>
  <c r="O35" i="20" s="1"/>
  <c r="O76" i="20"/>
  <c r="O77" i="20"/>
  <c r="O27" i="20"/>
  <c r="N29" i="20"/>
  <c r="I81" i="20" l="1" a="1"/>
  <c r="I81" i="20" s="1"/>
  <c r="I82" i="20" s="1" a="1"/>
  <c r="I82" i="20" s="1"/>
  <c r="O80" i="20"/>
  <c r="N81" i="20" a="1"/>
  <c r="N81" i="20" s="1"/>
  <c r="BI3" i="12"/>
  <c r="BJ4" i="12"/>
  <c r="AV3" i="12"/>
  <c r="AT3" i="12"/>
  <c r="N103" i="20"/>
  <c r="O103" i="20" s="1"/>
  <c r="N34" i="20"/>
  <c r="O34" i="20" s="1"/>
  <c r="N99" i="20"/>
  <c r="O99" i="20" s="1"/>
  <c r="N100" i="20"/>
  <c r="O100" i="20" s="1"/>
  <c r="N98" i="20"/>
  <c r="O98" i="20" s="1"/>
  <c r="N79" i="20"/>
  <c r="O79" i="20" s="1"/>
  <c r="N101" i="20"/>
  <c r="O101" i="20" s="1"/>
  <c r="N75" i="20" a="1"/>
  <c r="N75" i="20" s="1"/>
  <c r="N78" i="20" s="1"/>
  <c r="L94" i="20"/>
  <c r="L81" i="20" s="1" a="1"/>
  <c r="L81" i="20" s="1"/>
  <c r="K94" i="20"/>
  <c r="L85" i="20"/>
  <c r="L89" i="20" s="1"/>
  <c r="K85" i="20"/>
  <c r="K89" i="20" s="1"/>
  <c r="I85" i="20"/>
  <c r="I89" i="20" s="1"/>
  <c r="O29" i="20"/>
  <c r="K81" i="20" l="1" a="1"/>
  <c r="K81" i="20" s="1"/>
  <c r="K95" i="20" s="1"/>
  <c r="K82" i="20" s="1" a="1"/>
  <c r="K82" i="20" s="1"/>
  <c r="K96" i="20" s="1"/>
  <c r="K83" i="20" s="1" a="1"/>
  <c r="K83" i="20" s="1"/>
  <c r="O75" i="20"/>
  <c r="BK4" i="12"/>
  <c r="BG4" i="12"/>
  <c r="BG3" i="12" s="1"/>
  <c r="N94" i="20"/>
  <c r="N95" i="20" s="1"/>
  <c r="L95" i="20"/>
  <c r="N82" i="20" l="1" a="1"/>
  <c r="N82" i="20" s="1"/>
  <c r="L82" i="20" a="1"/>
  <c r="L82" i="20" s="1"/>
  <c r="L96" i="20" s="1"/>
  <c r="L83" i="20" s="1" a="1"/>
  <c r="L83" i="20" s="1"/>
  <c r="K88" i="20"/>
  <c r="K91" i="20" s="1"/>
  <c r="K92" i="20" s="1"/>
  <c r="K97" i="20"/>
  <c r="I96" i="20"/>
  <c r="I83" i="20" s="1" a="1"/>
  <c r="I83" i="20" s="1"/>
  <c r="N85" i="20"/>
  <c r="N89" i="20" s="1"/>
  <c r="O78" i="20"/>
  <c r="L88" i="20" l="1"/>
  <c r="L91" i="20" s="1"/>
  <c r="L92" i="20" s="1"/>
  <c r="L97" i="20"/>
  <c r="I88" i="20"/>
  <c r="I91" i="20" s="1"/>
  <c r="I92" i="20" s="1"/>
  <c r="I84" i="20" s="1" a="1"/>
  <c r="I84" i="20" s="1"/>
  <c r="I97" i="20"/>
  <c r="O84" i="20"/>
  <c r="K33" i="20"/>
  <c r="K31" i="20" s="1"/>
  <c r="O94" i="20"/>
  <c r="O89" i="20"/>
  <c r="O85" i="20"/>
  <c r="I102" i="20" l="1"/>
  <c r="I33" i="20"/>
  <c r="I31" i="20" s="1"/>
  <c r="I45" i="20"/>
  <c r="L45" i="20"/>
  <c r="L48" i="20" s="1"/>
  <c r="L102" i="20"/>
  <c r="O102" i="20" s="1"/>
  <c r="L33" i="20"/>
  <c r="K45" i="20"/>
  <c r="K47" i="20" s="1"/>
  <c r="K102" i="20"/>
  <c r="O81" i="20"/>
  <c r="N96" i="20"/>
  <c r="N83" i="20" s="1" a="1"/>
  <c r="N83" i="20" s="1"/>
  <c r="L47" i="20" l="1"/>
  <c r="I43" i="20"/>
  <c r="A373" i="12"/>
  <c r="A372" i="12"/>
  <c r="A371" i="12"/>
  <c r="A370" i="12"/>
  <c r="I48" i="20"/>
  <c r="K48" i="20"/>
  <c r="K43" i="20"/>
  <c r="I47" i="20"/>
  <c r="L43" i="20"/>
  <c r="O43" i="20" s="1"/>
  <c r="L31" i="20"/>
  <c r="O31" i="20" s="1"/>
  <c r="O45" i="20"/>
  <c r="O33" i="20"/>
  <c r="O95" i="20"/>
  <c r="O370" i="12" l="1"/>
  <c r="AO370" i="12"/>
  <c r="AO373" i="12"/>
  <c r="O373" i="12"/>
  <c r="O371" i="12"/>
  <c r="AO371" i="12"/>
  <c r="O372" i="12"/>
  <c r="AO372" i="12"/>
  <c r="O82" i="20"/>
  <c r="N97" i="20" l="1"/>
  <c r="N88" i="20"/>
  <c r="O96" i="20"/>
  <c r="O83" i="20" l="1"/>
  <c r="O97" i="20"/>
  <c r="O88" i="20" l="1"/>
  <c r="N91" i="20"/>
  <c r="O91" i="20" l="1"/>
  <c r="N92" i="20"/>
  <c r="N84" i="20" s="1" a="1"/>
  <c r="N84" i="20" s="1"/>
  <c r="N102" i="20" s="1"/>
  <c r="O92" i="20" l="1"/>
  <c r="N33" i="20"/>
  <c r="N31" i="20" l="1"/>
  <c r="N45" i="20"/>
  <c r="N47" i="20" l="1"/>
  <c r="N48" i="20"/>
  <c r="N43" i="20"/>
  <c r="G683" i="12" l="1"/>
  <c r="E683" i="12"/>
  <c r="G682" i="12"/>
  <c r="E682" i="12"/>
  <c r="G681" i="12"/>
  <c r="E681" i="12"/>
  <c r="G680" i="12"/>
  <c r="E680" i="12"/>
  <c r="G679" i="12"/>
  <c r="E679" i="12"/>
  <c r="G678" i="12"/>
  <c r="E678" i="12"/>
  <c r="G677" i="12"/>
  <c r="E677" i="12"/>
  <c r="G676" i="12"/>
  <c r="E676" i="12"/>
  <c r="G675" i="12"/>
  <c r="E675" i="12"/>
  <c r="G674" i="12"/>
  <c r="E674" i="12"/>
  <c r="G673" i="12"/>
  <c r="E673" i="12"/>
  <c r="G672" i="12"/>
  <c r="E672" i="12"/>
  <c r="G671" i="12"/>
  <c r="E671" i="12"/>
  <c r="G670" i="12"/>
  <c r="E670" i="12"/>
  <c r="G669" i="12"/>
  <c r="E669" i="12"/>
  <c r="G668" i="12"/>
  <c r="E668" i="12"/>
  <c r="G667" i="12"/>
  <c r="E667" i="12"/>
  <c r="G666" i="12"/>
  <c r="E666" i="12"/>
  <c r="G665" i="12"/>
  <c r="E665" i="12"/>
  <c r="G664" i="12"/>
  <c r="E664" i="12"/>
  <c r="G663" i="12"/>
  <c r="E663" i="12"/>
  <c r="G662" i="12"/>
  <c r="E662" i="12"/>
  <c r="G661" i="12"/>
  <c r="E661" i="12"/>
  <c r="G660" i="12"/>
  <c r="E660" i="12"/>
  <c r="G659" i="12"/>
  <c r="E659" i="12"/>
  <c r="G658" i="12"/>
  <c r="E658" i="12"/>
  <c r="G657" i="12"/>
  <c r="E657" i="12"/>
  <c r="G656" i="12"/>
  <c r="E656" i="12"/>
  <c r="G655" i="12"/>
  <c r="E655" i="12"/>
  <c r="G654" i="12"/>
  <c r="E654" i="12"/>
  <c r="G653" i="12"/>
  <c r="E653" i="12"/>
  <c r="G652" i="12"/>
  <c r="E652" i="12"/>
  <c r="G651" i="12"/>
  <c r="E651" i="12"/>
  <c r="G650" i="12"/>
  <c r="E650" i="12"/>
  <c r="G649" i="12"/>
  <c r="E649" i="12"/>
  <c r="G648" i="12"/>
  <c r="E648" i="12"/>
  <c r="G647" i="12"/>
  <c r="E647" i="12"/>
  <c r="G646" i="12"/>
  <c r="E646" i="12"/>
  <c r="G645" i="12"/>
  <c r="E645" i="12"/>
  <c r="G644" i="12"/>
  <c r="E644" i="12"/>
  <c r="G643" i="12"/>
  <c r="E643" i="12"/>
  <c r="G642" i="12"/>
  <c r="E642" i="12"/>
  <c r="G641" i="12"/>
  <c r="E641" i="12"/>
  <c r="G640" i="12"/>
  <c r="E640" i="12"/>
  <c r="G639" i="12"/>
  <c r="E639" i="12"/>
  <c r="G638" i="12"/>
  <c r="E638" i="12"/>
  <c r="G637" i="12"/>
  <c r="E637" i="12"/>
  <c r="G636" i="12"/>
  <c r="E636" i="12"/>
  <c r="G635" i="12"/>
  <c r="E635" i="12"/>
  <c r="G634" i="12"/>
  <c r="E634" i="12"/>
  <c r="G633" i="12"/>
  <c r="E633" i="12"/>
  <c r="G632" i="12"/>
  <c r="E632" i="12"/>
  <c r="I631" i="12"/>
  <c r="G631" i="12"/>
  <c r="E631" i="12"/>
  <c r="I630" i="12"/>
  <c r="G630" i="12"/>
  <c r="E630" i="12"/>
  <c r="I629" i="12"/>
  <c r="G629" i="12"/>
  <c r="E629" i="12"/>
  <c r="I628" i="12"/>
  <c r="G628" i="12"/>
  <c r="E628" i="12"/>
  <c r="I627" i="12"/>
  <c r="G627" i="12"/>
  <c r="E627" i="12"/>
  <c r="I626" i="12"/>
  <c r="G626" i="12"/>
  <c r="E626" i="12"/>
  <c r="I625" i="12"/>
  <c r="G625" i="12"/>
  <c r="E625" i="12"/>
  <c r="I624" i="12"/>
  <c r="G624" i="12"/>
  <c r="E624" i="12"/>
  <c r="I623" i="12"/>
  <c r="G623" i="12"/>
  <c r="E623" i="12"/>
  <c r="I622" i="12"/>
  <c r="G622" i="12"/>
  <c r="E622" i="12"/>
  <c r="I621" i="12"/>
  <c r="G621" i="12"/>
  <c r="E621" i="12"/>
  <c r="I620" i="12"/>
  <c r="G620" i="12"/>
  <c r="E620" i="12"/>
  <c r="I619" i="12"/>
  <c r="G619" i="12"/>
  <c r="E619" i="12"/>
  <c r="I618" i="12"/>
  <c r="G618" i="12"/>
  <c r="E618" i="12"/>
  <c r="I617" i="12"/>
  <c r="G617" i="12"/>
  <c r="E617" i="12"/>
  <c r="I616" i="12"/>
  <c r="G616" i="12"/>
  <c r="E616" i="12"/>
  <c r="I615" i="12"/>
  <c r="G615" i="12"/>
  <c r="E615" i="12"/>
  <c r="I614" i="12"/>
  <c r="G614" i="12"/>
  <c r="E614" i="12"/>
  <c r="I613" i="12"/>
  <c r="G613" i="12"/>
  <c r="E613" i="12"/>
  <c r="I612" i="12"/>
  <c r="G612" i="12"/>
  <c r="E612" i="12"/>
  <c r="I611" i="12"/>
  <c r="G611" i="12"/>
  <c r="E611" i="12"/>
  <c r="I610" i="12"/>
  <c r="G610" i="12"/>
  <c r="E610" i="12"/>
  <c r="I609" i="12"/>
  <c r="G609" i="12"/>
  <c r="E609" i="12"/>
  <c r="I608" i="12"/>
  <c r="G608" i="12"/>
  <c r="E608" i="12"/>
  <c r="I607" i="12"/>
  <c r="G607" i="12"/>
  <c r="E607" i="12"/>
  <c r="I606" i="12"/>
  <c r="G606" i="12"/>
  <c r="E606" i="12"/>
  <c r="I605" i="12"/>
  <c r="G605" i="12"/>
  <c r="E605" i="12"/>
  <c r="I604" i="12"/>
  <c r="G604" i="12"/>
  <c r="E604" i="12"/>
  <c r="I603" i="12"/>
  <c r="G603" i="12"/>
  <c r="E603" i="12"/>
  <c r="I602" i="12"/>
  <c r="G602" i="12"/>
  <c r="E602" i="12"/>
  <c r="I601" i="12"/>
  <c r="G601" i="12"/>
  <c r="E601" i="12"/>
  <c r="I600" i="12"/>
  <c r="G600" i="12"/>
  <c r="E600" i="12"/>
  <c r="I599" i="12"/>
  <c r="G599" i="12"/>
  <c r="E599" i="12"/>
  <c r="I598" i="12"/>
  <c r="G598" i="12"/>
  <c r="E598" i="12"/>
  <c r="I597" i="12"/>
  <c r="G597" i="12"/>
  <c r="E597" i="12"/>
  <c r="I596" i="12"/>
  <c r="G596" i="12"/>
  <c r="E596" i="12"/>
  <c r="I595" i="12"/>
  <c r="G595" i="12"/>
  <c r="E595" i="12"/>
  <c r="I594" i="12"/>
  <c r="G594" i="12"/>
  <c r="E594" i="12"/>
  <c r="I593" i="12"/>
  <c r="G593" i="12"/>
  <c r="E593" i="12"/>
  <c r="I592" i="12"/>
  <c r="G592" i="12"/>
  <c r="E592" i="12"/>
  <c r="I591" i="12"/>
  <c r="G591" i="12"/>
  <c r="E591" i="12"/>
  <c r="I590" i="12"/>
  <c r="G590" i="12"/>
  <c r="E590" i="12"/>
  <c r="I589" i="12"/>
  <c r="G589" i="12"/>
  <c r="E589" i="12"/>
  <c r="I588" i="12"/>
  <c r="G588" i="12"/>
  <c r="E588" i="12"/>
  <c r="I587" i="12"/>
  <c r="G587" i="12"/>
  <c r="E587" i="12"/>
  <c r="I586" i="12"/>
  <c r="G586" i="12"/>
  <c r="E586" i="12"/>
  <c r="I585" i="12"/>
  <c r="G585" i="12"/>
  <c r="E585" i="12"/>
  <c r="I584" i="12"/>
  <c r="G584" i="12"/>
  <c r="E584" i="12"/>
  <c r="I583" i="12"/>
  <c r="G583" i="12"/>
  <c r="E583" i="12"/>
  <c r="I582" i="12"/>
  <c r="G582" i="12"/>
  <c r="E582" i="12"/>
  <c r="I581" i="12"/>
  <c r="G581" i="12"/>
  <c r="E581" i="12"/>
  <c r="I580" i="12"/>
  <c r="G580" i="12"/>
  <c r="E580" i="12"/>
  <c r="I579" i="12"/>
  <c r="G579" i="12"/>
  <c r="E579" i="12"/>
  <c r="I578" i="12"/>
  <c r="G578" i="12"/>
  <c r="E578" i="12"/>
  <c r="I577" i="12"/>
  <c r="G577" i="12"/>
  <c r="E577" i="12"/>
  <c r="I576" i="12"/>
  <c r="G576" i="12"/>
  <c r="E576" i="12"/>
  <c r="I575" i="12"/>
  <c r="G575" i="12"/>
  <c r="E575" i="12"/>
  <c r="I574" i="12"/>
  <c r="G574" i="12"/>
  <c r="E574" i="12"/>
  <c r="I573" i="12"/>
  <c r="G573" i="12"/>
  <c r="E573" i="12"/>
  <c r="I572" i="12"/>
  <c r="G572" i="12"/>
  <c r="E572" i="12"/>
  <c r="I571" i="12"/>
  <c r="G571" i="12"/>
  <c r="E571" i="12"/>
  <c r="I570" i="12"/>
  <c r="G570" i="12"/>
  <c r="E570" i="12"/>
  <c r="I569" i="12"/>
  <c r="G569" i="12"/>
  <c r="E569" i="12"/>
  <c r="I568" i="12"/>
  <c r="G568" i="12"/>
  <c r="E568" i="12"/>
  <c r="I567" i="12"/>
  <c r="G567" i="12"/>
  <c r="E567" i="12"/>
  <c r="I566" i="12"/>
  <c r="G566" i="12"/>
  <c r="E566" i="12"/>
  <c r="I565" i="12"/>
  <c r="G565" i="12"/>
  <c r="E565" i="12"/>
  <c r="I564" i="12"/>
  <c r="G564" i="12"/>
  <c r="E564" i="12"/>
  <c r="I563" i="12"/>
  <c r="G563" i="12"/>
  <c r="E563" i="12"/>
  <c r="I562" i="12"/>
  <c r="G562" i="12"/>
  <c r="E562" i="12"/>
  <c r="I561" i="12"/>
  <c r="G561" i="12"/>
  <c r="E561" i="12"/>
  <c r="I560" i="12"/>
  <c r="G560" i="12"/>
  <c r="E560" i="12"/>
  <c r="I557" i="12"/>
  <c r="G557" i="12"/>
  <c r="H551" i="12"/>
  <c r="F551" i="12"/>
  <c r="I548" i="12"/>
  <c r="G548" i="12"/>
  <c r="H546" i="12"/>
  <c r="F546" i="12"/>
  <c r="G546" i="12" s="1"/>
  <c r="H545" i="12"/>
  <c r="F545" i="12"/>
  <c r="G545" i="12" s="1"/>
  <c r="I544" i="12"/>
  <c r="G544" i="12"/>
  <c r="H542" i="12"/>
  <c r="F542" i="12"/>
  <c r="G542" i="12" s="1"/>
  <c r="H537" i="12"/>
  <c r="F537" i="12"/>
  <c r="G537" i="12" s="1"/>
  <c r="H536" i="12"/>
  <c r="F536" i="12"/>
  <c r="G536" i="12" s="1"/>
  <c r="H535" i="12"/>
  <c r="F535" i="12"/>
  <c r="G535" i="12" s="1"/>
  <c r="H534" i="12"/>
  <c r="F534" i="12"/>
  <c r="G534" i="12" s="1"/>
  <c r="H531" i="12"/>
  <c r="F531" i="12"/>
  <c r="H530" i="12"/>
  <c r="F530" i="12"/>
  <c r="G530" i="12" s="1"/>
  <c r="H529" i="12"/>
  <c r="F529" i="12"/>
  <c r="G529" i="12" s="1"/>
  <c r="H528" i="12"/>
  <c r="F528" i="12"/>
  <c r="G528" i="12" s="1"/>
  <c r="H526" i="12"/>
  <c r="F526" i="12"/>
  <c r="G526" i="12" s="1"/>
  <c r="H525" i="12"/>
  <c r="F525" i="12"/>
  <c r="G525" i="12" s="1"/>
  <c r="H524" i="12"/>
  <c r="F524" i="12"/>
  <c r="G524" i="12" s="1"/>
  <c r="H523" i="12"/>
  <c r="F523" i="12"/>
  <c r="G523" i="12" s="1"/>
  <c r="H522" i="12"/>
  <c r="F522" i="12"/>
  <c r="G522" i="12" s="1"/>
  <c r="H521" i="12"/>
  <c r="F521" i="12"/>
  <c r="G521" i="12" s="1"/>
  <c r="H520" i="12"/>
  <c r="F520" i="12"/>
  <c r="G520" i="12" s="1"/>
  <c r="H519" i="12"/>
  <c r="H518" i="12"/>
  <c r="F518" i="12"/>
  <c r="G518" i="12" s="1"/>
  <c r="H517" i="12"/>
  <c r="F517" i="12"/>
  <c r="G517" i="12" s="1"/>
  <c r="H516" i="12"/>
  <c r="F516" i="12"/>
  <c r="G516" i="12" s="1"/>
  <c r="H515" i="12"/>
  <c r="F515" i="12"/>
  <c r="G515" i="12" s="1"/>
  <c r="H514" i="12"/>
  <c r="F514" i="12"/>
  <c r="G514" i="12" s="1"/>
  <c r="H513" i="12"/>
  <c r="F513" i="12"/>
  <c r="G513" i="12" s="1"/>
  <c r="H512" i="12"/>
  <c r="F512" i="12"/>
  <c r="G512" i="12" s="1"/>
  <c r="I511" i="12"/>
  <c r="G511" i="12"/>
  <c r="I507" i="12"/>
  <c r="G507" i="12"/>
  <c r="H506" i="12"/>
  <c r="H505" i="12"/>
  <c r="F505" i="12"/>
  <c r="G505" i="12" s="1"/>
  <c r="H504" i="12"/>
  <c r="F504" i="12"/>
  <c r="G504" i="12" s="1"/>
  <c r="I503" i="12"/>
  <c r="G503" i="12"/>
  <c r="H501" i="12"/>
  <c r="F501" i="12"/>
  <c r="G501" i="12" s="1"/>
  <c r="H500" i="12"/>
  <c r="F500" i="12"/>
  <c r="G500" i="12" s="1"/>
  <c r="H499" i="12"/>
  <c r="F499" i="12"/>
  <c r="G499" i="12" s="1"/>
  <c r="H498" i="12"/>
  <c r="F498" i="12"/>
  <c r="H497" i="12"/>
  <c r="F497" i="12"/>
  <c r="G497" i="12" s="1"/>
  <c r="H494" i="12"/>
  <c r="F494" i="12"/>
  <c r="G494" i="12" s="1"/>
  <c r="H493" i="12"/>
  <c r="F493" i="12"/>
  <c r="H492" i="12"/>
  <c r="F492" i="12"/>
  <c r="H491" i="12"/>
  <c r="F491" i="12"/>
  <c r="G491" i="12" s="1"/>
  <c r="H487" i="12"/>
  <c r="F487" i="12"/>
  <c r="G487" i="12" s="1"/>
  <c r="H486" i="12"/>
  <c r="F486" i="12"/>
  <c r="G486" i="12" s="1"/>
  <c r="H485" i="12"/>
  <c r="F485" i="12"/>
  <c r="G485" i="12" s="1"/>
  <c r="H482" i="12"/>
  <c r="F482" i="12"/>
  <c r="G482" i="12" s="1"/>
  <c r="H481" i="12"/>
  <c r="F481" i="12"/>
  <c r="G481" i="12" s="1"/>
  <c r="H480" i="12"/>
  <c r="F480" i="12"/>
  <c r="G480" i="12" s="1"/>
  <c r="H479" i="12"/>
  <c r="F479" i="12"/>
  <c r="G479" i="12" s="1"/>
  <c r="H478" i="12"/>
  <c r="F478" i="12"/>
  <c r="G478" i="12" s="1"/>
  <c r="H477" i="12"/>
  <c r="F477" i="12"/>
  <c r="G477" i="12" s="1"/>
  <c r="F476" i="12"/>
  <c r="G476" i="12" s="1"/>
  <c r="F475" i="12"/>
  <c r="G475" i="12" s="1"/>
  <c r="H472" i="12"/>
  <c r="F472" i="12"/>
  <c r="G472" i="12" s="1"/>
  <c r="H470" i="12"/>
  <c r="F470" i="12"/>
  <c r="G470" i="12" s="1"/>
  <c r="H469" i="12"/>
  <c r="F469" i="12"/>
  <c r="G469" i="12" s="1"/>
  <c r="H468" i="12"/>
  <c r="F468" i="12"/>
  <c r="G468" i="12" s="1"/>
  <c r="H467" i="12"/>
  <c r="F467" i="12"/>
  <c r="G467" i="12" s="1"/>
  <c r="H466" i="12"/>
  <c r="F466" i="12"/>
  <c r="G466" i="12" s="1"/>
  <c r="H465" i="12"/>
  <c r="F465" i="12"/>
  <c r="H464" i="12"/>
  <c r="F464" i="12"/>
  <c r="G464" i="12" s="1"/>
  <c r="H463" i="12"/>
  <c r="F463" i="12"/>
  <c r="G463" i="12" s="1"/>
  <c r="H462" i="12"/>
  <c r="F462" i="12"/>
  <c r="G462" i="12" s="1"/>
  <c r="H461" i="12"/>
  <c r="F461" i="12"/>
  <c r="H460" i="12"/>
  <c r="F460" i="12"/>
  <c r="G460" i="12" s="1"/>
  <c r="H459" i="12"/>
  <c r="F459" i="12"/>
  <c r="G459" i="12" s="1"/>
  <c r="H458" i="12"/>
  <c r="F458" i="12"/>
  <c r="G458" i="12" s="1"/>
  <c r="H457" i="12"/>
  <c r="F457" i="12"/>
  <c r="H456" i="12"/>
  <c r="F456" i="12"/>
  <c r="G456" i="12" s="1"/>
  <c r="H455" i="12"/>
  <c r="F455" i="12"/>
  <c r="G455" i="12" s="1"/>
  <c r="H454" i="12"/>
  <c r="F454" i="12"/>
  <c r="G454" i="12" s="1"/>
  <c r="H452" i="12"/>
  <c r="F452" i="12"/>
  <c r="G452" i="12" s="1"/>
  <c r="H451" i="12"/>
  <c r="F451" i="12"/>
  <c r="G451" i="12" s="1"/>
  <c r="H433" i="12"/>
  <c r="F433" i="12"/>
  <c r="G433" i="12" s="1"/>
  <c r="H432" i="12"/>
  <c r="F432" i="12"/>
  <c r="G432" i="12" s="1"/>
  <c r="H431" i="12"/>
  <c r="F431" i="12"/>
  <c r="G431" i="12" s="1"/>
  <c r="H430" i="12"/>
  <c r="F430" i="12"/>
  <c r="G430" i="12" s="1"/>
  <c r="H429" i="12"/>
  <c r="F429" i="12"/>
  <c r="G429" i="12" s="1"/>
  <c r="H428" i="12"/>
  <c r="F428" i="12"/>
  <c r="H427" i="12"/>
  <c r="F427" i="12"/>
  <c r="G427" i="12" s="1"/>
  <c r="H426" i="12"/>
  <c r="F426" i="12"/>
  <c r="G426" i="12" s="1"/>
  <c r="H425" i="12"/>
  <c r="F425" i="12"/>
  <c r="G425" i="12" s="1"/>
  <c r="H424" i="12"/>
  <c r="F424" i="12"/>
  <c r="G424" i="12" s="1"/>
  <c r="H423" i="12"/>
  <c r="F423" i="12"/>
  <c r="G423" i="12" s="1"/>
  <c r="H422" i="12"/>
  <c r="F422" i="12"/>
  <c r="G422" i="12" s="1"/>
  <c r="H413" i="12"/>
  <c r="F413" i="12"/>
  <c r="G413" i="12" s="1"/>
  <c r="H412" i="12"/>
  <c r="F412" i="12"/>
  <c r="G412" i="12" s="1"/>
  <c r="H411" i="12"/>
  <c r="F411" i="12"/>
  <c r="G411" i="12" s="1"/>
  <c r="H410" i="12"/>
  <c r="F410" i="12"/>
  <c r="G410" i="12" s="1"/>
  <c r="H409" i="12"/>
  <c r="F409" i="12"/>
  <c r="G409" i="12" s="1"/>
  <c r="H408" i="12"/>
  <c r="F408" i="12"/>
  <c r="G408" i="12" s="1"/>
  <c r="H407" i="12"/>
  <c r="F407" i="12"/>
  <c r="G407" i="12" s="1"/>
  <c r="H406" i="12"/>
  <c r="F406" i="12"/>
  <c r="G406" i="12" s="1"/>
  <c r="H405" i="12"/>
  <c r="F405" i="12"/>
  <c r="G405" i="12" s="1"/>
  <c r="H403" i="12"/>
  <c r="F403" i="12"/>
  <c r="G403" i="12" s="1"/>
  <c r="H402" i="12"/>
  <c r="F402" i="12"/>
  <c r="G402" i="12" s="1"/>
  <c r="H401" i="12"/>
  <c r="F401" i="12"/>
  <c r="G401" i="12" s="1"/>
  <c r="H400" i="12"/>
  <c r="F400" i="12"/>
  <c r="G400" i="12" s="1"/>
  <c r="H398" i="12"/>
  <c r="F398" i="12"/>
  <c r="G398" i="12" s="1"/>
  <c r="H397" i="12"/>
  <c r="F397" i="12"/>
  <c r="G397" i="12" s="1"/>
  <c r="H396" i="12"/>
  <c r="F396" i="12"/>
  <c r="G396" i="12" s="1"/>
  <c r="H395" i="12"/>
  <c r="F395" i="12"/>
  <c r="G395" i="12" s="1"/>
  <c r="H394" i="12"/>
  <c r="F394" i="12"/>
  <c r="G394" i="12" s="1"/>
  <c r="H393" i="12"/>
  <c r="F393" i="12"/>
  <c r="G393" i="12" s="1"/>
  <c r="H392" i="12"/>
  <c r="F392" i="12"/>
  <c r="G392" i="12" s="1"/>
  <c r="H391" i="12"/>
  <c r="F391" i="12"/>
  <c r="G391" i="12" s="1"/>
  <c r="H388" i="12"/>
  <c r="F388" i="12"/>
  <c r="G388" i="12" s="1"/>
  <c r="H386" i="12"/>
  <c r="F386" i="12"/>
  <c r="G386" i="12" s="1"/>
  <c r="H385" i="12"/>
  <c r="F385" i="12"/>
  <c r="G385" i="12" s="1"/>
  <c r="H384" i="12"/>
  <c r="F384" i="12"/>
  <c r="G384" i="12" s="1"/>
  <c r="H383" i="12"/>
  <c r="F383" i="12"/>
  <c r="G383" i="12" s="1"/>
  <c r="H382" i="12"/>
  <c r="F382" i="12"/>
  <c r="G382" i="12" s="1"/>
  <c r="H381" i="12"/>
  <c r="F381" i="12"/>
  <c r="G381" i="12" s="1"/>
  <c r="H380" i="12"/>
  <c r="F380" i="12"/>
  <c r="G380" i="12" s="1"/>
  <c r="H379" i="12"/>
  <c r="F379" i="12"/>
  <c r="G379" i="12" s="1"/>
  <c r="H378" i="12"/>
  <c r="F378" i="12"/>
  <c r="G378" i="12" s="1"/>
  <c r="H377" i="12"/>
  <c r="F377" i="12"/>
  <c r="G377" i="12" s="1"/>
  <c r="H376" i="12"/>
  <c r="F376" i="12"/>
  <c r="G376" i="12" s="1"/>
  <c r="H375" i="12"/>
  <c r="F375" i="12"/>
  <c r="G375" i="12" s="1"/>
  <c r="H374" i="12"/>
  <c r="F374" i="12"/>
  <c r="H373" i="12"/>
  <c r="F373" i="12"/>
  <c r="G373" i="12" s="1"/>
  <c r="H372" i="12"/>
  <c r="F372" i="12"/>
  <c r="G372" i="12" s="1"/>
  <c r="H371" i="12"/>
  <c r="F371" i="12"/>
  <c r="G371" i="12" s="1"/>
  <c r="H370" i="12"/>
  <c r="F370" i="12"/>
  <c r="G370" i="12" s="1"/>
  <c r="H369" i="12"/>
  <c r="F369" i="12"/>
  <c r="G369" i="12" s="1"/>
  <c r="H368" i="12"/>
  <c r="F368" i="12"/>
  <c r="G368" i="12" s="1"/>
  <c r="H367" i="12"/>
  <c r="F367" i="12"/>
  <c r="G367" i="12" s="1"/>
  <c r="H366" i="12"/>
  <c r="F366" i="12"/>
  <c r="G366" i="12" s="1"/>
  <c r="H365" i="12"/>
  <c r="F365" i="12"/>
  <c r="G365" i="12" s="1"/>
  <c r="H364" i="12"/>
  <c r="F364" i="12"/>
  <c r="G364" i="12" s="1"/>
  <c r="H362" i="12"/>
  <c r="F362" i="12"/>
  <c r="G362" i="12" s="1"/>
  <c r="H361" i="12"/>
  <c r="F361" i="12"/>
  <c r="G361" i="12" s="1"/>
  <c r="H360" i="12"/>
  <c r="F360" i="12"/>
  <c r="G360" i="12" s="1"/>
  <c r="H359" i="12"/>
  <c r="F359" i="12"/>
  <c r="G359" i="12" s="1"/>
  <c r="H358" i="12"/>
  <c r="F358" i="12"/>
  <c r="G358" i="12" s="1"/>
  <c r="H357" i="12"/>
  <c r="F357" i="12"/>
  <c r="G357" i="12" s="1"/>
  <c r="H356" i="12"/>
  <c r="F356" i="12"/>
  <c r="G356" i="12" s="1"/>
  <c r="H355" i="12"/>
  <c r="F355" i="12"/>
  <c r="H354" i="12"/>
  <c r="F354" i="12"/>
  <c r="G354" i="12" s="1"/>
  <c r="H353" i="12"/>
  <c r="F353" i="12"/>
  <c r="G353" i="12" s="1"/>
  <c r="H352" i="12"/>
  <c r="F352" i="12"/>
  <c r="G352" i="12" s="1"/>
  <c r="H351" i="12"/>
  <c r="F351" i="12"/>
  <c r="G351" i="12" s="1"/>
  <c r="H350" i="12"/>
  <c r="F350" i="12"/>
  <c r="H349" i="12"/>
  <c r="F349" i="12"/>
  <c r="G349" i="12" s="1"/>
  <c r="H348" i="12"/>
  <c r="F348" i="12"/>
  <c r="G348" i="12" s="1"/>
  <c r="H347" i="12"/>
  <c r="F347" i="12"/>
  <c r="G347" i="12" s="1"/>
  <c r="H346" i="12"/>
  <c r="F346" i="12"/>
  <c r="G346" i="12" s="1"/>
  <c r="H345" i="12"/>
  <c r="F345" i="12"/>
  <c r="G345" i="12" s="1"/>
  <c r="H344" i="12"/>
  <c r="F344" i="12"/>
  <c r="G344" i="12" s="1"/>
  <c r="H343" i="12"/>
  <c r="F343" i="12"/>
  <c r="G343" i="12" s="1"/>
  <c r="H342" i="12"/>
  <c r="F342" i="12"/>
  <c r="G342" i="12" s="1"/>
  <c r="H341" i="12"/>
  <c r="F341" i="12"/>
  <c r="G341" i="12" s="1"/>
  <c r="H340" i="12"/>
  <c r="F340" i="12"/>
  <c r="G340" i="12" s="1"/>
  <c r="H339" i="12"/>
  <c r="F339" i="12"/>
  <c r="G339" i="12" s="1"/>
  <c r="H338" i="12"/>
  <c r="F338" i="12"/>
  <c r="G338" i="12" s="1"/>
  <c r="H337" i="12"/>
  <c r="F337" i="12"/>
  <c r="G337" i="12" s="1"/>
  <c r="H336" i="12"/>
  <c r="F336" i="12"/>
  <c r="H335" i="12"/>
  <c r="F335" i="12"/>
  <c r="G335" i="12" s="1"/>
  <c r="H334" i="12"/>
  <c r="F334" i="12"/>
  <c r="G334" i="12" s="1"/>
  <c r="H333" i="12"/>
  <c r="F333" i="12"/>
  <c r="G333" i="12" s="1"/>
  <c r="H332" i="12"/>
  <c r="F332" i="12"/>
  <c r="G332" i="12" s="1"/>
  <c r="H323" i="12"/>
  <c r="F323" i="12"/>
  <c r="G323" i="12" s="1"/>
  <c r="H322" i="12"/>
  <c r="F322" i="12"/>
  <c r="G322" i="12" s="1"/>
  <c r="H320" i="12"/>
  <c r="F320" i="12"/>
  <c r="G320" i="12" s="1"/>
  <c r="H319" i="12"/>
  <c r="F319" i="12"/>
  <c r="H317" i="12"/>
  <c r="F317" i="12"/>
  <c r="G317" i="12" s="1"/>
  <c r="H315" i="12"/>
  <c r="F315" i="12"/>
  <c r="G315" i="12" s="1"/>
  <c r="H314" i="12"/>
  <c r="F314" i="12"/>
  <c r="G314" i="12" s="1"/>
  <c r="H313" i="12"/>
  <c r="F313" i="12"/>
  <c r="G313" i="12" s="1"/>
  <c r="H312" i="12"/>
  <c r="F312" i="12"/>
  <c r="H311" i="12"/>
  <c r="F311" i="12"/>
  <c r="G311" i="12" s="1"/>
  <c r="H310" i="12"/>
  <c r="F310" i="12"/>
  <c r="G310" i="12" s="1"/>
  <c r="H309" i="12"/>
  <c r="F309" i="12"/>
  <c r="G309" i="12" s="1"/>
  <c r="H308" i="12"/>
  <c r="F308" i="12"/>
  <c r="G308" i="12" s="1"/>
  <c r="H298" i="12"/>
  <c r="F298" i="12"/>
  <c r="H297" i="12"/>
  <c r="F297" i="12"/>
  <c r="G297" i="12" s="1"/>
  <c r="H296" i="12"/>
  <c r="F296" i="12"/>
  <c r="H295" i="12"/>
  <c r="F295" i="12"/>
  <c r="G295" i="12" s="1"/>
  <c r="H294" i="12"/>
  <c r="F294" i="12"/>
  <c r="G294" i="12" s="1"/>
  <c r="H293" i="12"/>
  <c r="F293" i="12"/>
  <c r="H292" i="12"/>
  <c r="F292" i="12"/>
  <c r="G292" i="12" s="1"/>
  <c r="H291" i="12"/>
  <c r="F291" i="12"/>
  <c r="G291" i="12" s="1"/>
  <c r="H289" i="12"/>
  <c r="F289" i="12"/>
  <c r="G289" i="12" s="1"/>
  <c r="H288" i="12"/>
  <c r="F288" i="12"/>
  <c r="G288" i="12" s="1"/>
  <c r="H287" i="12"/>
  <c r="F287" i="12"/>
  <c r="G287" i="12" s="1"/>
  <c r="H286" i="12"/>
  <c r="F286" i="12"/>
  <c r="G286" i="12" s="1"/>
  <c r="H285" i="12"/>
  <c r="F285" i="12"/>
  <c r="H284" i="12"/>
  <c r="F284" i="12"/>
  <c r="H283" i="12"/>
  <c r="F283" i="12"/>
  <c r="G283" i="12" s="1"/>
  <c r="H282" i="12"/>
  <c r="F282" i="12"/>
  <c r="G282" i="12" s="1"/>
  <c r="H281" i="12"/>
  <c r="F281" i="12"/>
  <c r="G281" i="12" s="1"/>
  <c r="H280" i="12"/>
  <c r="F280" i="12"/>
  <c r="H279" i="12"/>
  <c r="F279" i="12"/>
  <c r="H278" i="12"/>
  <c r="F278" i="12"/>
  <c r="G278" i="12" s="1"/>
  <c r="H277" i="12"/>
  <c r="F277" i="12"/>
  <c r="H276" i="12"/>
  <c r="F276" i="12"/>
  <c r="G276" i="12" s="1"/>
  <c r="H275" i="12"/>
  <c r="F275" i="12"/>
  <c r="G275" i="12" s="1"/>
  <c r="H274" i="12"/>
  <c r="F274" i="12"/>
  <c r="H273" i="12"/>
  <c r="F273" i="12"/>
  <c r="G273" i="12" s="1"/>
  <c r="H272" i="12"/>
  <c r="F272" i="12"/>
  <c r="G272" i="12" s="1"/>
  <c r="H271" i="12"/>
  <c r="F271" i="12"/>
  <c r="G271" i="12" s="1"/>
  <c r="H270" i="12"/>
  <c r="F270" i="12"/>
  <c r="G270" i="12" s="1"/>
  <c r="H269" i="12"/>
  <c r="F269" i="12"/>
  <c r="G269" i="12" s="1"/>
  <c r="H268" i="12"/>
  <c r="F268" i="12"/>
  <c r="G268" i="12" s="1"/>
  <c r="H267" i="12"/>
  <c r="F267" i="12"/>
  <c r="H266" i="12"/>
  <c r="F266" i="12"/>
  <c r="G266" i="12" s="1"/>
  <c r="H265" i="12"/>
  <c r="F265" i="12"/>
  <c r="G265" i="12" s="1"/>
  <c r="H264" i="12"/>
  <c r="F264" i="12"/>
  <c r="G264" i="12" s="1"/>
  <c r="H263" i="12"/>
  <c r="F263" i="12"/>
  <c r="G263" i="12" s="1"/>
  <c r="H262" i="12"/>
  <c r="F262" i="12"/>
  <c r="G262" i="12" s="1"/>
  <c r="H261" i="12"/>
  <c r="F261" i="12"/>
  <c r="G261" i="12" s="1"/>
  <c r="H260" i="12"/>
  <c r="F260" i="12"/>
  <c r="G260" i="12" s="1"/>
  <c r="H259" i="12"/>
  <c r="F259" i="12"/>
  <c r="H258" i="12"/>
  <c r="F258" i="12"/>
  <c r="G258" i="12" s="1"/>
  <c r="H257" i="12"/>
  <c r="F257" i="12"/>
  <c r="H256" i="12"/>
  <c r="F256" i="12"/>
  <c r="G256" i="12" s="1"/>
  <c r="H252" i="12"/>
  <c r="F252" i="12"/>
  <c r="G252" i="12" s="1"/>
  <c r="H243" i="12"/>
  <c r="F243" i="12"/>
  <c r="G243" i="12" s="1"/>
  <c r="H242" i="12"/>
  <c r="F242" i="12"/>
  <c r="H241" i="12"/>
  <c r="F241" i="12"/>
  <c r="G241" i="12" s="1"/>
  <c r="H240" i="12"/>
  <c r="F240" i="12"/>
  <c r="H239" i="12"/>
  <c r="F239" i="12"/>
  <c r="G239" i="12" s="1"/>
  <c r="H238" i="12"/>
  <c r="F238" i="12"/>
  <c r="H237" i="12"/>
  <c r="F237" i="12"/>
  <c r="H236" i="12"/>
  <c r="F236" i="12"/>
  <c r="G236" i="12" s="1"/>
  <c r="H235" i="12"/>
  <c r="F235" i="12"/>
  <c r="G235" i="12" s="1"/>
  <c r="H234" i="12"/>
  <c r="F234" i="12"/>
  <c r="G234" i="12" s="1"/>
  <c r="H233" i="12"/>
  <c r="F233" i="12"/>
  <c r="G233" i="12" s="1"/>
  <c r="H232" i="12"/>
  <c r="F232" i="12"/>
  <c r="G232" i="12" s="1"/>
  <c r="H231" i="12"/>
  <c r="F231" i="12"/>
  <c r="G231" i="12" s="1"/>
  <c r="H230" i="12"/>
  <c r="F230" i="12"/>
  <c r="G230" i="12" s="1"/>
  <c r="H229" i="12"/>
  <c r="F229" i="12"/>
  <c r="G229" i="12" s="1"/>
  <c r="H228" i="12"/>
  <c r="F228" i="12"/>
  <c r="G228" i="12" s="1"/>
  <c r="H227" i="12"/>
  <c r="F227" i="12"/>
  <c r="G227" i="12" s="1"/>
  <c r="H226" i="12"/>
  <c r="F226" i="12"/>
  <c r="G226" i="12" s="1"/>
  <c r="H225" i="12"/>
  <c r="F225" i="12"/>
  <c r="H224" i="12"/>
  <c r="F224" i="12"/>
  <c r="H223" i="12"/>
  <c r="F223" i="12"/>
  <c r="G223" i="12" s="1"/>
  <c r="H222" i="12"/>
  <c r="F222" i="12"/>
  <c r="G222" i="12" s="1"/>
  <c r="H221" i="12"/>
  <c r="F221" i="12"/>
  <c r="G221" i="12" s="1"/>
  <c r="H214" i="12"/>
  <c r="F214" i="12"/>
  <c r="G214" i="12" s="1"/>
  <c r="H213" i="12"/>
  <c r="F213" i="12"/>
  <c r="G213" i="12" s="1"/>
  <c r="H212" i="12"/>
  <c r="F212" i="12"/>
  <c r="G212" i="12" s="1"/>
  <c r="H211" i="12"/>
  <c r="F211" i="12"/>
  <c r="G211" i="12" s="1"/>
  <c r="H210" i="12"/>
  <c r="F210" i="12"/>
  <c r="G210" i="12" s="1"/>
  <c r="H209" i="12"/>
  <c r="F209" i="12"/>
  <c r="G209" i="12" s="1"/>
  <c r="H208" i="12"/>
  <c r="F208" i="12"/>
  <c r="G208" i="12" s="1"/>
  <c r="H206" i="12"/>
  <c r="F206" i="12"/>
  <c r="G206" i="12" s="1"/>
  <c r="H205" i="12"/>
  <c r="F205" i="12"/>
  <c r="G205" i="12" s="1"/>
  <c r="H204" i="12"/>
  <c r="F204" i="12"/>
  <c r="G204" i="12" s="1"/>
  <c r="H202" i="12"/>
  <c r="F202" i="12"/>
  <c r="G202" i="12" s="1"/>
  <c r="H201" i="12"/>
  <c r="F201" i="12"/>
  <c r="G201" i="12" s="1"/>
  <c r="H200" i="12"/>
  <c r="F200" i="12"/>
  <c r="G200" i="12" s="1"/>
  <c r="H199" i="12"/>
  <c r="F199" i="12"/>
  <c r="G199" i="12" s="1"/>
  <c r="H198" i="12"/>
  <c r="F198" i="12"/>
  <c r="G198" i="12" s="1"/>
  <c r="H197" i="12"/>
  <c r="F197" i="12"/>
  <c r="G197" i="12" s="1"/>
  <c r="H196" i="12"/>
  <c r="F196" i="12"/>
  <c r="G196" i="12" s="1"/>
  <c r="H195" i="12"/>
  <c r="F195" i="12"/>
  <c r="G195" i="12" s="1"/>
  <c r="H194" i="12"/>
  <c r="F194" i="12"/>
  <c r="G194" i="12" s="1"/>
  <c r="H193" i="12"/>
  <c r="F193" i="12"/>
  <c r="G193" i="12" s="1"/>
  <c r="H192" i="12"/>
  <c r="F192" i="12"/>
  <c r="G192" i="12" s="1"/>
  <c r="H191" i="12"/>
  <c r="F191" i="12"/>
  <c r="G191" i="12" s="1"/>
  <c r="H190" i="12"/>
  <c r="F190" i="12"/>
  <c r="G190" i="12" s="1"/>
  <c r="H189" i="12"/>
  <c r="F189" i="12"/>
  <c r="G189" i="12" s="1"/>
  <c r="H188" i="12"/>
  <c r="F188" i="12"/>
  <c r="G188" i="12" s="1"/>
  <c r="H187" i="12"/>
  <c r="F187" i="12"/>
  <c r="H186" i="12"/>
  <c r="F186" i="12"/>
  <c r="G186" i="12" s="1"/>
  <c r="H185" i="12"/>
  <c r="F185" i="12"/>
  <c r="G185" i="12" s="1"/>
  <c r="H184" i="12"/>
  <c r="F184" i="12"/>
  <c r="G184" i="12" s="1"/>
  <c r="H183" i="12"/>
  <c r="F183" i="12"/>
  <c r="G183" i="12" s="1"/>
  <c r="H182" i="12"/>
  <c r="F182" i="12"/>
  <c r="G182" i="12" s="1"/>
  <c r="H181" i="12"/>
  <c r="F181" i="12"/>
  <c r="G181" i="12" s="1"/>
  <c r="H180" i="12"/>
  <c r="F180" i="12"/>
  <c r="G180" i="12" s="1"/>
  <c r="H179" i="12"/>
  <c r="F179" i="12"/>
  <c r="G179" i="12" s="1"/>
  <c r="H178" i="12"/>
  <c r="F178" i="12"/>
  <c r="G178" i="12" s="1"/>
  <c r="H177" i="12"/>
  <c r="F177" i="12"/>
  <c r="G177" i="12" s="1"/>
  <c r="H176" i="12"/>
  <c r="F176" i="12"/>
  <c r="G176" i="12" s="1"/>
  <c r="H175" i="12"/>
  <c r="F175" i="12"/>
  <c r="G175" i="12" s="1"/>
  <c r="H174" i="12"/>
  <c r="F174" i="12"/>
  <c r="G174" i="12" s="1"/>
  <c r="H173" i="12"/>
  <c r="F173" i="12"/>
  <c r="G173" i="12" s="1"/>
  <c r="H172" i="12"/>
  <c r="F172" i="12"/>
  <c r="G172" i="12" s="1"/>
  <c r="H171" i="12"/>
  <c r="F171" i="12"/>
  <c r="G171" i="12" s="1"/>
  <c r="H170" i="12"/>
  <c r="F170" i="12"/>
  <c r="G170" i="12" s="1"/>
  <c r="H169" i="12"/>
  <c r="F169" i="12"/>
  <c r="G169" i="12" s="1"/>
  <c r="H168" i="12"/>
  <c r="F168" i="12"/>
  <c r="G168" i="12" s="1"/>
  <c r="H167" i="12"/>
  <c r="F167" i="12"/>
  <c r="G167" i="12" s="1"/>
  <c r="H166" i="12"/>
  <c r="F166" i="12"/>
  <c r="G166" i="12" s="1"/>
  <c r="H165" i="12"/>
  <c r="F165" i="12"/>
  <c r="G165" i="12" s="1"/>
  <c r="H164" i="12"/>
  <c r="F164" i="12"/>
  <c r="G164" i="12" s="1"/>
  <c r="H163" i="12"/>
  <c r="F163" i="12"/>
  <c r="G163" i="12" s="1"/>
  <c r="H162" i="12"/>
  <c r="F162" i="12"/>
  <c r="G162" i="12" s="1"/>
  <c r="H133" i="12"/>
  <c r="F133" i="12"/>
  <c r="G133" i="12" s="1"/>
  <c r="H129" i="12"/>
  <c r="F129" i="12"/>
  <c r="G129" i="12" s="1"/>
  <c r="H128" i="12"/>
  <c r="F128" i="12"/>
  <c r="G128" i="12" s="1"/>
  <c r="H127" i="12"/>
  <c r="F127" i="12"/>
  <c r="G127" i="12" s="1"/>
  <c r="H126" i="12"/>
  <c r="F126" i="12"/>
  <c r="G126" i="12" s="1"/>
  <c r="H125" i="12"/>
  <c r="F125" i="12"/>
  <c r="G125" i="12" s="1"/>
  <c r="H124" i="12"/>
  <c r="F124" i="12"/>
  <c r="G124" i="12" s="1"/>
  <c r="H123" i="12"/>
  <c r="F123" i="12"/>
  <c r="G123" i="12" s="1"/>
  <c r="H122" i="12"/>
  <c r="F122" i="12"/>
  <c r="G122" i="12" s="1"/>
  <c r="H161" i="12"/>
  <c r="F161" i="12"/>
  <c r="G161" i="12" s="1"/>
  <c r="H160" i="12"/>
  <c r="F160" i="12"/>
  <c r="G160" i="12" s="1"/>
  <c r="H159" i="12"/>
  <c r="F159" i="12"/>
  <c r="G159" i="12" s="1"/>
  <c r="H158" i="12"/>
  <c r="F158" i="12"/>
  <c r="G158" i="12" s="1"/>
  <c r="H157" i="12"/>
  <c r="F157" i="12"/>
  <c r="G157" i="12" s="1"/>
  <c r="H156" i="12"/>
  <c r="F156" i="12"/>
  <c r="G156" i="12" s="1"/>
  <c r="H155" i="12"/>
  <c r="F155" i="12"/>
  <c r="G155" i="12" s="1"/>
  <c r="H154" i="12"/>
  <c r="F154" i="12"/>
  <c r="G154" i="12" s="1"/>
  <c r="H153" i="12"/>
  <c r="F153" i="12"/>
  <c r="G153" i="12" s="1"/>
  <c r="H148" i="12"/>
  <c r="F148" i="12"/>
  <c r="G148" i="12" s="1"/>
  <c r="H147" i="12"/>
  <c r="F147" i="12"/>
  <c r="G147" i="12" s="1"/>
  <c r="H146" i="12"/>
  <c r="F146" i="12"/>
  <c r="G146" i="12" s="1"/>
  <c r="H145" i="12"/>
  <c r="F145" i="12"/>
  <c r="G145" i="12" s="1"/>
  <c r="H144" i="12"/>
  <c r="F144" i="12"/>
  <c r="G144" i="12" s="1"/>
  <c r="H143" i="12"/>
  <c r="F143" i="12"/>
  <c r="G143" i="12" s="1"/>
  <c r="H142" i="12"/>
  <c r="F142" i="12"/>
  <c r="G142" i="12" s="1"/>
  <c r="H136" i="12"/>
  <c r="F136" i="12"/>
  <c r="H134" i="12"/>
  <c r="F134" i="12"/>
  <c r="G134" i="12" s="1"/>
  <c r="H121" i="12"/>
  <c r="F121" i="12"/>
  <c r="G121" i="12" s="1"/>
  <c r="H120" i="12"/>
  <c r="F120" i="12"/>
  <c r="G120" i="12" s="1"/>
  <c r="H119" i="12"/>
  <c r="F119" i="12"/>
  <c r="G119" i="12" s="1"/>
  <c r="H118" i="12"/>
  <c r="F118" i="12"/>
  <c r="G118" i="12" s="1"/>
  <c r="H117" i="12"/>
  <c r="F117" i="12"/>
  <c r="G117" i="12" s="1"/>
  <c r="H106" i="12"/>
  <c r="F106" i="12"/>
  <c r="G106" i="12" s="1"/>
  <c r="H102" i="12"/>
  <c r="F102" i="12"/>
  <c r="H74" i="12"/>
  <c r="L74" i="12" s="1"/>
  <c r="H73" i="12"/>
  <c r="H72" i="12"/>
  <c r="F72" i="12"/>
  <c r="G72" i="12" s="1"/>
  <c r="H71" i="12"/>
  <c r="F71" i="12"/>
  <c r="G71" i="12" s="1"/>
  <c r="H70" i="12"/>
  <c r="F70" i="12"/>
  <c r="G70" i="12" s="1"/>
  <c r="H69" i="12"/>
  <c r="F69" i="12"/>
  <c r="G69" i="12" s="1"/>
  <c r="H66" i="12"/>
  <c r="F66" i="12"/>
  <c r="G66" i="12" s="1"/>
  <c r="H65" i="12"/>
  <c r="F65" i="12"/>
  <c r="G65" i="12" s="1"/>
  <c r="H64" i="12"/>
  <c r="F64" i="12"/>
  <c r="G64" i="12" s="1"/>
  <c r="H60" i="12"/>
  <c r="F60" i="12"/>
  <c r="G60" i="12" s="1"/>
  <c r="H59" i="12"/>
  <c r="F59" i="12"/>
  <c r="G59" i="12" s="1"/>
  <c r="H58" i="12"/>
  <c r="F58" i="12"/>
  <c r="G58" i="12" s="1"/>
  <c r="H57" i="12"/>
  <c r="F57" i="12"/>
  <c r="H45" i="12"/>
  <c r="F45" i="12"/>
  <c r="G45" i="12" s="1"/>
  <c r="H53" i="12"/>
  <c r="F53" i="12"/>
  <c r="G53" i="12" s="1"/>
  <c r="H52" i="12"/>
  <c r="F52" i="12"/>
  <c r="G52" i="12" s="1"/>
  <c r="H51" i="12"/>
  <c r="F51" i="12"/>
  <c r="G51" i="12" s="1"/>
  <c r="H55" i="12"/>
  <c r="F55" i="12"/>
  <c r="G55" i="12" s="1"/>
  <c r="H50" i="12"/>
  <c r="F50" i="12"/>
  <c r="G50" i="12" s="1"/>
  <c r="H49" i="12"/>
  <c r="F49" i="12"/>
  <c r="H44" i="12"/>
  <c r="F44" i="12"/>
  <c r="G44" i="12" s="1"/>
  <c r="H43" i="12"/>
  <c r="F43" i="12"/>
  <c r="G43" i="12" s="1"/>
  <c r="H42" i="12"/>
  <c r="F42" i="12"/>
  <c r="G42" i="12" s="1"/>
  <c r="H41" i="12"/>
  <c r="F41" i="12"/>
  <c r="G41" i="12" s="1"/>
  <c r="H40" i="12"/>
  <c r="F40" i="12"/>
  <c r="H39" i="12"/>
  <c r="F39" i="12"/>
  <c r="G39" i="12" s="1"/>
  <c r="H38" i="12"/>
  <c r="F38" i="12"/>
  <c r="G38" i="12" s="1"/>
  <c r="H37" i="12"/>
  <c r="F37" i="12"/>
  <c r="G37" i="12" s="1"/>
  <c r="H48" i="12"/>
  <c r="F48" i="12"/>
  <c r="G48" i="12" s="1"/>
  <c r="H47" i="12"/>
  <c r="F47" i="12"/>
  <c r="G47" i="12" s="1"/>
  <c r="H36" i="12"/>
  <c r="F36" i="12"/>
  <c r="G36" i="12" s="1"/>
  <c r="H35" i="12"/>
  <c r="F35" i="12"/>
  <c r="G35" i="12" s="1"/>
  <c r="H34" i="12"/>
  <c r="F34" i="12"/>
  <c r="G34" i="12" s="1"/>
  <c r="H33" i="12"/>
  <c r="F33" i="12"/>
  <c r="G33" i="12" s="1"/>
  <c r="H32" i="12"/>
  <c r="F32" i="12"/>
  <c r="G32" i="12" s="1"/>
  <c r="H31" i="12"/>
  <c r="F31" i="12"/>
  <c r="H30" i="12"/>
  <c r="I30" i="12" s="1"/>
  <c r="F30" i="12"/>
  <c r="G30" i="12" s="1"/>
  <c r="H29" i="12"/>
  <c r="I29" i="12" s="1"/>
  <c r="F29" i="12"/>
  <c r="G29" i="12" s="1"/>
  <c r="H28" i="12"/>
  <c r="I28" i="12" s="1"/>
  <c r="F28" i="12"/>
  <c r="G28" i="12" s="1"/>
  <c r="H27" i="12"/>
  <c r="I27" i="12" s="1"/>
  <c r="F27" i="12"/>
  <c r="G27" i="12" s="1"/>
  <c r="H26" i="12"/>
  <c r="I26" i="12" s="1"/>
  <c r="F26" i="12"/>
  <c r="G26" i="12" s="1"/>
  <c r="H25" i="12"/>
  <c r="I25" i="12" s="1"/>
  <c r="F25" i="12"/>
  <c r="G25" i="12" s="1"/>
  <c r="H24" i="12"/>
  <c r="I24" i="12" s="1"/>
  <c r="F24" i="12"/>
  <c r="G24" i="12" s="1"/>
  <c r="H23" i="12"/>
  <c r="I23" i="12" s="1"/>
  <c r="F23" i="12"/>
  <c r="G23" i="12" s="1"/>
  <c r="H22" i="12"/>
  <c r="I22" i="12" s="1"/>
  <c r="F22" i="12"/>
  <c r="G22" i="12" s="1"/>
  <c r="H21" i="12"/>
  <c r="I21" i="12" s="1"/>
  <c r="F21" i="12"/>
  <c r="G21" i="12" s="1"/>
  <c r="H20" i="12"/>
  <c r="I20" i="12" s="1"/>
  <c r="F20" i="12"/>
  <c r="G20" i="12" s="1"/>
  <c r="H19" i="12"/>
  <c r="I19" i="12" s="1"/>
  <c r="F19" i="12"/>
  <c r="G19" i="12" s="1"/>
  <c r="H18" i="12"/>
  <c r="I18" i="12" s="1"/>
  <c r="F18" i="12"/>
  <c r="G18" i="12" s="1"/>
  <c r="H17" i="12"/>
  <c r="I17" i="12" s="1"/>
  <c r="F17" i="12"/>
  <c r="G17" i="12" s="1"/>
  <c r="H16" i="12"/>
  <c r="I16" i="12" s="1"/>
  <c r="F16" i="12"/>
  <c r="G16" i="12" s="1"/>
  <c r="H15" i="12"/>
  <c r="I15" i="12" s="1"/>
  <c r="F15" i="12"/>
  <c r="G15" i="12" s="1"/>
  <c r="H14" i="12"/>
  <c r="I14" i="12" s="1"/>
  <c r="F14" i="12"/>
  <c r="G14" i="12" s="1"/>
  <c r="H13" i="12"/>
  <c r="I13" i="12" s="1"/>
  <c r="F13" i="12"/>
  <c r="G13" i="12" s="1"/>
  <c r="H12" i="12"/>
  <c r="I12" i="12" s="1"/>
  <c r="F12" i="12"/>
  <c r="G12" i="12" s="1"/>
  <c r="H11" i="12"/>
  <c r="I11" i="12" s="1"/>
  <c r="F11" i="12"/>
  <c r="G11" i="12" s="1"/>
  <c r="H10" i="12"/>
  <c r="I10" i="12" s="1"/>
  <c r="F10" i="12"/>
  <c r="G10" i="12" s="1"/>
  <c r="H9" i="12"/>
  <c r="I9" i="12" s="1"/>
  <c r="F9" i="12"/>
  <c r="G9" i="12" s="1"/>
  <c r="H8" i="12"/>
  <c r="I8" i="12" s="1"/>
  <c r="F8" i="12"/>
  <c r="G8" i="12" s="1"/>
  <c r="H7" i="12"/>
  <c r="I7" i="12" s="1"/>
  <c r="F7" i="12"/>
  <c r="G7" i="12" s="1"/>
  <c r="H6" i="12"/>
  <c r="I6" i="12" s="1"/>
  <c r="F6" i="12"/>
  <c r="G6" i="12" s="1"/>
  <c r="F399" i="12" l="1"/>
  <c r="D399" i="12" s="1"/>
  <c r="L486" i="12"/>
  <c r="L465" i="12"/>
  <c r="L522" i="12"/>
  <c r="L546" i="12"/>
  <c r="L460" i="12"/>
  <c r="L479" i="12"/>
  <c r="L536" i="12"/>
  <c r="H399" i="12"/>
  <c r="E399" i="12" s="1"/>
  <c r="L269" i="12"/>
  <c r="L468" i="12"/>
  <c r="L492" i="12"/>
  <c r="L119" i="12"/>
  <c r="L71" i="12"/>
  <c r="L162" i="12"/>
  <c r="L178" i="12"/>
  <c r="L193" i="12"/>
  <c r="L210" i="12"/>
  <c r="L232" i="12"/>
  <c r="L258" i="12"/>
  <c r="L518" i="12"/>
  <c r="L530" i="12"/>
  <c r="L128" i="12"/>
  <c r="L175" i="12"/>
  <c r="L190" i="12"/>
  <c r="L206" i="12"/>
  <c r="L229" i="12"/>
  <c r="L254" i="12"/>
  <c r="L337" i="12"/>
  <c r="L407" i="12"/>
  <c r="L386" i="12"/>
  <c r="L278" i="12"/>
  <c r="L353" i="12"/>
  <c r="L117" i="12"/>
  <c r="L133" i="12"/>
  <c r="L177" i="12"/>
  <c r="L192" i="12"/>
  <c r="L209" i="12"/>
  <c r="L231" i="12"/>
  <c r="L257" i="12"/>
  <c r="L296" i="12"/>
  <c r="L317" i="12"/>
  <c r="L340" i="12"/>
  <c r="L356" i="12"/>
  <c r="L373" i="12"/>
  <c r="L392" i="12"/>
  <c r="L268" i="12"/>
  <c r="L313" i="12"/>
  <c r="L40" i="12"/>
  <c r="L151" i="12"/>
  <c r="L464" i="12"/>
  <c r="L485" i="12"/>
  <c r="L370" i="12"/>
  <c r="L59" i="12"/>
  <c r="L293" i="12"/>
  <c r="L428" i="12"/>
  <c r="L66" i="12"/>
  <c r="L294" i="12"/>
  <c r="L314" i="12"/>
  <c r="L338" i="12"/>
  <c r="L354" i="12"/>
  <c r="L371" i="12"/>
  <c r="L388" i="12"/>
  <c r="L408" i="12"/>
  <c r="L429" i="12"/>
  <c r="L450" i="12"/>
  <c r="L524" i="12"/>
  <c r="L443" i="12"/>
  <c r="L45" i="12"/>
  <c r="L167" i="12"/>
  <c r="L183" i="12"/>
  <c r="L197" i="12"/>
  <c r="L221" i="12"/>
  <c r="L237" i="12"/>
  <c r="L262" i="12"/>
  <c r="L272" i="12"/>
  <c r="L284" i="12"/>
  <c r="L304" i="12"/>
  <c r="L326" i="12"/>
  <c r="L345" i="12"/>
  <c r="L361" i="12"/>
  <c r="L378" i="12"/>
  <c r="L397" i="12"/>
  <c r="L420" i="12"/>
  <c r="L410" i="12"/>
  <c r="L432" i="12"/>
  <c r="L436" i="12"/>
  <c r="L455" i="12"/>
  <c r="L497" i="12"/>
  <c r="L529" i="12"/>
  <c r="L154" i="12"/>
  <c r="L279" i="12"/>
  <c r="L295" i="12"/>
  <c r="L315" i="12"/>
  <c r="L339" i="12"/>
  <c r="L355" i="12"/>
  <c r="L372" i="12"/>
  <c r="L391" i="12"/>
  <c r="L409" i="12"/>
  <c r="L430" i="12"/>
  <c r="L451" i="12"/>
  <c r="L466" i="12"/>
  <c r="L487" i="12"/>
  <c r="L512" i="12"/>
  <c r="L42" i="12"/>
  <c r="L63" i="12"/>
  <c r="L112" i="12"/>
  <c r="L146" i="12"/>
  <c r="L125" i="12"/>
  <c r="L172" i="12"/>
  <c r="L187" i="12"/>
  <c r="L202" i="12"/>
  <c r="L226" i="12"/>
  <c r="L242" i="12"/>
  <c r="L265" i="12"/>
  <c r="L276" i="12"/>
  <c r="L289" i="12"/>
  <c r="L310" i="12"/>
  <c r="L334" i="12"/>
  <c r="L350" i="12"/>
  <c r="L367" i="12"/>
  <c r="L383" i="12"/>
  <c r="L403" i="12"/>
  <c r="L425" i="12"/>
  <c r="L537" i="12"/>
  <c r="L542" i="12"/>
  <c r="L531" i="12"/>
  <c r="L446" i="12"/>
  <c r="L463" i="12"/>
  <c r="L482" i="12"/>
  <c r="L520" i="12"/>
  <c r="L534" i="12"/>
  <c r="L134" i="12"/>
  <c r="L157" i="12"/>
  <c r="L164" i="12"/>
  <c r="L180" i="12"/>
  <c r="L195" i="12"/>
  <c r="L212" i="12"/>
  <c r="L234" i="12"/>
  <c r="L281" i="12"/>
  <c r="L298" i="12"/>
  <c r="L320" i="12"/>
  <c r="L342" i="12"/>
  <c r="L358" i="12"/>
  <c r="L375" i="12"/>
  <c r="L394" i="12"/>
  <c r="L412" i="12"/>
  <c r="L526" i="12"/>
  <c r="L160" i="12"/>
  <c r="L535" i="12"/>
  <c r="L545" i="12"/>
  <c r="L55" i="12"/>
  <c r="L107" i="12"/>
  <c r="L141" i="12"/>
  <c r="L528" i="12"/>
  <c r="L523" i="12"/>
  <c r="L525" i="12"/>
  <c r="L521" i="12"/>
  <c r="L517" i="12"/>
  <c r="L188" i="12"/>
  <c r="L204" i="12"/>
  <c r="L227" i="12"/>
  <c r="L243" i="12"/>
  <c r="L266" i="12"/>
  <c r="L277" i="12"/>
  <c r="L291" i="12"/>
  <c r="L311" i="12"/>
  <c r="L335" i="12"/>
  <c r="L351" i="12"/>
  <c r="L368" i="12"/>
  <c r="L384" i="12"/>
  <c r="L405" i="12"/>
  <c r="L426" i="12"/>
  <c r="L444" i="12"/>
  <c r="L461" i="12"/>
  <c r="L480" i="12"/>
  <c r="L504" i="12"/>
  <c r="L120" i="12"/>
  <c r="L51" i="12"/>
  <c r="L72" i="12"/>
  <c r="L108" i="12"/>
  <c r="L142" i="12"/>
  <c r="L161" i="12"/>
  <c r="L168" i="12"/>
  <c r="L184" i="12"/>
  <c r="L198" i="12"/>
  <c r="L222" i="12"/>
  <c r="L238" i="12"/>
  <c r="L263" i="12"/>
  <c r="L285" i="12"/>
  <c r="L305" i="12"/>
  <c r="L330" i="12"/>
  <c r="L346" i="12"/>
  <c r="L362" i="12"/>
  <c r="L379" i="12"/>
  <c r="L398" i="12"/>
  <c r="L421" i="12"/>
  <c r="L437" i="12"/>
  <c r="L456" i="12"/>
  <c r="L475" i="12"/>
  <c r="L498" i="12"/>
  <c r="L155" i="12"/>
  <c r="L38" i="12"/>
  <c r="L147" i="12"/>
  <c r="L65" i="12"/>
  <c r="L179" i="12"/>
  <c r="L194" i="12"/>
  <c r="L211" i="12"/>
  <c r="L233" i="12"/>
  <c r="L259" i="12"/>
  <c r="L270" i="12"/>
  <c r="L280" i="12"/>
  <c r="L297" i="12"/>
  <c r="L319" i="12"/>
  <c r="L341" i="12"/>
  <c r="L357" i="12"/>
  <c r="L374" i="12"/>
  <c r="L393" i="12"/>
  <c r="L411" i="12"/>
  <c r="L431" i="12"/>
  <c r="L452" i="12"/>
  <c r="L467" i="12"/>
  <c r="L491" i="12"/>
  <c r="L513" i="12"/>
  <c r="L121" i="12"/>
  <c r="L163" i="12"/>
  <c r="L39" i="12"/>
  <c r="L58" i="12"/>
  <c r="L116" i="12"/>
  <c r="L148" i="12"/>
  <c r="L127" i="12"/>
  <c r="L174" i="12"/>
  <c r="L189" i="12"/>
  <c r="L205" i="12"/>
  <c r="L228" i="12"/>
  <c r="L252" i="12"/>
  <c r="L267" i="12"/>
  <c r="L292" i="12"/>
  <c r="L312" i="12"/>
  <c r="L336" i="12"/>
  <c r="L352" i="12"/>
  <c r="L369" i="12"/>
  <c r="L385" i="12"/>
  <c r="L406" i="12"/>
  <c r="L427" i="12"/>
  <c r="L445" i="12"/>
  <c r="L462" i="12"/>
  <c r="L481" i="12"/>
  <c r="L505" i="12"/>
  <c r="L44" i="12"/>
  <c r="L156" i="12"/>
  <c r="L52" i="12"/>
  <c r="L109" i="12"/>
  <c r="L143" i="12"/>
  <c r="L122" i="12"/>
  <c r="L169" i="12"/>
  <c r="L185" i="12"/>
  <c r="L199" i="12"/>
  <c r="L223" i="12"/>
  <c r="L239" i="12"/>
  <c r="L273" i="12"/>
  <c r="L286" i="12"/>
  <c r="L307" i="12"/>
  <c r="L331" i="12"/>
  <c r="L347" i="12"/>
  <c r="L364" i="12"/>
  <c r="L380" i="12"/>
  <c r="L400" i="12"/>
  <c r="L422" i="12"/>
  <c r="L440" i="12"/>
  <c r="L457" i="12"/>
  <c r="L476" i="12"/>
  <c r="L499" i="12"/>
  <c r="L64" i="12"/>
  <c r="L126" i="12"/>
  <c r="L514" i="12"/>
  <c r="L57" i="12"/>
  <c r="L47" i="12"/>
  <c r="L53" i="12"/>
  <c r="L110" i="12"/>
  <c r="L144" i="12"/>
  <c r="L123" i="12"/>
  <c r="L170" i="12"/>
  <c r="L200" i="12"/>
  <c r="L224" i="12"/>
  <c r="L240" i="12"/>
  <c r="L264" i="12"/>
  <c r="L274" i="12"/>
  <c r="L287" i="12"/>
  <c r="L308" i="12"/>
  <c r="L332" i="12"/>
  <c r="L348" i="12"/>
  <c r="L365" i="12"/>
  <c r="L381" i="12"/>
  <c r="L401" i="12"/>
  <c r="L423" i="12"/>
  <c r="L441" i="12"/>
  <c r="L458" i="12"/>
  <c r="L477" i="12"/>
  <c r="L500" i="12"/>
  <c r="L69" i="12"/>
  <c r="L102" i="12"/>
  <c r="L136" i="12"/>
  <c r="L158" i="12"/>
  <c r="L165" i="12"/>
  <c r="L181" i="12"/>
  <c r="L213" i="12"/>
  <c r="L235" i="12"/>
  <c r="L260" i="12"/>
  <c r="L271" i="12"/>
  <c r="L282" i="12"/>
  <c r="L301" i="12"/>
  <c r="L322" i="12"/>
  <c r="L343" i="12"/>
  <c r="L359" i="12"/>
  <c r="L376" i="12"/>
  <c r="L395" i="12"/>
  <c r="L413" i="12"/>
  <c r="L433" i="12"/>
  <c r="L469" i="12"/>
  <c r="L493" i="12"/>
  <c r="L515" i="12"/>
  <c r="L43" i="12"/>
  <c r="L60" i="12"/>
  <c r="L118" i="12"/>
  <c r="L153" i="12"/>
  <c r="L129" i="12"/>
  <c r="L176" i="12"/>
  <c r="L191" i="12"/>
  <c r="L208" i="12"/>
  <c r="L230" i="12"/>
  <c r="L256" i="12"/>
  <c r="L449" i="12"/>
  <c r="L173" i="12"/>
  <c r="L49" i="12"/>
  <c r="L48" i="12"/>
  <c r="L111" i="12"/>
  <c r="L145" i="12"/>
  <c r="L124" i="12"/>
  <c r="L171" i="12"/>
  <c r="L186" i="12"/>
  <c r="L201" i="12"/>
  <c r="L225" i="12"/>
  <c r="L241" i="12"/>
  <c r="L275" i="12"/>
  <c r="L288" i="12"/>
  <c r="L309" i="12"/>
  <c r="L333" i="12"/>
  <c r="L349" i="12"/>
  <c r="L366" i="12"/>
  <c r="L382" i="12"/>
  <c r="L402" i="12"/>
  <c r="L424" i="12"/>
  <c r="L442" i="12"/>
  <c r="L459" i="12"/>
  <c r="L478" i="12"/>
  <c r="L501" i="12"/>
  <c r="L113" i="12"/>
  <c r="L41" i="12"/>
  <c r="L50" i="12"/>
  <c r="L70" i="12"/>
  <c r="L106" i="12"/>
  <c r="L139" i="12"/>
  <c r="L159" i="12"/>
  <c r="L166" i="12"/>
  <c r="L182" i="12"/>
  <c r="L196" i="12"/>
  <c r="L214" i="12"/>
  <c r="L236" i="12"/>
  <c r="L261" i="12"/>
  <c r="L283" i="12"/>
  <c r="L303" i="12"/>
  <c r="L323" i="12"/>
  <c r="L344" i="12"/>
  <c r="L360" i="12"/>
  <c r="L377" i="12"/>
  <c r="L396" i="12"/>
  <c r="L416" i="12"/>
  <c r="L435" i="12"/>
  <c r="L454" i="12"/>
  <c r="L470" i="12"/>
  <c r="L494" i="12"/>
  <c r="L516" i="12"/>
  <c r="I472" i="12"/>
  <c r="L472" i="12"/>
  <c r="L551" i="12"/>
  <c r="G298" i="12"/>
  <c r="D551" i="12"/>
  <c r="F519" i="12"/>
  <c r="G519" i="12" s="1"/>
  <c r="G242" i="12"/>
  <c r="F506" i="12"/>
  <c r="G506" i="12" s="1"/>
  <c r="I491" i="12"/>
  <c r="I42" i="12"/>
  <c r="I157" i="12"/>
  <c r="I162" i="12"/>
  <c r="I178" i="12"/>
  <c r="I192" i="12"/>
  <c r="I230" i="12"/>
  <c r="I234" i="12"/>
  <c r="I259" i="12"/>
  <c r="I270" i="12"/>
  <c r="I280" i="12"/>
  <c r="I295" i="12"/>
  <c r="I317" i="12"/>
  <c r="I338" i="12"/>
  <c r="I354" i="12"/>
  <c r="I382" i="12"/>
  <c r="I401" i="12"/>
  <c r="I406" i="12"/>
  <c r="I462" i="12"/>
  <c r="I481" i="12"/>
  <c r="I520" i="12"/>
  <c r="I536" i="12"/>
  <c r="I359" i="12"/>
  <c r="I525" i="12"/>
  <c r="I33" i="12"/>
  <c r="I127" i="12"/>
  <c r="I173" i="12"/>
  <c r="I187" i="12"/>
  <c r="I201" i="12"/>
  <c r="I211" i="12"/>
  <c r="I238" i="12"/>
  <c r="I241" i="12"/>
  <c r="I267" i="12"/>
  <c r="I349" i="12"/>
  <c r="I377" i="12"/>
  <c r="I396" i="12"/>
  <c r="I410" i="12"/>
  <c r="I452" i="12"/>
  <c r="I457" i="12"/>
  <c r="I497" i="12"/>
  <c r="I515" i="12"/>
  <c r="I530" i="12"/>
  <c r="I182" i="12"/>
  <c r="I323" i="12"/>
  <c r="I58" i="12"/>
  <c r="I144" i="12"/>
  <c r="I206" i="12"/>
  <c r="I273" i="12"/>
  <c r="I286" i="12"/>
  <c r="I298" i="12"/>
  <c r="I344" i="12"/>
  <c r="I360" i="12"/>
  <c r="I372" i="12"/>
  <c r="I391" i="12"/>
  <c r="I407" i="12"/>
  <c r="I468" i="12"/>
  <c r="I506" i="12"/>
  <c r="I122" i="12"/>
  <c r="I183" i="12"/>
  <c r="I43" i="12"/>
  <c r="I65" i="12"/>
  <c r="I136" i="12"/>
  <c r="I158" i="12"/>
  <c r="I163" i="12"/>
  <c r="I179" i="12"/>
  <c r="I193" i="12"/>
  <c r="I214" i="12"/>
  <c r="I281" i="12"/>
  <c r="I296" i="12"/>
  <c r="I339" i="12"/>
  <c r="I355" i="12"/>
  <c r="I367" i="12"/>
  <c r="I383" i="12"/>
  <c r="I402" i="12"/>
  <c r="I422" i="12"/>
  <c r="I430" i="12"/>
  <c r="I463" i="12"/>
  <c r="I482" i="12"/>
  <c r="I521" i="12"/>
  <c r="I537" i="12"/>
  <c r="I545" i="12"/>
  <c r="I47" i="12"/>
  <c r="I161" i="12"/>
  <c r="I50" i="12"/>
  <c r="I69" i="12"/>
  <c r="I168" i="12"/>
  <c r="I197" i="12"/>
  <c r="I224" i="12"/>
  <c r="I34" i="12"/>
  <c r="I38" i="12"/>
  <c r="I45" i="12"/>
  <c r="I120" i="12"/>
  <c r="I153" i="12"/>
  <c r="I128" i="12"/>
  <c r="I174" i="12"/>
  <c r="I188" i="12"/>
  <c r="I202" i="12"/>
  <c r="I231" i="12"/>
  <c r="I239" i="12"/>
  <c r="I268" i="12"/>
  <c r="I334" i="12"/>
  <c r="I350" i="12"/>
  <c r="I378" i="12"/>
  <c r="I397" i="12"/>
  <c r="I411" i="12"/>
  <c r="I458" i="12"/>
  <c r="I477" i="12"/>
  <c r="I498" i="12"/>
  <c r="I516" i="12"/>
  <c r="I531" i="12"/>
  <c r="I57" i="12"/>
  <c r="I143" i="12"/>
  <c r="I145" i="12"/>
  <c r="I169" i="12"/>
  <c r="I225" i="12"/>
  <c r="I274" i="12"/>
  <c r="I44" i="12"/>
  <c r="I66" i="12"/>
  <c r="I159" i="12"/>
  <c r="I164" i="12"/>
  <c r="I180" i="12"/>
  <c r="I194" i="12"/>
  <c r="I235" i="12"/>
  <c r="I271" i="12"/>
  <c r="I282" i="12"/>
  <c r="I320" i="12"/>
  <c r="I340" i="12"/>
  <c r="I356" i="12"/>
  <c r="I368" i="12"/>
  <c r="I384" i="12"/>
  <c r="I423" i="12"/>
  <c r="I431" i="12"/>
  <c r="I464" i="12"/>
  <c r="I485" i="12"/>
  <c r="I504" i="12"/>
  <c r="I522" i="12"/>
  <c r="I388" i="12"/>
  <c r="I48" i="12"/>
  <c r="I184" i="12"/>
  <c r="I432" i="12"/>
  <c r="I35" i="12"/>
  <c r="I39" i="12"/>
  <c r="I129" i="12"/>
  <c r="I175" i="12"/>
  <c r="I189" i="12"/>
  <c r="I228" i="12"/>
  <c r="I313" i="12"/>
  <c r="I335" i="12"/>
  <c r="I351" i="12"/>
  <c r="I362" i="12"/>
  <c r="I379" i="12"/>
  <c r="I398" i="12"/>
  <c r="I412" i="12"/>
  <c r="I459" i="12"/>
  <c r="I478" i="12"/>
  <c r="I499" i="12"/>
  <c r="I517" i="12"/>
  <c r="I542" i="12"/>
  <c r="I287" i="12"/>
  <c r="I51" i="12"/>
  <c r="I60" i="12"/>
  <c r="I71" i="12"/>
  <c r="I117" i="12"/>
  <c r="I146" i="12"/>
  <c r="I124" i="12"/>
  <c r="I170" i="12"/>
  <c r="I185" i="12"/>
  <c r="I199" i="12"/>
  <c r="I209" i="12"/>
  <c r="I226" i="12"/>
  <c r="I275" i="12"/>
  <c r="I288" i="12"/>
  <c r="I346" i="12"/>
  <c r="I393" i="12"/>
  <c r="I427" i="12"/>
  <c r="I454" i="12"/>
  <c r="I470" i="12"/>
  <c r="I512" i="12"/>
  <c r="I223" i="12"/>
  <c r="I55" i="12"/>
  <c r="I123" i="12"/>
  <c r="I426" i="12"/>
  <c r="I469" i="12"/>
  <c r="I160" i="12"/>
  <c r="I165" i="12"/>
  <c r="I195" i="12"/>
  <c r="I221" i="12"/>
  <c r="I232" i="12"/>
  <c r="I261" i="12"/>
  <c r="I283" i="12"/>
  <c r="I341" i="12"/>
  <c r="I357" i="12"/>
  <c r="I369" i="12"/>
  <c r="I385" i="12"/>
  <c r="I465" i="12"/>
  <c r="I486" i="12"/>
  <c r="I505" i="12"/>
  <c r="I523" i="12"/>
  <c r="I546" i="12"/>
  <c r="I297" i="12"/>
  <c r="I343" i="12"/>
  <c r="I291" i="12"/>
  <c r="I40" i="12"/>
  <c r="I106" i="12"/>
  <c r="I121" i="12"/>
  <c r="I155" i="12"/>
  <c r="I176" i="12"/>
  <c r="I190" i="12"/>
  <c r="I212" i="12"/>
  <c r="I229" i="12"/>
  <c r="I243" i="12"/>
  <c r="I257" i="12"/>
  <c r="I269" i="12"/>
  <c r="I279" i="12"/>
  <c r="I293" i="12"/>
  <c r="I314" i="12"/>
  <c r="I336" i="12"/>
  <c r="I352" i="12"/>
  <c r="I364" i="12"/>
  <c r="I380" i="12"/>
  <c r="I413" i="12"/>
  <c r="I460" i="12"/>
  <c r="I479" i="12"/>
  <c r="I500" i="12"/>
  <c r="I518" i="12"/>
  <c r="I534" i="12"/>
  <c r="I371" i="12"/>
  <c r="I467" i="12"/>
  <c r="E551" i="12"/>
  <c r="I373" i="12"/>
  <c r="I31" i="12"/>
  <c r="I52" i="12"/>
  <c r="I72" i="12"/>
  <c r="I74" i="12"/>
  <c r="I118" i="12"/>
  <c r="I147" i="12"/>
  <c r="I125" i="12"/>
  <c r="I171" i="12"/>
  <c r="I210" i="12"/>
  <c r="I227" i="12"/>
  <c r="I276" i="12"/>
  <c r="I289" i="12"/>
  <c r="I309" i="12"/>
  <c r="I332" i="12"/>
  <c r="I347" i="12"/>
  <c r="I375" i="12"/>
  <c r="I394" i="12"/>
  <c r="I409" i="12"/>
  <c r="I428" i="12"/>
  <c r="I433" i="12"/>
  <c r="I455" i="12"/>
  <c r="I493" i="12"/>
  <c r="I513" i="12"/>
  <c r="I167" i="12"/>
  <c r="I240" i="12"/>
  <c r="I263" i="12"/>
  <c r="I49" i="12"/>
  <c r="I166" i="12"/>
  <c r="I181" i="12"/>
  <c r="I222" i="12"/>
  <c r="I233" i="12"/>
  <c r="I236" i="12"/>
  <c r="I262" i="12"/>
  <c r="I272" i="12"/>
  <c r="I284" i="12"/>
  <c r="I342" i="12"/>
  <c r="I358" i="12"/>
  <c r="I386" i="12"/>
  <c r="I424" i="12"/>
  <c r="I466" i="12"/>
  <c r="I487" i="12"/>
  <c r="I524" i="12"/>
  <c r="I196" i="12"/>
  <c r="I205" i="12"/>
  <c r="I59" i="12"/>
  <c r="I208" i="12"/>
  <c r="I345" i="12"/>
  <c r="I36" i="12"/>
  <c r="I41" i="12"/>
  <c r="I64" i="12"/>
  <c r="I73" i="12"/>
  <c r="I134" i="12"/>
  <c r="I156" i="12"/>
  <c r="I133" i="12"/>
  <c r="I177" i="12"/>
  <c r="I191" i="12"/>
  <c r="I213" i="12"/>
  <c r="I294" i="12"/>
  <c r="I315" i="12"/>
  <c r="I337" i="12"/>
  <c r="I353" i="12"/>
  <c r="I365" i="12"/>
  <c r="I381" i="12"/>
  <c r="I405" i="12"/>
  <c r="I461" i="12"/>
  <c r="I480" i="12"/>
  <c r="I501" i="12"/>
  <c r="I519" i="12"/>
  <c r="I535" i="12"/>
  <c r="I70" i="12"/>
  <c r="I198" i="12"/>
  <c r="I361" i="12"/>
  <c r="I32" i="12"/>
  <c r="I53" i="12"/>
  <c r="I102" i="12"/>
  <c r="I119" i="12"/>
  <c r="I148" i="12"/>
  <c r="I126" i="12"/>
  <c r="I172" i="12"/>
  <c r="I186" i="12"/>
  <c r="I200" i="12"/>
  <c r="I204" i="12"/>
  <c r="I252" i="12"/>
  <c r="I266" i="12"/>
  <c r="I277" i="12"/>
  <c r="I310" i="12"/>
  <c r="I333" i="12"/>
  <c r="I348" i="12"/>
  <c r="I376" i="12"/>
  <c r="I429" i="12"/>
  <c r="I451" i="12"/>
  <c r="I494" i="12"/>
  <c r="I514" i="12"/>
  <c r="I529" i="12"/>
  <c r="G102" i="12"/>
  <c r="G259" i="12"/>
  <c r="G279" i="12"/>
  <c r="I265" i="12"/>
  <c r="G428" i="12"/>
  <c r="G355" i="12"/>
  <c r="I311" i="12"/>
  <c r="I260" i="12"/>
  <c r="I308" i="12"/>
  <c r="G40" i="12"/>
  <c r="G57" i="12"/>
  <c r="G267" i="12"/>
  <c r="G457" i="12"/>
  <c r="G225" i="12"/>
  <c r="G296" i="12"/>
  <c r="I395" i="12"/>
  <c r="G284" i="12"/>
  <c r="I366" i="12"/>
  <c r="I425" i="12"/>
  <c r="I256" i="12"/>
  <c r="I258" i="12"/>
  <c r="I278" i="12"/>
  <c r="G293" i="12"/>
  <c r="G240" i="12"/>
  <c r="I528" i="12"/>
  <c r="G551" i="12"/>
  <c r="E556" i="12"/>
  <c r="G257" i="12"/>
  <c r="I242" i="12"/>
  <c r="I37" i="12"/>
  <c r="G31" i="12"/>
  <c r="G187" i="12"/>
  <c r="G136" i="12"/>
  <c r="G49" i="12"/>
  <c r="G350" i="12"/>
  <c r="G224" i="12"/>
  <c r="I264" i="12"/>
  <c r="G280" i="12"/>
  <c r="G498" i="12"/>
  <c r="G238" i="12"/>
  <c r="G277" i="12"/>
  <c r="I322" i="12"/>
  <c r="I292" i="12"/>
  <c r="G274" i="12"/>
  <c r="I408" i="12"/>
  <c r="I370" i="12"/>
  <c r="I456" i="12"/>
  <c r="G465" i="12"/>
  <c r="G336" i="12"/>
  <c r="G531" i="12"/>
  <c r="G493" i="12"/>
  <c r="I551" i="12"/>
  <c r="L506" i="12" l="1"/>
  <c r="J551" i="12"/>
  <c r="L519" i="12"/>
  <c r="F73" i="12"/>
  <c r="L73" i="12" s="1"/>
  <c r="E540" i="12"/>
  <c r="G73" i="12" l="1"/>
  <c r="L61" i="2"/>
  <c r="L60" i="2"/>
  <c r="L59" i="2"/>
  <c r="D540" i="12" l="1"/>
  <c r="J540" i="12" s="1"/>
  <c r="O9" i="2"/>
  <c r="P29" i="12" l="1"/>
  <c r="D9" i="20"/>
  <c r="J9" i="20" l="1"/>
  <c r="J11" i="20" s="1"/>
  <c r="J13" i="20" s="1"/>
  <c r="J41" i="20" s="1"/>
  <c r="D11" i="20"/>
  <c r="D13" i="20" s="1"/>
  <c r="D15" i="20" s="1"/>
  <c r="D17" i="20" s="1"/>
  <c r="J15" i="20" l="1"/>
  <c r="J17" i="20" s="1"/>
  <c r="J39" i="20" s="1"/>
  <c r="J23" i="20"/>
  <c r="D23" i="20"/>
  <c r="D39" i="20"/>
  <c r="D41" i="20"/>
  <c r="J27" i="20" l="1"/>
  <c r="A470" i="12" s="1"/>
  <c r="J51" i="20"/>
  <c r="A152" i="12"/>
  <c r="A151" i="12"/>
  <c r="A145" i="12"/>
  <c r="A150" i="12"/>
  <c r="A149" i="12"/>
  <c r="A148" i="12"/>
  <c r="A147" i="12"/>
  <c r="A146" i="12"/>
  <c r="A144" i="12"/>
  <c r="A143" i="12"/>
  <c r="A491" i="12"/>
  <c r="A471" i="12"/>
  <c r="A467" i="12"/>
  <c r="A490" i="12"/>
  <c r="A489" i="12"/>
  <c r="A469" i="12"/>
  <c r="A468" i="12"/>
  <c r="A488" i="12"/>
  <c r="A487" i="12"/>
  <c r="A483" i="12"/>
  <c r="A466" i="12"/>
  <c r="A482" i="12"/>
  <c r="A465" i="12"/>
  <c r="A481" i="12"/>
  <c r="A480" i="12"/>
  <c r="A479" i="12"/>
  <c r="A478" i="12"/>
  <c r="A477" i="12"/>
  <c r="A476" i="12"/>
  <c r="A474" i="12"/>
  <c r="A473" i="12"/>
  <c r="A472" i="12"/>
  <c r="J53" i="20"/>
  <c r="D51" i="20"/>
  <c r="D53" i="20" s="1"/>
  <c r="D27" i="20"/>
  <c r="D62" i="20" s="1"/>
  <c r="A153" i="12" l="1"/>
  <c r="O482" i="12"/>
  <c r="AO482" i="12"/>
  <c r="O466" i="12"/>
  <c r="AO466" i="12"/>
  <c r="AO472" i="12"/>
  <c r="O472" i="12"/>
  <c r="AO473" i="12"/>
  <c r="O473" i="12"/>
  <c r="O470" i="12"/>
  <c r="AO470" i="12"/>
  <c r="AO490" i="12"/>
  <c r="O490" i="12"/>
  <c r="AO488" i="12"/>
  <c r="O488" i="12"/>
  <c r="O467" i="12"/>
  <c r="AO467" i="12"/>
  <c r="O487" i="12"/>
  <c r="AO487" i="12"/>
  <c r="O471" i="12"/>
  <c r="AO471" i="12"/>
  <c r="O474" i="12"/>
  <c r="AO474" i="12"/>
  <c r="AO491" i="12"/>
  <c r="O491" i="12"/>
  <c r="O151" i="12"/>
  <c r="AO151" i="12"/>
  <c r="O483" i="12"/>
  <c r="AO483" i="12"/>
  <c r="O468" i="12"/>
  <c r="AO468" i="12"/>
  <c r="AO489" i="12"/>
  <c r="O489" i="12"/>
  <c r="AO477" i="12"/>
  <c r="O477" i="12"/>
  <c r="O479" i="12"/>
  <c r="AO479" i="12"/>
  <c r="O481" i="12"/>
  <c r="AO481" i="12"/>
  <c r="AO150" i="12"/>
  <c r="O150" i="12"/>
  <c r="O469" i="12"/>
  <c r="AO469" i="12"/>
  <c r="O476" i="12"/>
  <c r="AO476" i="12"/>
  <c r="AO478" i="12"/>
  <c r="O478" i="12"/>
  <c r="O480" i="12"/>
  <c r="AO480" i="12"/>
  <c r="O465" i="12"/>
  <c r="AO465" i="12"/>
  <c r="AO149" i="12"/>
  <c r="O149" i="12"/>
  <c r="J29" i="20"/>
  <c r="J100" i="20" s="1"/>
  <c r="J35" i="20"/>
  <c r="J76" i="20" a="1"/>
  <c r="J76" i="20" s="1"/>
  <c r="J77" i="20" a="1"/>
  <c r="J77" i="20" s="1"/>
  <c r="J80" i="20" a="1"/>
  <c r="J80" i="20" s="1"/>
  <c r="D76" i="20" a="1"/>
  <c r="D76" i="20" s="1"/>
  <c r="D35" i="20"/>
  <c r="D80" i="20" a="1"/>
  <c r="D80" i="20" s="1"/>
  <c r="D29" i="20"/>
  <c r="D100" i="20" s="1"/>
  <c r="D77" i="20" a="1"/>
  <c r="D77" i="20" s="1"/>
  <c r="O143" i="12" l="1"/>
  <c r="AO143" i="12"/>
  <c r="AO146" i="12"/>
  <c r="O146" i="12"/>
  <c r="AO147" i="12"/>
  <c r="O147" i="12"/>
  <c r="O144" i="12"/>
  <c r="AO144" i="12"/>
  <c r="O152" i="12"/>
  <c r="AO152" i="12"/>
  <c r="O153" i="12"/>
  <c r="AO153" i="12"/>
  <c r="AO148" i="12"/>
  <c r="O148" i="12"/>
  <c r="AO145" i="12"/>
  <c r="O145" i="12"/>
  <c r="J101" i="20"/>
  <c r="J98" i="20"/>
  <c r="J103" i="20"/>
  <c r="J34" i="20"/>
  <c r="J75" i="20" a="1"/>
  <c r="J75" i="20" s="1"/>
  <c r="J78" i="20" s="1"/>
  <c r="J79" i="20"/>
  <c r="J99" i="20"/>
  <c r="D79" i="20"/>
  <c r="D34" i="20"/>
  <c r="D103" i="20"/>
  <c r="D99" i="20"/>
  <c r="D75" i="20" a="1"/>
  <c r="D75" i="20" s="1"/>
  <c r="D78" i="20" s="1"/>
  <c r="D98" i="20"/>
  <c r="D101" i="20"/>
  <c r="K71" i="2"/>
  <c r="J85" i="20" l="1"/>
  <c r="J89" i="20" s="1"/>
  <c r="J94" i="20"/>
  <c r="D85" i="20"/>
  <c r="D89" i="20" s="1"/>
  <c r="D94" i="20"/>
  <c r="D81" i="20" s="1" a="1"/>
  <c r="D81" i="20" s="1"/>
  <c r="C15" i="2"/>
  <c r="K69" i="2"/>
  <c r="K70" i="2" s="1"/>
  <c r="C74" i="2"/>
  <c r="C73" i="2"/>
  <c r="C72" i="2"/>
  <c r="C71" i="2"/>
  <c r="C70" i="2"/>
  <c r="C69" i="2"/>
  <c r="L19" i="2"/>
  <c r="G416" i="13"/>
  <c r="L62" i="2"/>
  <c r="L63" i="2"/>
  <c r="L64" i="2"/>
  <c r="L67" i="2"/>
  <c r="J95" i="20" l="1"/>
  <c r="J82" i="20" s="1" a="1"/>
  <c r="J82" i="20" s="1"/>
  <c r="J96" i="20" s="1"/>
  <c r="J83" i="20" s="1" a="1"/>
  <c r="J83" i="20" s="1"/>
  <c r="J88" i="20" s="1"/>
  <c r="J91" i="20" s="1"/>
  <c r="J92" i="20" s="1"/>
  <c r="J84" i="20" s="1" a="1"/>
  <c r="J84" i="20" s="1"/>
  <c r="J33" i="20" s="1"/>
  <c r="J31" i="20" s="1"/>
  <c r="J81" i="20" a="1"/>
  <c r="J81" i="20" s="1"/>
  <c r="C16" i="2"/>
  <c r="C14" i="2"/>
  <c r="C17" i="2"/>
  <c r="B17" i="2" s="1"/>
  <c r="J97" i="20" l="1"/>
  <c r="A460" i="12"/>
  <c r="A459" i="12"/>
  <c r="A458" i="12"/>
  <c r="A457" i="12"/>
  <c r="A456" i="12"/>
  <c r="A455" i="12"/>
  <c r="J45" i="20"/>
  <c r="J102" i="20"/>
  <c r="O458" i="12" l="1"/>
  <c r="AO458" i="12"/>
  <c r="AO456" i="12"/>
  <c r="O456" i="12"/>
  <c r="O459" i="12"/>
  <c r="AO459" i="12"/>
  <c r="O455" i="12"/>
  <c r="AO455" i="12"/>
  <c r="AO457" i="12"/>
  <c r="O457" i="12"/>
  <c r="AO460" i="12"/>
  <c r="O460" i="12"/>
  <c r="J47" i="20"/>
  <c r="J48" i="20"/>
  <c r="J43" i="20"/>
  <c r="L14" i="2" l="1"/>
  <c r="J399" i="12" l="1"/>
  <c r="L399" i="12"/>
  <c r="I399" i="12"/>
  <c r="G399" i="12"/>
  <c r="A504" i="12" l="1"/>
  <c r="O10" i="2"/>
  <c r="C19" i="2" s="1"/>
  <c r="A506" i="12" l="1"/>
  <c r="E553" i="12"/>
  <c r="H553" i="12" s="1"/>
  <c r="D553" i="12"/>
  <c r="D543" i="12"/>
  <c r="E543" i="12"/>
  <c r="H543" i="12" s="1"/>
  <c r="I543" i="12" s="1"/>
  <c r="O504" i="12"/>
  <c r="AO504" i="12"/>
  <c r="BM10" i="12"/>
  <c r="BL9" i="12"/>
  <c r="BL10" i="12"/>
  <c r="BL6" i="12"/>
  <c r="BM9" i="12"/>
  <c r="BM8" i="12"/>
  <c r="BL8" i="12"/>
  <c r="BM6" i="12"/>
  <c r="BM7" i="12"/>
  <c r="BL7" i="12"/>
  <c r="P30" i="12"/>
  <c r="P33" i="12"/>
  <c r="P31" i="12"/>
  <c r="P32" i="12"/>
  <c r="F549" i="12"/>
  <c r="H549" i="12"/>
  <c r="F509" i="12"/>
  <c r="D509" i="12" s="1"/>
  <c r="A170" i="12"/>
  <c r="O170" i="12" s="1"/>
  <c r="A168" i="12"/>
  <c r="O168" i="12" s="1"/>
  <c r="A169" i="12"/>
  <c r="O169" i="12" s="1"/>
  <c r="A167" i="12"/>
  <c r="O167" i="12" s="1"/>
  <c r="A166" i="12"/>
  <c r="O166" i="12" s="1"/>
  <c r="A165" i="12"/>
  <c r="O165" i="12" s="1"/>
  <c r="A163" i="12"/>
  <c r="O163" i="12" s="1"/>
  <c r="A164" i="12"/>
  <c r="O164" i="12" s="1"/>
  <c r="F508" i="12"/>
  <c r="D508" i="12" s="1"/>
  <c r="BM5" i="12"/>
  <c r="BL4" i="12"/>
  <c r="BM4" i="12"/>
  <c r="H508" i="12"/>
  <c r="E508" i="12" s="1"/>
  <c r="R5" i="2"/>
  <c r="R8" i="2"/>
  <c r="BL5" i="12"/>
  <c r="H550" i="12"/>
  <c r="H509" i="12"/>
  <c r="F550" i="12"/>
  <c r="O506" i="12" l="1"/>
  <c r="AO506" i="12"/>
  <c r="L509" i="12"/>
  <c r="E509" i="12"/>
  <c r="J509" i="12" s="1"/>
  <c r="F553" i="12"/>
  <c r="G553" i="12" s="1"/>
  <c r="J553" i="12"/>
  <c r="I553" i="12"/>
  <c r="AO164" i="12"/>
  <c r="AO166" i="12"/>
  <c r="AO165" i="12"/>
  <c r="AO169" i="12"/>
  <c r="AO167" i="12"/>
  <c r="AO168" i="12"/>
  <c r="AO170" i="12"/>
  <c r="AO163" i="12"/>
  <c r="L550" i="12"/>
  <c r="BM12" i="12"/>
  <c r="BO14" i="12" s="1"/>
  <c r="L508" i="12"/>
  <c r="BL12" i="12"/>
  <c r="BN14" i="12" s="1"/>
  <c r="L549" i="12"/>
  <c r="G509" i="12"/>
  <c r="A407" i="12"/>
  <c r="A178" i="12"/>
  <c r="O178" i="12" s="1"/>
  <c r="A177" i="12"/>
  <c r="O177" i="12" s="1"/>
  <c r="A176" i="12"/>
  <c r="O176" i="12" s="1"/>
  <c r="G549" i="12"/>
  <c r="F552" i="12"/>
  <c r="D549" i="12"/>
  <c r="I508" i="12"/>
  <c r="D550" i="12"/>
  <c r="G550" i="12"/>
  <c r="H552" i="12"/>
  <c r="E549" i="12"/>
  <c r="I549" i="12"/>
  <c r="I509" i="12"/>
  <c r="G508" i="12"/>
  <c r="E550" i="12"/>
  <c r="I550" i="12"/>
  <c r="Z501" i="13" a="1"/>
  <c r="L553" i="12" l="1"/>
  <c r="AO407" i="12"/>
  <c r="O407" i="12"/>
  <c r="AO177" i="12"/>
  <c r="AO176" i="12"/>
  <c r="AO178" i="12"/>
  <c r="BM18" i="12"/>
  <c r="J549" i="12"/>
  <c r="L552" i="12"/>
  <c r="J550" i="12"/>
  <c r="J508" i="12"/>
  <c r="Z501" i="13"/>
  <c r="Y504" i="13"/>
  <c r="Y502" i="13"/>
  <c r="Y511" i="13"/>
  <c r="Y513" i="13"/>
  <c r="Y516" i="13"/>
  <c r="Y515" i="13"/>
  <c r="Y514" i="13"/>
  <c r="Y505" i="13"/>
  <c r="Y503" i="13"/>
  <c r="Y512" i="13"/>
  <c r="Y510" i="13"/>
  <c r="Y508" i="13"/>
  <c r="Y506" i="13"/>
  <c r="Y507" i="13"/>
  <c r="Y509" i="13"/>
  <c r="A402" i="12"/>
  <c r="A401" i="12"/>
  <c r="A179" i="12"/>
  <c r="O179" i="12" s="1"/>
  <c r="D552" i="12"/>
  <c r="G552" i="12"/>
  <c r="I552" i="12"/>
  <c r="E552" i="12"/>
  <c r="Z505" i="13" a="1"/>
  <c r="Z512" i="13" a="1"/>
  <c r="Z513" i="13" a="1"/>
  <c r="Z508" i="13" a="1"/>
  <c r="Z503" i="13" a="1"/>
  <c r="Z509" i="13" a="1"/>
  <c r="Z515" i="13" a="1"/>
  <c r="Z506" i="13" a="1"/>
  <c r="Z510" i="13" a="1"/>
  <c r="Z516" i="13" a="1"/>
  <c r="Z504" i="13" a="1"/>
  <c r="Z514" i="13" a="1"/>
  <c r="Z502" i="13" a="1"/>
  <c r="Z511" i="13" a="1"/>
  <c r="Z507" i="13" a="1"/>
  <c r="O402" i="12" l="1"/>
  <c r="AO402" i="12"/>
  <c r="O401" i="12"/>
  <c r="AO401" i="12"/>
  <c r="AO179" i="12"/>
  <c r="J552" i="12"/>
  <c r="AA501" i="13"/>
  <c r="Z510" i="13"/>
  <c r="AA510" i="13" s="1"/>
  <c r="AB510" i="13" s="1"/>
  <c r="W526" i="13" s="1"/>
  <c r="Z512" i="13"/>
  <c r="AA512" i="13" s="1"/>
  <c r="AB512" i="13" s="1"/>
  <c r="W528" i="13" s="1"/>
  <c r="Z503" i="13"/>
  <c r="AA503" i="13" s="1"/>
  <c r="AB503" i="13" s="1"/>
  <c r="W519" i="13" s="1"/>
  <c r="Z509" i="13"/>
  <c r="AA509" i="13" s="1"/>
  <c r="AB509" i="13" s="1"/>
  <c r="W525" i="13" s="1"/>
  <c r="Z505" i="13"/>
  <c r="AA505" i="13" s="1"/>
  <c r="AB505" i="13" s="1"/>
  <c r="W521" i="13" s="1"/>
  <c r="Z514" i="13"/>
  <c r="AA514" i="13" s="1"/>
  <c r="AB514" i="13" s="1"/>
  <c r="W530" i="13" s="1"/>
  <c r="Z506" i="13"/>
  <c r="AA506" i="13" s="1"/>
  <c r="AB506" i="13" s="1"/>
  <c r="W522" i="13" s="1"/>
  <c r="Z515" i="13"/>
  <c r="AA515" i="13" s="1"/>
  <c r="AB515" i="13" s="1"/>
  <c r="W531" i="13" s="1"/>
  <c r="Z508" i="13"/>
  <c r="AA508" i="13" s="1"/>
  <c r="AB508" i="13" s="1"/>
  <c r="W524" i="13" s="1"/>
  <c r="Z516" i="13"/>
  <c r="AA516" i="13" s="1"/>
  <c r="AB516" i="13" s="1"/>
  <c r="W532" i="13" s="1"/>
  <c r="Z513" i="13"/>
  <c r="AA513" i="13" s="1"/>
  <c r="AB513" i="13" s="1"/>
  <c r="W529" i="13" s="1"/>
  <c r="Z507" i="13"/>
  <c r="AA507" i="13" s="1"/>
  <c r="AB507" i="13" s="1"/>
  <c r="W523" i="13" s="1"/>
  <c r="Z511" i="13"/>
  <c r="AA511" i="13" s="1"/>
  <c r="AB511" i="13" s="1"/>
  <c r="W527" i="13" s="1"/>
  <c r="Z502" i="13"/>
  <c r="AA502" i="13" s="1"/>
  <c r="AB502" i="13" s="1"/>
  <c r="Z504" i="13"/>
  <c r="AA504" i="13" s="1"/>
  <c r="AB504" i="13" s="1"/>
  <c r="W520" i="13" s="1"/>
  <c r="W518" i="13" l="1"/>
  <c r="AB500" i="13" a="1"/>
  <c r="AB500" i="13" s="1"/>
  <c r="W502" i="13" s="1"/>
  <c r="AB501" i="13"/>
  <c r="W517" i="13" s="1"/>
  <c r="W509" i="13" l="1"/>
  <c r="W512" i="13"/>
  <c r="W506" i="13"/>
  <c r="W510" i="13"/>
  <c r="W503" i="13"/>
  <c r="W505" i="13"/>
  <c r="W511" i="13"/>
  <c r="W514" i="13"/>
  <c r="W516" i="13"/>
  <c r="W513" i="13"/>
  <c r="W515" i="13"/>
  <c r="W507" i="13"/>
  <c r="AE495" i="13"/>
  <c r="AE498" i="13"/>
  <c r="AE496" i="13"/>
  <c r="AE499" i="13"/>
  <c r="AE497" i="13"/>
  <c r="W501" i="13"/>
  <c r="W508" i="13"/>
  <c r="W504" i="13"/>
  <c r="R11" i="2"/>
  <c r="CB489" i="13" l="1"/>
  <c r="CR489" i="13"/>
  <c r="DH489" i="13"/>
  <c r="DX489" i="13"/>
  <c r="CF490" i="13"/>
  <c r="CV490" i="13"/>
  <c r="DL490" i="13"/>
  <c r="BT491" i="13"/>
  <c r="CJ491" i="13"/>
  <c r="CZ491" i="13"/>
  <c r="DP491" i="13"/>
  <c r="CO490" i="13"/>
  <c r="CT491" i="13"/>
  <c r="CU491" i="13"/>
  <c r="BX489" i="13"/>
  <c r="BY489" i="13"/>
  <c r="CC489" i="13"/>
  <c r="CS489" i="13"/>
  <c r="DI489" i="13"/>
  <c r="DY489" i="13"/>
  <c r="CG490" i="13"/>
  <c r="CW490" i="13"/>
  <c r="DM490" i="13"/>
  <c r="BU491" i="13"/>
  <c r="CK491" i="13"/>
  <c r="DA491" i="13"/>
  <c r="DQ491" i="13"/>
  <c r="DU490" i="13"/>
  <c r="CL489" i="13"/>
  <c r="CM489" i="13"/>
  <c r="DD489" i="13"/>
  <c r="CO489" i="13"/>
  <c r="CD489" i="13"/>
  <c r="CT489" i="13"/>
  <c r="DJ489" i="13"/>
  <c r="DZ489" i="13"/>
  <c r="CH490" i="13"/>
  <c r="CX490" i="13"/>
  <c r="DN490" i="13"/>
  <c r="BV491" i="13"/>
  <c r="CL491" i="13"/>
  <c r="DB491" i="13"/>
  <c r="DR491" i="13"/>
  <c r="DA489" i="13"/>
  <c r="BY490" i="13"/>
  <c r="DI491" i="13"/>
  <c r="DR489" i="13"/>
  <c r="CD491" i="13"/>
  <c r="BW489" i="13"/>
  <c r="CA490" i="13"/>
  <c r="DW490" i="13"/>
  <c r="DT489" i="13"/>
  <c r="DH490" i="13"/>
  <c r="CF491" i="13"/>
  <c r="DE489" i="13"/>
  <c r="CC490" i="13"/>
  <c r="CG491" i="13"/>
  <c r="CE489" i="13"/>
  <c r="CU489" i="13"/>
  <c r="DK489" i="13"/>
  <c r="EA489" i="13"/>
  <c r="CI490" i="13"/>
  <c r="CY490" i="13"/>
  <c r="DO490" i="13"/>
  <c r="BW491" i="13"/>
  <c r="CM491" i="13"/>
  <c r="DC491" i="13"/>
  <c r="DS491" i="13"/>
  <c r="CS491" i="13"/>
  <c r="BZ490" i="13"/>
  <c r="EA491" i="13"/>
  <c r="DM491" i="13"/>
  <c r="CF489" i="13"/>
  <c r="CV489" i="13"/>
  <c r="DL489" i="13"/>
  <c r="BT490" i="13"/>
  <c r="CJ490" i="13"/>
  <c r="CZ490" i="13"/>
  <c r="DP490" i="13"/>
  <c r="BX491" i="13"/>
  <c r="CN491" i="13"/>
  <c r="DD491" i="13"/>
  <c r="DT491" i="13"/>
  <c r="CK489" i="13"/>
  <c r="DF490" i="13"/>
  <c r="CW491" i="13"/>
  <c r="CG489" i="13"/>
  <c r="CW489" i="13"/>
  <c r="DM489" i="13"/>
  <c r="BU490" i="13"/>
  <c r="CK490" i="13"/>
  <c r="DA490" i="13"/>
  <c r="DQ490" i="13"/>
  <c r="BY491" i="13"/>
  <c r="CO491" i="13"/>
  <c r="DE491" i="13"/>
  <c r="DU491" i="13"/>
  <c r="DY491" i="13"/>
  <c r="DV490" i="13"/>
  <c r="DC489" i="13"/>
  <c r="CQ490" i="13"/>
  <c r="DG490" i="13"/>
  <c r="CN489" i="13"/>
  <c r="CR490" i="13"/>
  <c r="CV491" i="13"/>
  <c r="CS490" i="13"/>
  <c r="CH489" i="13"/>
  <c r="CX489" i="13"/>
  <c r="DN489" i="13"/>
  <c r="BV490" i="13"/>
  <c r="CL490" i="13"/>
  <c r="DB490" i="13"/>
  <c r="DR490" i="13"/>
  <c r="BZ491" i="13"/>
  <c r="CP491" i="13"/>
  <c r="DF491" i="13"/>
  <c r="DV491" i="13"/>
  <c r="DY490" i="13"/>
  <c r="CI489" i="13"/>
  <c r="CY489" i="13"/>
  <c r="DO489" i="13"/>
  <c r="BW490" i="13"/>
  <c r="CM490" i="13"/>
  <c r="DC490" i="13"/>
  <c r="DS490" i="13"/>
  <c r="CA491" i="13"/>
  <c r="CQ491" i="13"/>
  <c r="DG491" i="13"/>
  <c r="DW491" i="13"/>
  <c r="CC491" i="13"/>
  <c r="BV489" i="13"/>
  <c r="DJ491" i="13"/>
  <c r="DS489" i="13"/>
  <c r="DK491" i="13"/>
  <c r="CB490" i="13"/>
  <c r="DL491" i="13"/>
  <c r="DU489" i="13"/>
  <c r="BT489" i="13"/>
  <c r="CJ489" i="13"/>
  <c r="CZ489" i="13"/>
  <c r="DP489" i="13"/>
  <c r="BX490" i="13"/>
  <c r="CN490" i="13"/>
  <c r="DD490" i="13"/>
  <c r="DT490" i="13"/>
  <c r="CB491" i="13"/>
  <c r="CR491" i="13"/>
  <c r="DH491" i="13"/>
  <c r="DX491" i="13"/>
  <c r="BU489" i="13"/>
  <c r="DQ489" i="13"/>
  <c r="DE490" i="13"/>
  <c r="DB489" i="13"/>
  <c r="CP490" i="13"/>
  <c r="DZ491" i="13"/>
  <c r="CE491" i="13"/>
  <c r="DX490" i="13"/>
  <c r="DI490" i="13"/>
  <c r="BZ489" i="13"/>
  <c r="DW489" i="13"/>
  <c r="CE490" i="13"/>
  <c r="CU490" i="13"/>
  <c r="CX491" i="13"/>
  <c r="CQ489" i="13"/>
  <c r="DN491" i="13"/>
  <c r="CD490" i="13"/>
  <c r="DZ490" i="13"/>
  <c r="CP489" i="13"/>
  <c r="CY491" i="13"/>
  <c r="DO491" i="13"/>
  <c r="DK490" i="13"/>
  <c r="CT490" i="13"/>
  <c r="DJ490" i="13"/>
  <c r="EA490" i="13"/>
  <c r="CH491" i="13"/>
  <c r="CA489" i="13"/>
  <c r="CI491" i="13"/>
  <c r="DF489" i="13"/>
  <c r="DG489" i="13"/>
  <c r="DV489" i="13"/>
  <c r="BT477" i="13"/>
  <c r="CJ477" i="13"/>
  <c r="CZ477" i="13"/>
  <c r="DP477" i="13"/>
  <c r="BX478" i="13"/>
  <c r="CN478" i="13"/>
  <c r="DD478" i="13"/>
  <c r="DT478" i="13"/>
  <c r="CB479" i="13"/>
  <c r="CR479" i="13"/>
  <c r="DH479" i="13"/>
  <c r="DX479" i="13"/>
  <c r="CG478" i="13"/>
  <c r="DJ477" i="13"/>
  <c r="CI478" i="13"/>
  <c r="BT478" i="13"/>
  <c r="DA478" i="13"/>
  <c r="DB478" i="13"/>
  <c r="BU477" i="13"/>
  <c r="CK477" i="13"/>
  <c r="DA477" i="13"/>
  <c r="DQ477" i="13"/>
  <c r="BY478" i="13"/>
  <c r="CO478" i="13"/>
  <c r="DE478" i="13"/>
  <c r="DU478" i="13"/>
  <c r="CC479" i="13"/>
  <c r="CS479" i="13"/>
  <c r="DI479" i="13"/>
  <c r="DY479" i="13"/>
  <c r="DY477" i="13"/>
  <c r="DN478" i="13"/>
  <c r="CY478" i="13"/>
  <c r="CZ478" i="13"/>
  <c r="CK478" i="13"/>
  <c r="CL478" i="13"/>
  <c r="BV477" i="13"/>
  <c r="CL477" i="13"/>
  <c r="DB477" i="13"/>
  <c r="DR477" i="13"/>
  <c r="BZ478" i="13"/>
  <c r="CP478" i="13"/>
  <c r="DF478" i="13"/>
  <c r="DV478" i="13"/>
  <c r="CD479" i="13"/>
  <c r="CT479" i="13"/>
  <c r="DJ479" i="13"/>
  <c r="DZ479" i="13"/>
  <c r="DI477" i="13"/>
  <c r="CK479" i="13"/>
  <c r="CT477" i="13"/>
  <c r="CL479" i="13"/>
  <c r="DR479" i="13"/>
  <c r="CU477" i="13"/>
  <c r="DC479" i="13"/>
  <c r="CF477" i="13"/>
  <c r="DD479" i="13"/>
  <c r="CG477" i="13"/>
  <c r="CO479" i="13"/>
  <c r="DE479" i="13"/>
  <c r="DU479" i="13"/>
  <c r="CH477" i="13"/>
  <c r="DF479" i="13"/>
  <c r="BW477" i="13"/>
  <c r="CM477" i="13"/>
  <c r="DC477" i="13"/>
  <c r="DS477" i="13"/>
  <c r="CA478" i="13"/>
  <c r="CQ478" i="13"/>
  <c r="DG478" i="13"/>
  <c r="DW478" i="13"/>
  <c r="CE479" i="13"/>
  <c r="CU479" i="13"/>
  <c r="DK479" i="13"/>
  <c r="EA479" i="13"/>
  <c r="CW478" i="13"/>
  <c r="CX478" i="13"/>
  <c r="DO478" i="13"/>
  <c r="BX479" i="13"/>
  <c r="DQ478" i="13"/>
  <c r="BX477" i="13"/>
  <c r="CN477" i="13"/>
  <c r="DD477" i="13"/>
  <c r="DT477" i="13"/>
  <c r="CB478" i="13"/>
  <c r="CR478" i="13"/>
  <c r="DH478" i="13"/>
  <c r="DX478" i="13"/>
  <c r="CF479" i="13"/>
  <c r="CV479" i="13"/>
  <c r="DL479" i="13"/>
  <c r="CC477" i="13"/>
  <c r="CH478" i="13"/>
  <c r="BW479" i="13"/>
  <c r="CN479" i="13"/>
  <c r="BY479" i="13"/>
  <c r="BY477" i="13"/>
  <c r="CO477" i="13"/>
  <c r="DE477" i="13"/>
  <c r="DU477" i="13"/>
  <c r="CC478" i="13"/>
  <c r="CS478" i="13"/>
  <c r="DI478" i="13"/>
  <c r="DY478" i="13"/>
  <c r="CG479" i="13"/>
  <c r="CW479" i="13"/>
  <c r="DM479" i="13"/>
  <c r="CS477" i="13"/>
  <c r="DQ479" i="13"/>
  <c r="BV479" i="13"/>
  <c r="DK477" i="13"/>
  <c r="DS479" i="13"/>
  <c r="CV477" i="13"/>
  <c r="CW477" i="13"/>
  <c r="BV478" i="13"/>
  <c r="BZ477" i="13"/>
  <c r="CP477" i="13"/>
  <c r="DF477" i="13"/>
  <c r="DV477" i="13"/>
  <c r="CD478" i="13"/>
  <c r="CT478" i="13"/>
  <c r="DJ478" i="13"/>
  <c r="DZ478" i="13"/>
  <c r="CH479" i="13"/>
  <c r="CX479" i="13"/>
  <c r="DN479" i="13"/>
  <c r="DP478" i="13"/>
  <c r="DR478" i="13"/>
  <c r="CA477" i="13"/>
  <c r="CQ477" i="13"/>
  <c r="DG477" i="13"/>
  <c r="DW477" i="13"/>
  <c r="CE478" i="13"/>
  <c r="CU478" i="13"/>
  <c r="DK478" i="13"/>
  <c r="EA478" i="13"/>
  <c r="CI479" i="13"/>
  <c r="CY479" i="13"/>
  <c r="DO479" i="13"/>
  <c r="DM478" i="13"/>
  <c r="DA479" i="13"/>
  <c r="DZ477" i="13"/>
  <c r="EA477" i="13"/>
  <c r="DL477" i="13"/>
  <c r="DT479" i="13"/>
  <c r="BU478" i="13"/>
  <c r="CX477" i="13"/>
  <c r="CB477" i="13"/>
  <c r="CR477" i="13"/>
  <c r="DH477" i="13"/>
  <c r="DX477" i="13"/>
  <c r="CF478" i="13"/>
  <c r="CV478" i="13"/>
  <c r="DL478" i="13"/>
  <c r="BT479" i="13"/>
  <c r="CJ479" i="13"/>
  <c r="CZ479" i="13"/>
  <c r="DP479" i="13"/>
  <c r="BU479" i="13"/>
  <c r="CD477" i="13"/>
  <c r="DB479" i="13"/>
  <c r="CE477" i="13"/>
  <c r="CM479" i="13"/>
  <c r="CJ478" i="13"/>
  <c r="DM477" i="13"/>
  <c r="DN477" i="13"/>
  <c r="DV479" i="13"/>
  <c r="CI477" i="13"/>
  <c r="DO477" i="13"/>
  <c r="CM478" i="13"/>
  <c r="DC478" i="13"/>
  <c r="CY477" i="13"/>
  <c r="DS478" i="13"/>
  <c r="BW478" i="13"/>
  <c r="DG479" i="13"/>
  <c r="BZ479" i="13"/>
  <c r="CA479" i="13"/>
  <c r="CP479" i="13"/>
  <c r="CQ479" i="13"/>
  <c r="DW479" i="13"/>
  <c r="CF483" i="13"/>
  <c r="CV483" i="13"/>
  <c r="DL483" i="13"/>
  <c r="BT484" i="13"/>
  <c r="CJ484" i="13"/>
  <c r="CZ484" i="13"/>
  <c r="DP484" i="13"/>
  <c r="BX485" i="13"/>
  <c r="CN485" i="13"/>
  <c r="DD485" i="13"/>
  <c r="DT485" i="13"/>
  <c r="DI484" i="13"/>
  <c r="DJ484" i="13"/>
  <c r="CI485" i="13"/>
  <c r="CG483" i="13"/>
  <c r="CW483" i="13"/>
  <c r="DM483" i="13"/>
  <c r="BU484" i="13"/>
  <c r="CK484" i="13"/>
  <c r="DA484" i="13"/>
  <c r="DQ484" i="13"/>
  <c r="BY485" i="13"/>
  <c r="CO485" i="13"/>
  <c r="DE485" i="13"/>
  <c r="DU485" i="13"/>
  <c r="CS484" i="13"/>
  <c r="CH483" i="13"/>
  <c r="CX483" i="13"/>
  <c r="DN483" i="13"/>
  <c r="BV484" i="13"/>
  <c r="CL484" i="13"/>
  <c r="DB484" i="13"/>
  <c r="DR484" i="13"/>
  <c r="BZ485" i="13"/>
  <c r="CP485" i="13"/>
  <c r="DF485" i="13"/>
  <c r="DV485" i="13"/>
  <c r="CO483" i="13"/>
  <c r="DU483" i="13"/>
  <c r="CW485" i="13"/>
  <c r="CP483" i="13"/>
  <c r="CD484" i="13"/>
  <c r="DZ484" i="13"/>
  <c r="DN485" i="13"/>
  <c r="DG483" i="13"/>
  <c r="EA484" i="13"/>
  <c r="CR483" i="13"/>
  <c r="DH483" i="13"/>
  <c r="CV484" i="13"/>
  <c r="BT485" i="13"/>
  <c r="DP485" i="13"/>
  <c r="CS483" i="13"/>
  <c r="CG484" i="13"/>
  <c r="CW484" i="13"/>
  <c r="CK485" i="13"/>
  <c r="DQ485" i="13"/>
  <c r="CT483" i="13"/>
  <c r="CH484" i="13"/>
  <c r="BV485" i="13"/>
  <c r="CI483" i="13"/>
  <c r="CY483" i="13"/>
  <c r="DO483" i="13"/>
  <c r="BW484" i="13"/>
  <c r="CM484" i="13"/>
  <c r="DC484" i="13"/>
  <c r="DS484" i="13"/>
  <c r="CA485" i="13"/>
  <c r="CQ485" i="13"/>
  <c r="DG485" i="13"/>
  <c r="DW485" i="13"/>
  <c r="DY484" i="13"/>
  <c r="BT483" i="13"/>
  <c r="CJ483" i="13"/>
  <c r="CZ483" i="13"/>
  <c r="DP483" i="13"/>
  <c r="BX484" i="13"/>
  <c r="CN484" i="13"/>
  <c r="DD484" i="13"/>
  <c r="DT484" i="13"/>
  <c r="CB485" i="13"/>
  <c r="CR485" i="13"/>
  <c r="DH485" i="13"/>
  <c r="DX485" i="13"/>
  <c r="BU483" i="13"/>
  <c r="CK483" i="13"/>
  <c r="DA483" i="13"/>
  <c r="DQ483" i="13"/>
  <c r="BY484" i="13"/>
  <c r="CO484" i="13"/>
  <c r="DE484" i="13"/>
  <c r="DU484" i="13"/>
  <c r="CC485" i="13"/>
  <c r="CS485" i="13"/>
  <c r="DI485" i="13"/>
  <c r="DY485" i="13"/>
  <c r="CG485" i="13"/>
  <c r="CH485" i="13"/>
  <c r="DW483" i="13"/>
  <c r="DK484" i="13"/>
  <c r="CY485" i="13"/>
  <c r="CB483" i="13"/>
  <c r="CF484" i="13"/>
  <c r="CJ485" i="13"/>
  <c r="CC483" i="13"/>
  <c r="DM484" i="13"/>
  <c r="DZ483" i="13"/>
  <c r="BV483" i="13"/>
  <c r="CL483" i="13"/>
  <c r="DB483" i="13"/>
  <c r="DR483" i="13"/>
  <c r="BZ484" i="13"/>
  <c r="CP484" i="13"/>
  <c r="DF484" i="13"/>
  <c r="DV484" i="13"/>
  <c r="CD485" i="13"/>
  <c r="CT485" i="13"/>
  <c r="DJ485" i="13"/>
  <c r="DZ485" i="13"/>
  <c r="BW483" i="13"/>
  <c r="CM483" i="13"/>
  <c r="DC483" i="13"/>
  <c r="DS483" i="13"/>
  <c r="CA484" i="13"/>
  <c r="CQ484" i="13"/>
  <c r="DG484" i="13"/>
  <c r="DW484" i="13"/>
  <c r="CE485" i="13"/>
  <c r="CU485" i="13"/>
  <c r="DK485" i="13"/>
  <c r="EA485" i="13"/>
  <c r="DE483" i="13"/>
  <c r="DM485" i="13"/>
  <c r="DV483" i="13"/>
  <c r="CA483" i="13"/>
  <c r="CU484" i="13"/>
  <c r="DX483" i="13"/>
  <c r="CZ485" i="13"/>
  <c r="DI483" i="13"/>
  <c r="BU485" i="13"/>
  <c r="CD483" i="13"/>
  <c r="CX484" i="13"/>
  <c r="DR485" i="13"/>
  <c r="BX483" i="13"/>
  <c r="CN483" i="13"/>
  <c r="DD483" i="13"/>
  <c r="DT483" i="13"/>
  <c r="CB484" i="13"/>
  <c r="CR484" i="13"/>
  <c r="DH484" i="13"/>
  <c r="DX484" i="13"/>
  <c r="CF485" i="13"/>
  <c r="CV485" i="13"/>
  <c r="DL485" i="13"/>
  <c r="BY483" i="13"/>
  <c r="CC484" i="13"/>
  <c r="BZ483" i="13"/>
  <c r="DF483" i="13"/>
  <c r="CT484" i="13"/>
  <c r="CX485" i="13"/>
  <c r="CQ483" i="13"/>
  <c r="CE484" i="13"/>
  <c r="DO485" i="13"/>
  <c r="DL484" i="13"/>
  <c r="DY483" i="13"/>
  <c r="DA485" i="13"/>
  <c r="DJ483" i="13"/>
  <c r="DN484" i="13"/>
  <c r="EA483" i="13"/>
  <c r="DO484" i="13"/>
  <c r="CM485" i="13"/>
  <c r="DB485" i="13"/>
  <c r="CI484" i="13"/>
  <c r="CY484" i="13"/>
  <c r="BW485" i="13"/>
  <c r="CL485" i="13"/>
  <c r="CU483" i="13"/>
  <c r="DK483" i="13"/>
  <c r="DC485" i="13"/>
  <c r="DS485" i="13"/>
  <c r="CE483" i="13"/>
  <c r="BR477" i="13"/>
  <c r="BS477" i="13"/>
  <c r="BR478" i="13"/>
  <c r="BS478" i="13"/>
  <c r="BR479" i="13"/>
  <c r="BS479" i="13"/>
  <c r="BR491" i="13"/>
  <c r="BS491" i="13"/>
  <c r="BR489" i="13"/>
  <c r="BS489" i="13"/>
  <c r="BR490" i="13"/>
  <c r="BS490" i="13"/>
  <c r="BR483" i="13"/>
  <c r="BS483" i="13"/>
  <c r="BR484" i="13"/>
  <c r="BS484" i="13"/>
  <c r="BR485" i="13"/>
  <c r="BS485" i="13"/>
  <c r="BE477" i="13"/>
  <c r="BH478" i="13"/>
  <c r="BK479" i="13"/>
  <c r="BF477" i="13"/>
  <c r="BI478" i="13"/>
  <c r="BL479" i="13"/>
  <c r="BG477" i="13"/>
  <c r="BJ478" i="13"/>
  <c r="BM479" i="13"/>
  <c r="BP477" i="13"/>
  <c r="BH479" i="13"/>
  <c r="BG478" i="13"/>
  <c r="BH477" i="13"/>
  <c r="BK478" i="13"/>
  <c r="BN479" i="13"/>
  <c r="BF479" i="13"/>
  <c r="BE478" i="13"/>
  <c r="BI477" i="13"/>
  <c r="BL478" i="13"/>
  <c r="BO479" i="13"/>
  <c r="BJ477" i="13"/>
  <c r="BM478" i="13"/>
  <c r="BP479" i="13"/>
  <c r="BQ477" i="13"/>
  <c r="BI479" i="13"/>
  <c r="BK477" i="13"/>
  <c r="BN478" i="13"/>
  <c r="BQ479" i="13"/>
  <c r="BL477" i="13"/>
  <c r="BO478" i="13"/>
  <c r="BG479" i="13"/>
  <c r="BF478" i="13"/>
  <c r="BJ479" i="13"/>
  <c r="BM477" i="13"/>
  <c r="BP478" i="13"/>
  <c r="BE479" i="13"/>
  <c r="BN477" i="13"/>
  <c r="BQ478" i="13"/>
  <c r="BO477" i="13"/>
  <c r="BG489" i="13"/>
  <c r="BJ490" i="13"/>
  <c r="BM491" i="13"/>
  <c r="BH489" i="13"/>
  <c r="BK490" i="13"/>
  <c r="BN491" i="13"/>
  <c r="BF489" i="13"/>
  <c r="BI489" i="13"/>
  <c r="BL490" i="13"/>
  <c r="BO491" i="13"/>
  <c r="BJ489" i="13"/>
  <c r="BM490" i="13"/>
  <c r="BP491" i="13"/>
  <c r="BQ489" i="13"/>
  <c r="BK489" i="13"/>
  <c r="BN490" i="13"/>
  <c r="BQ491" i="13"/>
  <c r="BG491" i="13"/>
  <c r="BH491" i="13"/>
  <c r="BI491" i="13"/>
  <c r="BK491" i="13"/>
  <c r="BL489" i="13"/>
  <c r="BO490" i="13"/>
  <c r="BM489" i="13"/>
  <c r="BP490" i="13"/>
  <c r="BH490" i="13"/>
  <c r="BN489" i="13"/>
  <c r="BQ490" i="13"/>
  <c r="BO489" i="13"/>
  <c r="BE491" i="13"/>
  <c r="BF490" i="13"/>
  <c r="BJ491" i="13"/>
  <c r="BE489" i="13"/>
  <c r="BL491" i="13"/>
  <c r="BP489" i="13"/>
  <c r="BF491" i="13"/>
  <c r="BE490" i="13"/>
  <c r="BG490" i="13"/>
  <c r="BI490" i="13"/>
  <c r="BN483" i="13"/>
  <c r="BQ484" i="13"/>
  <c r="BK483" i="13"/>
  <c r="BO483" i="13"/>
  <c r="BE485" i="13"/>
  <c r="BP483" i="13"/>
  <c r="BF485" i="13"/>
  <c r="BM484" i="13"/>
  <c r="BL483" i="13"/>
  <c r="BQ483" i="13"/>
  <c r="BG485" i="13"/>
  <c r="BJ483" i="13"/>
  <c r="BO484" i="13"/>
  <c r="BP484" i="13"/>
  <c r="BE484" i="13"/>
  <c r="BH485" i="13"/>
  <c r="BF484" i="13"/>
  <c r="BI485" i="13"/>
  <c r="BN485" i="13"/>
  <c r="BI483" i="13"/>
  <c r="BN484" i="13"/>
  <c r="BM483" i="13"/>
  <c r="BG484" i="13"/>
  <c r="BJ485" i="13"/>
  <c r="BK484" i="13"/>
  <c r="BE483" i="13"/>
  <c r="BH484" i="13"/>
  <c r="BK485" i="13"/>
  <c r="BH483" i="13"/>
  <c r="BL484" i="13"/>
  <c r="BQ485" i="13"/>
  <c r="BF483" i="13"/>
  <c r="BI484" i="13"/>
  <c r="BL485" i="13"/>
  <c r="BO485" i="13"/>
  <c r="BG483" i="13"/>
  <c r="BJ484" i="13"/>
  <c r="BM485" i="13"/>
  <c r="BP485" i="13"/>
  <c r="BB489" i="13"/>
  <c r="BC489" i="13"/>
  <c r="BD489" i="13"/>
  <c r="AZ490" i="13"/>
  <c r="BA490" i="13"/>
  <c r="BA491" i="13"/>
  <c r="BB491" i="13"/>
  <c r="BD491" i="13"/>
  <c r="AZ489" i="13"/>
  <c r="BA489" i="13"/>
  <c r="BB490" i="13"/>
  <c r="BC490" i="13"/>
  <c r="BC491" i="13"/>
  <c r="BD490" i="13"/>
  <c r="AZ491" i="13"/>
  <c r="AZ477" i="13"/>
  <c r="BD478" i="13"/>
  <c r="BA477" i="13"/>
  <c r="BB477" i="13"/>
  <c r="AZ479" i="13"/>
  <c r="BB479" i="13"/>
  <c r="BC477" i="13"/>
  <c r="BD477" i="13"/>
  <c r="BA479" i="13"/>
  <c r="BC479" i="13"/>
  <c r="AZ478" i="13"/>
  <c r="BA478" i="13"/>
  <c r="BD479" i="13"/>
  <c r="BB478" i="13"/>
  <c r="BC478" i="13"/>
  <c r="BA483" i="13"/>
  <c r="BB483" i="13"/>
  <c r="AZ485" i="13"/>
  <c r="BC483" i="13"/>
  <c r="BB485" i="13"/>
  <c r="BD485" i="13"/>
  <c r="AZ483" i="13"/>
  <c r="BD483" i="13"/>
  <c r="AZ484" i="13"/>
  <c r="BA484" i="13"/>
  <c r="BB484" i="13"/>
  <c r="BA485" i="13"/>
  <c r="BC485" i="13"/>
  <c r="BC484" i="13"/>
  <c r="BD484" i="13"/>
  <c r="AU477" i="13"/>
  <c r="AV477" i="13"/>
  <c r="AW477" i="13"/>
  <c r="AX477" i="13"/>
  <c r="AY477" i="13"/>
  <c r="AU478" i="13"/>
  <c r="AV478" i="13"/>
  <c r="AW478" i="13"/>
  <c r="AX478" i="13"/>
  <c r="AY478" i="13"/>
  <c r="AU479" i="13"/>
  <c r="AV479" i="13"/>
  <c r="AW479" i="13"/>
  <c r="AX479" i="13"/>
  <c r="AY479" i="13"/>
  <c r="AW489" i="13"/>
  <c r="AX489" i="13"/>
  <c r="AY489" i="13"/>
  <c r="AU490" i="13"/>
  <c r="AV490" i="13"/>
  <c r="AX490" i="13"/>
  <c r="AW490" i="13"/>
  <c r="AY490" i="13"/>
  <c r="AU491" i="13"/>
  <c r="AV491" i="13"/>
  <c r="AW491" i="13"/>
  <c r="AX491" i="13"/>
  <c r="AY491" i="13"/>
  <c r="AU489" i="13"/>
  <c r="AV489" i="13"/>
  <c r="AV483" i="13"/>
  <c r="AW483" i="13"/>
  <c r="AX483" i="13"/>
  <c r="AY483" i="13"/>
  <c r="AU484" i="13"/>
  <c r="AV484" i="13"/>
  <c r="AW484" i="13"/>
  <c r="AX484" i="13"/>
  <c r="AY484" i="13"/>
  <c r="AU485" i="13"/>
  <c r="AV485" i="13"/>
  <c r="AW485" i="13"/>
  <c r="AX485" i="13"/>
  <c r="AY485" i="13"/>
  <c r="AU483" i="13"/>
  <c r="AQ477" i="13"/>
  <c r="AR477" i="13"/>
  <c r="AS477" i="13"/>
  <c r="AT477" i="13"/>
  <c r="AQ478" i="13"/>
  <c r="AR478" i="13"/>
  <c r="AS478" i="13"/>
  <c r="AT478" i="13"/>
  <c r="AQ479" i="13"/>
  <c r="AT479" i="13"/>
  <c r="AR479" i="13"/>
  <c r="AS479" i="13"/>
  <c r="AQ491" i="13"/>
  <c r="AR491" i="13"/>
  <c r="AQ490" i="13"/>
  <c r="AS491" i="13"/>
  <c r="AT491" i="13"/>
  <c r="AQ489" i="13"/>
  <c r="AR490" i="13"/>
  <c r="AR489" i="13"/>
  <c r="AT489" i="13"/>
  <c r="AS489" i="13"/>
  <c r="AS490" i="13"/>
  <c r="AT490" i="13"/>
  <c r="AQ484" i="13"/>
  <c r="AR484" i="13"/>
  <c r="AS484" i="13"/>
  <c r="AT484" i="13"/>
  <c r="AQ485" i="13"/>
  <c r="AR485" i="13"/>
  <c r="AS485" i="13"/>
  <c r="AT485" i="13"/>
  <c r="AQ483" i="13"/>
  <c r="AS483" i="13"/>
  <c r="AT483" i="13"/>
  <c r="AR483" i="13"/>
  <c r="AP489" i="13"/>
  <c r="AP490" i="13"/>
  <c r="AP491" i="13"/>
  <c r="AP477" i="13"/>
  <c r="AP478" i="13"/>
  <c r="AP479" i="13"/>
  <c r="AP483" i="13"/>
  <c r="AP484" i="13"/>
  <c r="AP485" i="13"/>
  <c r="AF477" i="13"/>
  <c r="AG477" i="13"/>
  <c r="AN478" i="13"/>
  <c r="AH477" i="13"/>
  <c r="AO478" i="13"/>
  <c r="AI477" i="13"/>
  <c r="AG479" i="13"/>
  <c r="AJ477" i="13"/>
  <c r="AH479" i="13"/>
  <c r="AM478" i="13"/>
  <c r="AK477" i="13"/>
  <c r="AI479" i="13"/>
  <c r="AL477" i="13"/>
  <c r="AJ479" i="13"/>
  <c r="AM477" i="13"/>
  <c r="AK479" i="13"/>
  <c r="AN477" i="13"/>
  <c r="AL479" i="13"/>
  <c r="AO477" i="13"/>
  <c r="AM479" i="13"/>
  <c r="AG478" i="13"/>
  <c r="AN479" i="13"/>
  <c r="AH478" i="13"/>
  <c r="AO479" i="13"/>
  <c r="AL478" i="13"/>
  <c r="AI478" i="13"/>
  <c r="AJ478" i="13"/>
  <c r="AK478" i="13"/>
  <c r="AF478" i="13"/>
  <c r="AF479" i="13"/>
  <c r="AF483" i="13"/>
  <c r="AG483" i="13"/>
  <c r="AN484" i="13"/>
  <c r="AH483" i="13"/>
  <c r="AO484" i="13"/>
  <c r="AL484" i="13"/>
  <c r="AI483" i="13"/>
  <c r="AG485" i="13"/>
  <c r="AG484" i="13"/>
  <c r="AI484" i="13"/>
  <c r="AJ483" i="13"/>
  <c r="AH485" i="13"/>
  <c r="AM485" i="13"/>
  <c r="AK483" i="13"/>
  <c r="AI485" i="13"/>
  <c r="AN485" i="13"/>
  <c r="AL483" i="13"/>
  <c r="AJ485" i="13"/>
  <c r="AO483" i="13"/>
  <c r="AJ484" i="13"/>
  <c r="AM483" i="13"/>
  <c r="AK485" i="13"/>
  <c r="AH484" i="13"/>
  <c r="AM484" i="13"/>
  <c r="AN483" i="13"/>
  <c r="AL485" i="13"/>
  <c r="AO485" i="13"/>
  <c r="AK484" i="13"/>
  <c r="AF484" i="13"/>
  <c r="AF485" i="13"/>
  <c r="AJ491" i="13"/>
  <c r="AG490" i="13"/>
  <c r="AG489" i="13"/>
  <c r="AK490" i="13"/>
  <c r="AL489" i="13"/>
  <c r="AH489" i="13"/>
  <c r="AJ490" i="13"/>
  <c r="AM489" i="13"/>
  <c r="AF490" i="13"/>
  <c r="AI490" i="13"/>
  <c r="AM490" i="13"/>
  <c r="AG491" i="13"/>
  <c r="AO491" i="13"/>
  <c r="AL491" i="13"/>
  <c r="AN491" i="13"/>
  <c r="AO489" i="13"/>
  <c r="AO490" i="13"/>
  <c r="AN490" i="13"/>
  <c r="AH491" i="13"/>
  <c r="AN489" i="13"/>
  <c r="AJ489" i="13"/>
  <c r="AF489" i="13"/>
  <c r="AK491" i="13"/>
  <c r="AL490" i="13"/>
  <c r="AH490" i="13"/>
  <c r="AI491" i="13"/>
  <c r="AK489" i="13"/>
  <c r="AM491" i="13"/>
  <c r="AI489" i="13"/>
  <c r="AF491" i="13"/>
  <c r="AC498" i="13"/>
  <c r="AC496" i="13"/>
  <c r="AC495" i="13"/>
  <c r="AC499" i="13"/>
  <c r="AC497" i="13"/>
  <c r="EC491" i="13" l="1" a="1"/>
  <c r="EC491" i="13" s="1"/>
  <c r="EC490" i="13" a="1"/>
  <c r="EC490" i="13" s="1"/>
  <c r="EC477" i="13" a="1"/>
  <c r="EC477" i="13" s="1"/>
  <c r="EC489" i="13" a="1"/>
  <c r="EC489" i="13" s="1"/>
  <c r="EC483" i="13" a="1"/>
  <c r="EC483" i="13" s="1"/>
  <c r="EC479" i="13" a="1"/>
  <c r="EC479" i="13" s="1"/>
  <c r="EC478" i="13" a="1"/>
  <c r="EC478" i="13" s="1"/>
  <c r="EC485" i="13" a="1"/>
  <c r="EC485" i="13" s="1"/>
  <c r="EC484" i="13" a="1"/>
  <c r="EC484" i="13" s="1"/>
  <c r="EC474" i="13" l="1"/>
  <c r="ED491" i="13" l="1" a="1"/>
  <c r="ED491" i="13" s="1"/>
  <c r="ED484" i="13" a="1"/>
  <c r="ED484" i="13" s="1"/>
  <c r="ED477" i="13" a="1"/>
  <c r="ED477" i="13" s="1"/>
  <c r="ED478" i="13" a="1"/>
  <c r="ED478" i="13" s="1"/>
  <c r="ED490" i="13" a="1"/>
  <c r="ED490" i="13" s="1"/>
  <c r="ED483" i="13" a="1"/>
  <c r="ED483" i="13" s="1"/>
  <c r="ED489" i="13" a="1"/>
  <c r="ED489" i="13" s="1"/>
  <c r="ED479" i="13" a="1"/>
  <c r="ED479" i="13" s="1"/>
  <c r="ED485" i="13" a="1"/>
  <c r="ED485" i="13" s="1"/>
  <c r="D559" i="12"/>
  <c r="F559" i="12"/>
  <c r="H559" i="12"/>
  <c r="E559" i="12"/>
  <c r="G559" i="12"/>
  <c r="I559" i="12"/>
  <c r="G556" i="12"/>
  <c r="ED474" i="13" l="1"/>
  <c r="HQ489" i="13" s="1"/>
  <c r="GE484" i="13"/>
  <c r="GF484" i="13"/>
  <c r="GL485" i="13"/>
  <c r="HV484" i="13"/>
  <c r="HF484" i="13"/>
  <c r="GI483" i="13"/>
  <c r="HC489" i="13"/>
  <c r="HT489" i="13"/>
  <c r="HZ490" i="13"/>
  <c r="GW489" i="13"/>
  <c r="HX477" i="13"/>
  <c r="HF477" i="13"/>
  <c r="HU477" i="13"/>
  <c r="HE477" i="13"/>
  <c r="HN479" i="13"/>
  <c r="GU478" i="13"/>
  <c r="IF477" i="13"/>
  <c r="HE478" i="13"/>
  <c r="GD479" i="13"/>
  <c r="GS484" i="13"/>
  <c r="GO484" i="13"/>
  <c r="GD484" i="13"/>
  <c r="GU484" i="13"/>
  <c r="GV484" i="13"/>
  <c r="HB485" i="13"/>
  <c r="GV483" i="13"/>
  <c r="HZ485" i="13"/>
  <c r="GH483" i="13"/>
  <c r="GY483" i="13"/>
  <c r="HT484" i="13"/>
  <c r="HB489" i="13"/>
  <c r="HS489" i="13"/>
  <c r="GB490" i="13"/>
  <c r="GG478" i="13"/>
  <c r="ID479" i="13"/>
  <c r="GD478" i="13"/>
  <c r="HV477" i="13"/>
  <c r="IE479" i="13"/>
  <c r="GI477" i="13"/>
  <c r="GN478" i="13"/>
  <c r="HU478" i="13"/>
  <c r="GT479" i="13"/>
  <c r="HJ478" i="13"/>
  <c r="GN483" i="13"/>
  <c r="HI484" i="13"/>
  <c r="HB483" i="13"/>
  <c r="GT484" i="13"/>
  <c r="HK484" i="13"/>
  <c r="HL484" i="13"/>
  <c r="HR485" i="13"/>
  <c r="HL483" i="13"/>
  <c r="HC483" i="13"/>
  <c r="GX483" i="13"/>
  <c r="HO483" i="13"/>
  <c r="GB485" i="13"/>
  <c r="GO489" i="13"/>
  <c r="HR489" i="13"/>
  <c r="II489" i="13"/>
  <c r="GR490" i="13"/>
  <c r="GV478" i="13"/>
  <c r="GW478" i="13"/>
  <c r="GQ477" i="13"/>
  <c r="IA478" i="13"/>
  <c r="HK478" i="13"/>
  <c r="GG477" i="13"/>
  <c r="GY477" i="13"/>
  <c r="HD478" i="13"/>
  <c r="GC479" i="13"/>
  <c r="HJ479" i="13"/>
  <c r="GE478" i="13"/>
  <c r="HD483" i="13"/>
  <c r="HY484" i="13"/>
  <c r="HR483" i="13"/>
  <c r="HJ484" i="13"/>
  <c r="IA484" i="13"/>
  <c r="IB484" i="13"/>
  <c r="IH485" i="13"/>
  <c r="IB483" i="13"/>
  <c r="HG484" i="13"/>
  <c r="HN483" i="13"/>
  <c r="IE483" i="13"/>
  <c r="GR485" i="13"/>
  <c r="GC490" i="13"/>
  <c r="IH489" i="13"/>
  <c r="GQ490" i="13"/>
  <c r="HH490" i="13"/>
  <c r="GB489" i="13"/>
  <c r="GL490" i="13"/>
  <c r="IB489" i="13"/>
  <c r="GF489" i="13"/>
  <c r="HP490" i="13"/>
  <c r="HL478" i="13"/>
  <c r="HM478" i="13"/>
  <c r="GD477" i="13"/>
  <c r="GE477" i="13"/>
  <c r="GF477" i="13"/>
  <c r="GH477" i="13"/>
  <c r="HO477" i="13"/>
  <c r="HT478" i="13"/>
  <c r="GS479" i="13"/>
  <c r="HZ479" i="13"/>
  <c r="GN477" i="13"/>
  <c r="HT483" i="13"/>
  <c r="GG485" i="13"/>
  <c r="GP484" i="13"/>
  <c r="HZ484" i="13"/>
  <c r="GI485" i="13"/>
  <c r="GJ485" i="13"/>
  <c r="GE483" i="13"/>
  <c r="GJ484" i="13"/>
  <c r="HK485" i="13"/>
  <c r="ID483" i="13"/>
  <c r="GM484" i="13"/>
  <c r="HH485" i="13"/>
  <c r="HE489" i="13"/>
  <c r="HY490" i="13"/>
  <c r="GP490" i="13"/>
  <c r="HG490" i="13"/>
  <c r="HX490" i="13"/>
  <c r="GR489" i="13"/>
  <c r="HM489" i="13"/>
  <c r="HN489" i="13"/>
  <c r="IB478" i="13"/>
  <c r="IC478" i="13"/>
  <c r="GT477" i="13"/>
  <c r="GU477" i="13"/>
  <c r="GV477" i="13"/>
  <c r="GX477" i="13"/>
  <c r="IE477" i="13"/>
  <c r="GB479" i="13"/>
  <c r="HI479" i="13"/>
  <c r="GC478" i="13"/>
  <c r="HD477" i="13"/>
  <c r="GB484" i="13"/>
  <c r="GW485" i="13"/>
  <c r="GD485" i="13"/>
  <c r="GH485" i="13"/>
  <c r="GY485" i="13"/>
  <c r="GZ485" i="13"/>
  <c r="GU483" i="13"/>
  <c r="GZ484" i="13"/>
  <c r="GG483" i="13"/>
  <c r="GL484" i="13"/>
  <c r="HC484" i="13"/>
  <c r="HX485" i="13"/>
  <c r="HR490" i="13"/>
  <c r="HF490" i="13"/>
  <c r="HW490" i="13"/>
  <c r="GZ490" i="13"/>
  <c r="HH489" i="13"/>
  <c r="HO489" i="13"/>
  <c r="ID489" i="13"/>
  <c r="HQ490" i="13"/>
  <c r="HL489" i="13"/>
  <c r="GJ479" i="13"/>
  <c r="GK479" i="13"/>
  <c r="HJ477" i="13"/>
  <c r="HK477" i="13"/>
  <c r="HL477" i="13"/>
  <c r="HN477" i="13"/>
  <c r="GM478" i="13"/>
  <c r="GR479" i="13"/>
  <c r="HY479" i="13"/>
  <c r="GM477" i="13"/>
  <c r="HT477" i="13"/>
  <c r="GR484" i="13"/>
  <c r="HM485" i="13"/>
  <c r="GM483" i="13"/>
  <c r="GX485" i="13"/>
  <c r="HO485" i="13"/>
  <c r="HP485" i="13"/>
  <c r="HK483" i="13"/>
  <c r="HP484" i="13"/>
  <c r="GW483" i="13"/>
  <c r="HB484" i="13"/>
  <c r="HS484" i="13"/>
  <c r="IE489" i="13"/>
  <c r="HV490" i="13"/>
  <c r="GH489" i="13"/>
  <c r="HX489" i="13"/>
  <c r="GI489" i="13"/>
  <c r="GJ490" i="13"/>
  <c r="GZ479" i="13"/>
  <c r="HA479" i="13"/>
  <c r="HZ477" i="13"/>
  <c r="IA477" i="13"/>
  <c r="IB477" i="13"/>
  <c r="ID477" i="13"/>
  <c r="HC478" i="13"/>
  <c r="HH479" i="13"/>
  <c r="GG479" i="13"/>
  <c r="HC477" i="13"/>
  <c r="GB478" i="13"/>
  <c r="HH484" i="13"/>
  <c r="IC485" i="13"/>
  <c r="HS483" i="13"/>
  <c r="HN485" i="13"/>
  <c r="IE485" i="13"/>
  <c r="IF485" i="13"/>
  <c r="IA483" i="13"/>
  <c r="IF484" i="13"/>
  <c r="HM483" i="13"/>
  <c r="HR484" i="13"/>
  <c r="II484" i="13"/>
  <c r="GK489" i="13"/>
  <c r="GG489" i="13"/>
  <c r="GF490" i="13"/>
  <c r="GC489" i="13"/>
  <c r="GD489" i="13"/>
  <c r="GE489" i="13"/>
  <c r="IF490" i="13"/>
  <c r="HP479" i="13"/>
  <c r="HQ479" i="13"/>
  <c r="GH478" i="13"/>
  <c r="GI478" i="13"/>
  <c r="GJ478" i="13"/>
  <c r="GL478" i="13"/>
  <c r="HS478" i="13"/>
  <c r="HX479" i="13"/>
  <c r="GT478" i="13"/>
  <c r="HS477" i="13"/>
  <c r="GR478" i="13"/>
  <c r="HX484" i="13"/>
  <c r="GC483" i="13"/>
  <c r="II483" i="13"/>
  <c r="ID485" i="13"/>
  <c r="IC484" i="13"/>
  <c r="GD483" i="13"/>
  <c r="GI484" i="13"/>
  <c r="GN485" i="13"/>
  <c r="IC483" i="13"/>
  <c r="IH484" i="13"/>
  <c r="GQ485" i="13"/>
  <c r="HA489" i="13"/>
  <c r="IG490" i="13"/>
  <c r="GQ489" i="13"/>
  <c r="GV490" i="13"/>
  <c r="GS489" i="13"/>
  <c r="GT489" i="13"/>
  <c r="GU489" i="13"/>
  <c r="IF479" i="13"/>
  <c r="IG479" i="13"/>
  <c r="GX478" i="13"/>
  <c r="GY478" i="13"/>
  <c r="GZ478" i="13"/>
  <c r="HB478" i="13"/>
  <c r="II478" i="13"/>
  <c r="GS478" i="13"/>
  <c r="HW477" i="13"/>
  <c r="II477" i="13"/>
  <c r="HH478" i="13"/>
  <c r="GF485" i="13"/>
  <c r="GS483" i="13"/>
  <c r="GQ484" i="13"/>
  <c r="GW484" i="13"/>
  <c r="IG485" i="13"/>
  <c r="GT483" i="13"/>
  <c r="GY484" i="13"/>
  <c r="HD485" i="13"/>
  <c r="GK484" i="13"/>
  <c r="GP485" i="13"/>
  <c r="HG485" i="13"/>
  <c r="EE478" i="13"/>
  <c r="EX477" i="13"/>
  <c r="FA478" i="13"/>
  <c r="FD479" i="13"/>
  <c r="FJ477" i="13"/>
  <c r="FU478" i="13"/>
  <c r="FX479" i="13"/>
  <c r="FS489" i="13"/>
  <c r="FX491" i="13"/>
  <c r="FA491" i="13"/>
  <c r="FN489" i="13"/>
  <c r="FV489" i="13"/>
  <c r="FC490" i="13"/>
  <c r="FG484" i="13"/>
  <c r="FJ485" i="13"/>
  <c r="FD484" i="13"/>
  <c r="FM485" i="13"/>
  <c r="FB485" i="13"/>
  <c r="FN477" i="13"/>
  <c r="FQ478" i="13"/>
  <c r="FT479" i="13"/>
  <c r="EY479" i="13"/>
  <c r="FG479" i="13"/>
  <c r="FI478" i="13"/>
  <c r="FD489" i="13"/>
  <c r="FI491" i="13"/>
  <c r="FQ491" i="13"/>
  <c r="EZ490" i="13"/>
  <c r="FJ491" i="13"/>
  <c r="FS490" i="13"/>
  <c r="FW484" i="13"/>
  <c r="FZ485" i="13"/>
  <c r="FG485" i="13"/>
  <c r="FN484" i="13"/>
  <c r="FK483" i="13"/>
  <c r="EZ478" i="13"/>
  <c r="FC479" i="13"/>
  <c r="FJ479" i="13"/>
  <c r="FL477" i="13"/>
  <c r="FW479" i="13"/>
  <c r="FJ478" i="13"/>
  <c r="FH491" i="13"/>
  <c r="FF489" i="13"/>
  <c r="FB489" i="13"/>
  <c r="FP490" i="13"/>
  <c r="FK491" i="13"/>
  <c r="FE491" i="13"/>
  <c r="FI485" i="13"/>
  <c r="FN483" i="13"/>
  <c r="FH483" i="13"/>
  <c r="EZ485" i="13"/>
  <c r="GA483" i="13"/>
  <c r="FP478" i="13"/>
  <c r="FS479" i="13"/>
  <c r="GA479" i="13"/>
  <c r="FA479" i="13"/>
  <c r="FZ479" i="13"/>
  <c r="FM477" i="13"/>
  <c r="FZ491" i="13"/>
  <c r="FH490" i="13"/>
  <c r="FC489" i="13"/>
  <c r="FB491" i="13"/>
  <c r="FL491" i="13"/>
  <c r="FU491" i="13"/>
  <c r="FY485" i="13"/>
  <c r="EY483" i="13"/>
  <c r="FX483" i="13"/>
  <c r="FA485" i="13"/>
  <c r="FM484" i="13"/>
  <c r="FB479" i="13"/>
  <c r="FF477" i="13"/>
  <c r="FN479" i="13"/>
  <c r="FB477" i="13"/>
  <c r="FG477" i="13"/>
  <c r="FE477" i="13"/>
  <c r="FY490" i="13"/>
  <c r="FI490" i="13"/>
  <c r="FG491" i="13"/>
  <c r="FR491" i="13"/>
  <c r="FY489" i="13"/>
  <c r="FD483" i="13"/>
  <c r="FO484" i="13"/>
  <c r="FQ483" i="13"/>
  <c r="FJ484" i="13"/>
  <c r="FC485" i="13"/>
  <c r="EY485" i="13"/>
  <c r="FR479" i="13"/>
  <c r="FY478" i="13"/>
  <c r="FP479" i="13"/>
  <c r="FR477" i="13"/>
  <c r="FL479" i="13"/>
  <c r="FU477" i="13"/>
  <c r="FH489" i="13"/>
  <c r="FJ490" i="13"/>
  <c r="FE489" i="13"/>
  <c r="EY489" i="13"/>
  <c r="FM491" i="13"/>
  <c r="FT483" i="13"/>
  <c r="FP484" i="13"/>
  <c r="FS483" i="13"/>
  <c r="FZ484" i="13"/>
  <c r="FB484" i="13"/>
  <c r="FO485" i="13"/>
  <c r="FX478" i="13"/>
  <c r="FH477" i="13"/>
  <c r="FA477" i="13"/>
  <c r="FD478" i="13"/>
  <c r="FK478" i="13"/>
  <c r="FG478" i="13"/>
  <c r="FI489" i="13"/>
  <c r="FZ490" i="13"/>
  <c r="FU489" i="13"/>
  <c r="FO489" i="13"/>
  <c r="EZ489" i="13"/>
  <c r="FF484" i="13"/>
  <c r="FQ484" i="13"/>
  <c r="FG483" i="13"/>
  <c r="FL485" i="13"/>
  <c r="FE485" i="13"/>
  <c r="FL483" i="13"/>
  <c r="FW477" i="13"/>
  <c r="FY477" i="13"/>
  <c r="FQ477" i="13"/>
  <c r="FT478" i="13"/>
  <c r="FZ477" i="13"/>
  <c r="FW478" i="13"/>
  <c r="FK489" i="13"/>
  <c r="GA490" i="13"/>
  <c r="FW490" i="13"/>
  <c r="FA490" i="13"/>
  <c r="FP489" i="13"/>
  <c r="FV484" i="13"/>
  <c r="FR484" i="13"/>
  <c r="FW483" i="13"/>
  <c r="EY484" i="13"/>
  <c r="FF485" i="13"/>
  <c r="FM483" i="13"/>
  <c r="FZ478" i="13"/>
  <c r="EX479" i="13"/>
  <c r="FC478" i="13"/>
  <c r="FF479" i="13"/>
  <c r="GA477" i="13"/>
  <c r="FI479" i="13"/>
  <c r="GA489" i="13"/>
  <c r="FL489" i="13"/>
  <c r="FY491" i="13"/>
  <c r="FQ490" i="13"/>
  <c r="FB490" i="13"/>
  <c r="FH485" i="13"/>
  <c r="FS484" i="13"/>
  <c r="FI484" i="13"/>
  <c r="EX483" i="13"/>
  <c r="FW485" i="13"/>
  <c r="EZ484" i="13"/>
  <c r="FI477" i="13"/>
  <c r="FK477" i="13"/>
  <c r="FS478" i="13"/>
  <c r="FV479" i="13"/>
  <c r="FN478" i="13"/>
  <c r="FY479" i="13"/>
  <c r="FM490" i="13"/>
  <c r="EX490" i="13"/>
  <c r="FX490" i="13"/>
  <c r="FC491" i="13"/>
  <c r="FR490" i="13"/>
  <c r="FX485" i="13"/>
  <c r="FT484" i="13"/>
  <c r="FY484" i="13"/>
  <c r="EZ483" i="13"/>
  <c r="FJ483" i="13"/>
  <c r="FO483" i="13"/>
  <c r="FL478" i="13"/>
  <c r="EZ479" i="13"/>
  <c r="FE479" i="13"/>
  <c r="FH478" i="13"/>
  <c r="FQ479" i="13"/>
  <c r="FJ489" i="13"/>
  <c r="EY491" i="13"/>
  <c r="FN490" i="13"/>
  <c r="FG489" i="13"/>
  <c r="FS491" i="13"/>
  <c r="FD491" i="13"/>
  <c r="FP485" i="13"/>
  <c r="FV485" i="13"/>
  <c r="FK485" i="13"/>
  <c r="FB483" i="13"/>
  <c r="FZ483" i="13"/>
  <c r="FP483" i="13"/>
  <c r="FM478" i="13"/>
  <c r="EY478" i="13"/>
  <c r="FU479" i="13"/>
  <c r="FM479" i="13"/>
  <c r="FD477" i="13"/>
  <c r="FZ489" i="13"/>
  <c r="FO491" i="13"/>
  <c r="EZ491" i="13"/>
  <c r="FW489" i="13"/>
  <c r="FR489" i="13"/>
  <c r="FT491" i="13"/>
  <c r="FS485" i="13"/>
  <c r="FU484" i="13"/>
  <c r="GA485" i="13"/>
  <c r="FE484" i="13"/>
  <c r="FL484" i="13"/>
  <c r="FA483" i="13"/>
  <c r="EX478" i="13"/>
  <c r="EZ477" i="13"/>
  <c r="FV477" i="13"/>
  <c r="FO479" i="13"/>
  <c r="FT477" i="13"/>
  <c r="FL490" i="13"/>
  <c r="FD490" i="13"/>
  <c r="FP491" i="13"/>
  <c r="GA491" i="13"/>
  <c r="FT490" i="13"/>
  <c r="FW491" i="13"/>
  <c r="FT485" i="13"/>
  <c r="FF483" i="13"/>
  <c r="FR485" i="13"/>
  <c r="FI483" i="13"/>
  <c r="EX485" i="13"/>
  <c r="FR483" i="13"/>
  <c r="FO478" i="13"/>
  <c r="FP477" i="13"/>
  <c r="FK479" i="13"/>
  <c r="FC477" i="13"/>
  <c r="FF478" i="13"/>
  <c r="EX491" i="13"/>
  <c r="FE490" i="13"/>
  <c r="FM489" i="13"/>
  <c r="FX489" i="13"/>
  <c r="FV491" i="13"/>
  <c r="FV490" i="13"/>
  <c r="FU485" i="13"/>
  <c r="FV483" i="13"/>
  <c r="FA484" i="13"/>
  <c r="FY483" i="13"/>
  <c r="FN485" i="13"/>
  <c r="FC483" i="13"/>
  <c r="EY477" i="13"/>
  <c r="FB478" i="13"/>
  <c r="FX477" i="13"/>
  <c r="FS477" i="13"/>
  <c r="FV478" i="13"/>
  <c r="FN491" i="13"/>
  <c r="FU490" i="13"/>
  <c r="EY490" i="13"/>
  <c r="FK490" i="13"/>
  <c r="FF490" i="13"/>
  <c r="FA489" i="13"/>
  <c r="FE483" i="13"/>
  <c r="FH484" i="13"/>
  <c r="FD485" i="13"/>
  <c r="FK484" i="13"/>
  <c r="EX484" i="13"/>
  <c r="FO477" i="13"/>
  <c r="FR478" i="13"/>
  <c r="GA478" i="13"/>
  <c r="FE478" i="13"/>
  <c r="FH479" i="13"/>
  <c r="FF491" i="13"/>
  <c r="FT489" i="13"/>
  <c r="FO490" i="13"/>
  <c r="EX489" i="13"/>
  <c r="FG490" i="13"/>
  <c r="FQ489" i="13"/>
  <c r="FU483" i="13"/>
  <c r="FX484" i="13"/>
  <c r="FC484" i="13"/>
  <c r="GA484" i="13"/>
  <c r="FQ485" i="13"/>
  <c r="EU491" i="13"/>
  <c r="EP489" i="13"/>
  <c r="ET483" i="13"/>
  <c r="ES483" i="13"/>
  <c r="EO478" i="13"/>
  <c r="EN477" i="13"/>
  <c r="ER490" i="13"/>
  <c r="EV484" i="13"/>
  <c r="EP491" i="13"/>
  <c r="ER478" i="13"/>
  <c r="ES491" i="13"/>
  <c r="EV491" i="13"/>
  <c r="EW489" i="13"/>
  <c r="EW485" i="13"/>
  <c r="EQ485" i="13"/>
  <c r="EP479" i="13"/>
  <c r="EN485" i="13"/>
  <c r="EV479" i="13"/>
  <c r="ER484" i="13"/>
  <c r="EN483" i="13"/>
  <c r="EW483" i="13"/>
  <c r="EE477" i="13"/>
  <c r="ET478" i="13"/>
  <c r="EQ479" i="13"/>
  <c r="EW479" i="13"/>
  <c r="EW478" i="13"/>
  <c r="ES478" i="13"/>
  <c r="EV485" i="13"/>
  <c r="EP490" i="13"/>
  <c r="EV489" i="13"/>
  <c r="EW491" i="13"/>
  <c r="EQ489" i="13"/>
  <c r="ER485" i="13"/>
  <c r="EO477" i="13"/>
  <c r="EN484" i="13"/>
  <c r="EQ478" i="13"/>
  <c r="ES489" i="13"/>
  <c r="ES477" i="13"/>
  <c r="ET484" i="13"/>
  <c r="EU489" i="13"/>
  <c r="EW477" i="13"/>
  <c r="ET477" i="13"/>
  <c r="ER479" i="13"/>
  <c r="EE484" i="13"/>
  <c r="ES490" i="13"/>
  <c r="EQ484" i="13"/>
  <c r="EN479" i="13"/>
  <c r="EN478" i="13"/>
  <c r="EN491" i="13"/>
  <c r="ER489" i="13"/>
  <c r="ET479" i="13"/>
  <c r="EV478" i="13"/>
  <c r="ET489" i="13"/>
  <c r="EE483" i="13"/>
  <c r="EU483" i="13"/>
  <c r="EO483" i="13"/>
  <c r="EE491" i="13"/>
  <c r="EU479" i="13"/>
  <c r="EU477" i="13"/>
  <c r="ES479" i="13"/>
  <c r="EV477" i="13"/>
  <c r="EO489" i="13"/>
  <c r="EV490" i="13"/>
  <c r="EP478" i="13"/>
  <c r="EE490" i="13"/>
  <c r="EU485" i="13"/>
  <c r="EO491" i="13"/>
  <c r="EQ477" i="13"/>
  <c r="EE485" i="13"/>
  <c r="EO479" i="13"/>
  <c r="ET491" i="13"/>
  <c r="EQ490" i="13"/>
  <c r="EP477" i="13"/>
  <c r="EQ483" i="13"/>
  <c r="ES485" i="13"/>
  <c r="EO485" i="13"/>
  <c r="ET490" i="13"/>
  <c r="EE479" i="13"/>
  <c r="ET485" i="13"/>
  <c r="EU478" i="13"/>
  <c r="ER477" i="13"/>
  <c r="EW490" i="13"/>
  <c r="EU490" i="13"/>
  <c r="EN490" i="13"/>
  <c r="EV483" i="13"/>
  <c r="EP483" i="13"/>
  <c r="ES484" i="13"/>
  <c r="EU484" i="13"/>
  <c r="EP485" i="13"/>
  <c r="EP484" i="13"/>
  <c r="EO490" i="13"/>
  <c r="ER483" i="13"/>
  <c r="ER491" i="13"/>
  <c r="EW484" i="13"/>
  <c r="EO484" i="13"/>
  <c r="EQ491" i="13"/>
  <c r="EN489" i="13"/>
  <c r="EE489" i="13"/>
  <c r="HV483" i="13" l="1"/>
  <c r="GK483" i="13"/>
  <c r="GH479" i="13"/>
  <c r="IA479" i="13"/>
  <c r="HY477" i="13"/>
  <c r="HV478" i="13"/>
  <c r="GO478" i="13"/>
  <c r="GW479" i="13"/>
  <c r="GO477" i="13"/>
  <c r="HI477" i="13"/>
  <c r="HH477" i="13"/>
  <c r="GV489" i="13"/>
  <c r="HJ490" i="13"/>
  <c r="GF483" i="13"/>
  <c r="HD489" i="13"/>
  <c r="GM489" i="13"/>
  <c r="II490" i="13"/>
  <c r="HT490" i="13"/>
  <c r="HY485" i="13"/>
  <c r="GC484" i="13"/>
  <c r="HU485" i="13"/>
  <c r="IH483" i="13"/>
  <c r="HW483" i="13"/>
  <c r="GF478" i="13"/>
  <c r="GI479" i="13"/>
  <c r="GL489" i="13"/>
  <c r="HP477" i="13"/>
  <c r="HF483" i="13"/>
  <c r="GK490" i="13"/>
  <c r="HM479" i="13"/>
  <c r="HD484" i="13"/>
  <c r="HZ478" i="13"/>
  <c r="HA485" i="13"/>
  <c r="HU483" i="13"/>
  <c r="HF478" i="13"/>
  <c r="IG477" i="13"/>
  <c r="GZ477" i="13"/>
  <c r="HA478" i="13"/>
  <c r="II479" i="13"/>
  <c r="GS477" i="13"/>
  <c r="IH479" i="13"/>
  <c r="IE490" i="13"/>
  <c r="ID490" i="13"/>
  <c r="GN484" i="13"/>
  <c r="IC490" i="13"/>
  <c r="GT490" i="13"/>
  <c r="II485" i="13"/>
  <c r="HC490" i="13"/>
  <c r="IF483" i="13"/>
  <c r="GS485" i="13"/>
  <c r="HE485" i="13"/>
  <c r="GL483" i="13"/>
  <c r="HS485" i="13"/>
  <c r="HH483" i="13"/>
  <c r="IC479" i="13"/>
  <c r="GP483" i="13"/>
  <c r="GK485" i="13"/>
  <c r="HV479" i="13"/>
  <c r="HU479" i="13"/>
  <c r="HE479" i="13"/>
  <c r="GB477" i="13"/>
  <c r="HO490" i="13"/>
  <c r="HN490" i="13"/>
  <c r="IA490" i="13"/>
  <c r="HM490" i="13"/>
  <c r="GN489" i="13"/>
  <c r="HK490" i="13"/>
  <c r="GD490" i="13"/>
  <c r="HS490" i="13"/>
  <c r="IC489" i="13"/>
  <c r="HU490" i="13"/>
  <c r="GN490" i="13"/>
  <c r="GY489" i="13"/>
  <c r="HE483" i="13"/>
  <c r="IB479" i="13"/>
  <c r="GO485" i="13"/>
  <c r="IC477" i="13"/>
  <c r="ID484" i="13"/>
  <c r="GU479" i="13"/>
  <c r="HI485" i="13"/>
  <c r="GK478" i="13"/>
  <c r="HX483" i="13"/>
  <c r="GP478" i="13"/>
  <c r="IA485" i="13"/>
  <c r="HQ477" i="13"/>
  <c r="HI478" i="13"/>
  <c r="HS479" i="13"/>
  <c r="GQ483" i="13"/>
  <c r="HK479" i="13"/>
  <c r="HR479" i="13"/>
  <c r="HM484" i="13"/>
  <c r="GO483" i="13"/>
  <c r="HL479" i="13"/>
  <c r="HA477" i="13"/>
  <c r="HO479" i="13"/>
  <c r="HF479" i="13"/>
  <c r="HD479" i="13"/>
  <c r="HC479" i="13"/>
  <c r="HB479" i="13"/>
  <c r="GX490" i="13"/>
  <c r="GW490" i="13"/>
  <c r="GJ477" i="13"/>
  <c r="HP483" i="13"/>
  <c r="GU490" i="13"/>
  <c r="HV489" i="13"/>
  <c r="HA490" i="13"/>
  <c r="HE490" i="13"/>
  <c r="GZ483" i="13"/>
  <c r="HA483" i="13"/>
  <c r="HU484" i="13"/>
  <c r="IH477" i="13"/>
  <c r="GM485" i="13"/>
  <c r="GU485" i="13"/>
  <c r="GG484" i="13"/>
  <c r="GV479" i="13"/>
  <c r="HW478" i="13"/>
  <c r="GM490" i="13"/>
  <c r="HR477" i="13"/>
  <c r="HD490" i="13"/>
  <c r="HT479" i="13"/>
  <c r="IG483" i="13"/>
  <c r="GY490" i="13"/>
  <c r="GK477" i="13"/>
  <c r="HW479" i="13"/>
  <c r="GP479" i="13"/>
  <c r="GN479" i="13"/>
  <c r="GL479" i="13"/>
  <c r="IG478" i="13"/>
  <c r="IH490" i="13"/>
  <c r="GI490" i="13"/>
  <c r="IG484" i="13"/>
  <c r="GH490" i="13"/>
  <c r="GG490" i="13"/>
  <c r="GE490" i="13"/>
  <c r="HF489" i="13"/>
  <c r="HP489" i="13"/>
  <c r="HV485" i="13"/>
  <c r="GO490" i="13"/>
  <c r="GJ483" i="13"/>
  <c r="HQ484" i="13"/>
  <c r="HL485" i="13"/>
  <c r="GF479" i="13"/>
  <c r="HG478" i="13"/>
  <c r="HB477" i="13"/>
  <c r="HG477" i="13"/>
  <c r="HG479" i="13"/>
  <c r="IH478" i="13"/>
  <c r="IF478" i="13"/>
  <c r="IE478" i="13"/>
  <c r="HW489" i="13"/>
  <c r="IB485" i="13"/>
  <c r="HU489" i="13"/>
  <c r="GP489" i="13"/>
  <c r="HI490" i="13"/>
  <c r="HB490" i="13"/>
  <c r="GZ489" i="13"/>
  <c r="IE484" i="13"/>
  <c r="HW485" i="13"/>
  <c r="GE479" i="13"/>
  <c r="IF489" i="13"/>
  <c r="GM479" i="13"/>
  <c r="HY483" i="13"/>
  <c r="HF485" i="13"/>
  <c r="HA484" i="13"/>
  <c r="HT485" i="13"/>
  <c r="HJ483" i="13"/>
  <c r="HQ483" i="13"/>
  <c r="ID478" i="13"/>
  <c r="GC485" i="13"/>
  <c r="HQ478" i="13"/>
  <c r="HQ485" i="13"/>
  <c r="HZ483" i="13"/>
  <c r="HY478" i="13"/>
  <c r="HW484" i="13"/>
  <c r="HN484" i="13"/>
  <c r="GC477" i="13"/>
  <c r="HC485" i="13"/>
  <c r="GO479" i="13"/>
  <c r="GH484" i="13"/>
  <c r="GX479" i="13"/>
  <c r="HJ485" i="13"/>
  <c r="IA489" i="13"/>
  <c r="GV485" i="13"/>
  <c r="GX484" i="13"/>
  <c r="GY479" i="13"/>
  <c r="GB483" i="13"/>
  <c r="HE484" i="13"/>
  <c r="HZ489" i="13"/>
  <c r="HX478" i="13"/>
  <c r="GR477" i="13"/>
  <c r="HG483" i="13"/>
  <c r="GR483" i="13"/>
  <c r="GT485" i="13"/>
  <c r="GE485" i="13"/>
  <c r="HY489" i="13"/>
  <c r="GQ478" i="13"/>
  <c r="GL477" i="13"/>
  <c r="GP477" i="13"/>
  <c r="GQ479" i="13"/>
  <c r="IG489" i="13"/>
  <c r="HR478" i="13"/>
  <c r="HP478" i="13"/>
  <c r="HO478" i="13"/>
  <c r="HN478" i="13"/>
  <c r="GW477" i="13"/>
  <c r="HO484" i="13"/>
  <c r="HM477" i="13"/>
  <c r="HK489" i="13"/>
  <c r="HJ489" i="13"/>
  <c r="HI489" i="13"/>
  <c r="IB490" i="13"/>
  <c r="HI483" i="13"/>
  <c r="HL490" i="13"/>
  <c r="HG489" i="13"/>
  <c r="GS490" i="13"/>
  <c r="GX489" i="13"/>
  <c r="GJ489" i="13"/>
  <c r="GB491" i="13"/>
  <c r="GG491" i="13"/>
  <c r="GI491" i="13"/>
  <c r="GL491" i="13"/>
  <c r="GR491" i="13"/>
  <c r="GQ491" i="13"/>
  <c r="GY491" i="13"/>
  <c r="HB491" i="13"/>
  <c r="HH491" i="13"/>
  <c r="GE491" i="13"/>
  <c r="HO491" i="13"/>
  <c r="HR491" i="13"/>
  <c r="HX491" i="13"/>
  <c r="GU491" i="13"/>
  <c r="IE491" i="13"/>
  <c r="IH491" i="13"/>
  <c r="GC491" i="13"/>
  <c r="HK491" i="13"/>
  <c r="GJ491" i="13"/>
  <c r="HU491" i="13"/>
  <c r="GS491" i="13"/>
  <c r="IA491" i="13"/>
  <c r="GZ491" i="13"/>
  <c r="GM491" i="13"/>
  <c r="HI491" i="13"/>
  <c r="HM491" i="13"/>
  <c r="HP491" i="13"/>
  <c r="HC491" i="13"/>
  <c r="HY491" i="13"/>
  <c r="GF491" i="13"/>
  <c r="IF491" i="13"/>
  <c r="HS491" i="13"/>
  <c r="GW491" i="13"/>
  <c r="GV491" i="13"/>
  <c r="HE491" i="13"/>
  <c r="II491" i="13"/>
  <c r="IC491" i="13"/>
  <c r="HL491" i="13"/>
  <c r="HF491" i="13"/>
  <c r="GN491" i="13"/>
  <c r="GP491" i="13"/>
  <c r="IB491" i="13"/>
  <c r="HG491" i="13"/>
  <c r="HD491" i="13"/>
  <c r="HV491" i="13"/>
  <c r="GH491" i="13"/>
  <c r="GK491" i="13"/>
  <c r="HT491" i="13"/>
  <c r="GD491" i="13"/>
  <c r="GX491" i="13"/>
  <c r="HA491" i="13"/>
  <c r="GT491" i="13"/>
  <c r="HN491" i="13"/>
  <c r="HQ491" i="13"/>
  <c r="HJ491" i="13"/>
  <c r="ID491" i="13"/>
  <c r="IG491" i="13"/>
  <c r="HZ491" i="13"/>
  <c r="HW491" i="13"/>
  <c r="GO491" i="13"/>
  <c r="EG474" i="13"/>
  <c r="EE474" i="13"/>
  <c r="EF474" i="13" l="1"/>
  <c r="EH474" i="13" s="1"/>
  <c r="IK483" i="13" a="1"/>
  <c r="IK483" i="13" s="1"/>
  <c r="IK479" i="13" a="1"/>
  <c r="IK479" i="13" s="1"/>
  <c r="IK485" i="13" a="1"/>
  <c r="IK485" i="13" s="1"/>
  <c r="IK478" i="13" a="1"/>
  <c r="IK478" i="13" s="1"/>
  <c r="IK484" i="13" a="1"/>
  <c r="IK484" i="13" s="1"/>
  <c r="IK477" i="13" a="1"/>
  <c r="IK477" i="13" s="1"/>
  <c r="IK490" i="13" a="1"/>
  <c r="IK490" i="13" s="1"/>
  <c r="IK489" i="13" a="1"/>
  <c r="IK489" i="13" s="1"/>
  <c r="IK491" i="13" a="1"/>
  <c r="IK491" i="13" s="1"/>
  <c r="IK474" i="13" l="1"/>
  <c r="AC493" i="13" l="1"/>
  <c r="N1" i="12" s="1"/>
  <c r="IL479" i="13" a="1"/>
  <c r="IL479" i="13" s="1"/>
  <c r="IL483" i="13" a="1"/>
  <c r="IL483" i="13" s="1"/>
  <c r="IL490" i="13" a="1"/>
  <c r="IL490" i="13" s="1"/>
  <c r="IL478" i="13" a="1"/>
  <c r="IL478" i="13" s="1"/>
  <c r="IL489" i="13" a="1"/>
  <c r="IL489" i="13" s="1"/>
  <c r="IL484" i="13" a="1"/>
  <c r="IL484" i="13" s="1"/>
  <c r="IL477" i="13" a="1"/>
  <c r="IL477" i="13" s="1"/>
  <c r="IL491" i="13" a="1"/>
  <c r="IL491" i="13" s="1"/>
  <c r="IL485" i="13" a="1"/>
  <c r="IL485" i="13" s="1"/>
  <c r="AD493" i="13" l="1"/>
  <c r="AC479" i="13" s="1"/>
  <c r="L104" i="20"/>
  <c r="K104" i="20"/>
  <c r="IL474" i="13"/>
  <c r="IM490" i="13" s="1"/>
  <c r="AC478" i="13" l="1"/>
  <c r="AC477" i="13"/>
  <c r="AC491" i="13"/>
  <c r="AC483" i="13"/>
  <c r="AC485" i="13"/>
  <c r="AC489" i="13"/>
  <c r="AC484" i="13"/>
  <c r="AC490" i="13"/>
  <c r="E25" i="6"/>
  <c r="IM484" i="13"/>
  <c r="IM485" i="13"/>
  <c r="IM478" i="13"/>
  <c r="IM491" i="13"/>
  <c r="IM489" i="13"/>
  <c r="IM479" i="13"/>
  <c r="IM483" i="13"/>
  <c r="IM477" i="13"/>
  <c r="AD491" i="13" l="1"/>
  <c r="AE491" i="13" s="1"/>
  <c r="AD490" i="13" s="1"/>
  <c r="AE490" i="13" s="1"/>
  <c r="AD489" i="13" s="1"/>
  <c r="AD485" i="13" s="1"/>
  <c r="AE485" i="13" s="1"/>
  <c r="IM474" i="13"/>
  <c r="IO474" i="13"/>
  <c r="IN474" i="13" l="1"/>
  <c r="IP474" i="13" s="1"/>
  <c r="A281" i="12" s="1"/>
  <c r="AD484" i="13"/>
  <c r="AE484" i="13" s="1"/>
  <c r="AD483" i="13" s="1"/>
  <c r="AE483" i="13" s="1"/>
  <c r="AE489" i="13"/>
  <c r="L1" i="12"/>
  <c r="E23" i="20" s="1"/>
  <c r="H23" i="20" s="1"/>
  <c r="H27" i="20" s="1"/>
  <c r="H29" i="20" s="1"/>
  <c r="A335" i="12"/>
  <c r="O335" i="12" s="1"/>
  <c r="A334" i="12"/>
  <c r="A336" i="12"/>
  <c r="H103" i="20" l="1"/>
  <c r="A260" i="12"/>
  <c r="A268" i="12"/>
  <c r="A264" i="12"/>
  <c r="A279" i="12"/>
  <c r="A263" i="12"/>
  <c r="A277" i="12"/>
  <c r="A262" i="12"/>
  <c r="A274" i="12"/>
  <c r="AO274" i="12" s="1"/>
  <c r="A272" i="12"/>
  <c r="A270" i="12"/>
  <c r="A265" i="12"/>
  <c r="A261" i="12"/>
  <c r="AD479" i="13"/>
  <c r="AE479" i="13" s="1"/>
  <c r="AD478" i="13" s="1"/>
  <c r="A493" i="12"/>
  <c r="AO493" i="12" s="1"/>
  <c r="AO336" i="12"/>
  <c r="O336" i="12"/>
  <c r="AO334" i="12"/>
  <c r="O334" i="12"/>
  <c r="AO335" i="12"/>
  <c r="F23" i="20"/>
  <c r="F27" i="20" s="1"/>
  <c r="F77" i="20" s="1" a="1"/>
  <c r="F77" i="20" s="1"/>
  <c r="H34" i="20"/>
  <c r="H100" i="20"/>
  <c r="H77" i="20" a="1"/>
  <c r="H77" i="20" s="1"/>
  <c r="H76" i="20" a="1"/>
  <c r="H76" i="20" s="1"/>
  <c r="G23" i="20"/>
  <c r="G27" i="20" s="1"/>
  <c r="G76" i="20" s="1" a="1"/>
  <c r="G76" i="20" s="1"/>
  <c r="H75" i="20" a="1"/>
  <c r="H75" i="20" s="1"/>
  <c r="H78" i="20" s="1"/>
  <c r="H94" i="20" s="1"/>
  <c r="H80" i="20" a="1"/>
  <c r="H80" i="20" s="1"/>
  <c r="H35" i="20"/>
  <c r="H79" i="20"/>
  <c r="H98" i="20"/>
  <c r="E27" i="20"/>
  <c r="E35" i="20" s="1"/>
  <c r="H99" i="20"/>
  <c r="H102" i="20"/>
  <c r="H101" i="20"/>
  <c r="H33" i="20"/>
  <c r="H81" i="20" l="1" a="1"/>
  <c r="H81" i="20" s="1"/>
  <c r="H95" i="20" s="1"/>
  <c r="A410" i="12"/>
  <c r="AE478" i="13"/>
  <c r="AD477" i="13" s="1"/>
  <c r="AE477" i="13" s="1"/>
  <c r="O274" i="12"/>
  <c r="O493" i="12"/>
  <c r="O272" i="12"/>
  <c r="AO272" i="12"/>
  <c r="AO281" i="12"/>
  <c r="O281" i="12"/>
  <c r="AO268" i="12"/>
  <c r="O268" i="12"/>
  <c r="AO263" i="12"/>
  <c r="O263" i="12"/>
  <c r="O261" i="12"/>
  <c r="AO261" i="12"/>
  <c r="AO279" i="12"/>
  <c r="O279" i="12"/>
  <c r="AO265" i="12"/>
  <c r="O265" i="12"/>
  <c r="O262" i="12"/>
  <c r="AO262" i="12"/>
  <c r="AO277" i="12"/>
  <c r="O277" i="12"/>
  <c r="AO264" i="12"/>
  <c r="O264" i="12"/>
  <c r="AO270" i="12"/>
  <c r="O270" i="12"/>
  <c r="AO260" i="12"/>
  <c r="O260" i="12"/>
  <c r="E9" i="20"/>
  <c r="H9" i="20" s="1"/>
  <c r="H11" i="20" s="1"/>
  <c r="H13" i="20" s="1"/>
  <c r="A369" i="12"/>
  <c r="F35" i="20"/>
  <c r="F29" i="20"/>
  <c r="F76" i="20" a="1"/>
  <c r="F76" i="20" s="1"/>
  <c r="F80" i="20" a="1"/>
  <c r="F80" i="20" s="1"/>
  <c r="H31" i="20"/>
  <c r="G35" i="20"/>
  <c r="H45" i="20"/>
  <c r="H48" i="20" s="1"/>
  <c r="E80" i="20" a="1"/>
  <c r="E80" i="20" s="1"/>
  <c r="G29" i="20"/>
  <c r="E29" i="20"/>
  <c r="H85" i="20"/>
  <c r="H89" i="20" s="1"/>
  <c r="E76" i="20" a="1"/>
  <c r="E76" i="20" s="1"/>
  <c r="E77" i="20" a="1"/>
  <c r="E77" i="20" s="1"/>
  <c r="G80" i="20" a="1"/>
  <c r="G80" i="20" s="1"/>
  <c r="G77" i="20" a="1"/>
  <c r="G77" i="20" s="1"/>
  <c r="H82" i="20" l="1" a="1"/>
  <c r="H82" i="20" s="1"/>
  <c r="H96" i="20" s="1"/>
  <c r="G79" i="20"/>
  <c r="E75" i="20" a="1"/>
  <c r="E75" i="20" s="1"/>
  <c r="E78" i="20" s="1"/>
  <c r="E94" i="20" s="1"/>
  <c r="F101" i="20"/>
  <c r="O410" i="12"/>
  <c r="AO410" i="12"/>
  <c r="O369" i="12"/>
  <c r="AO369" i="12"/>
  <c r="F9" i="20"/>
  <c r="F11" i="20" s="1"/>
  <c r="F13" i="20" s="1"/>
  <c r="F15" i="20" s="1"/>
  <c r="F17" i="20" s="1"/>
  <c r="F39" i="20" s="1"/>
  <c r="E11" i="20"/>
  <c r="E13" i="20" s="1"/>
  <c r="E15" i="20" s="1"/>
  <c r="E17" i="20" s="1"/>
  <c r="E39" i="20" s="1"/>
  <c r="G9" i="20"/>
  <c r="G11" i="20" s="1"/>
  <c r="G13" i="20" s="1"/>
  <c r="G15" i="20" s="1"/>
  <c r="G17" i="20" s="1"/>
  <c r="G39" i="20" s="1"/>
  <c r="F100" i="20"/>
  <c r="F34" i="20"/>
  <c r="F102" i="20"/>
  <c r="F99" i="20"/>
  <c r="F98" i="20"/>
  <c r="F79" i="20"/>
  <c r="F103" i="20"/>
  <c r="F75" i="20" a="1"/>
  <c r="F75" i="20" s="1"/>
  <c r="F78" i="20" s="1"/>
  <c r="F33" i="20"/>
  <c r="H47" i="20"/>
  <c r="H43" i="20"/>
  <c r="G33" i="20"/>
  <c r="G75" i="20" a="1"/>
  <c r="G75" i="20" s="1"/>
  <c r="G78" i="20" s="1"/>
  <c r="G45" i="20" s="1"/>
  <c r="G48" i="20" s="1"/>
  <c r="G103" i="20"/>
  <c r="G101" i="20"/>
  <c r="G100" i="20"/>
  <c r="G98" i="20"/>
  <c r="G102" i="20"/>
  <c r="E101" i="20"/>
  <c r="G99" i="20"/>
  <c r="E102" i="20"/>
  <c r="E100" i="20"/>
  <c r="E99" i="20"/>
  <c r="E98" i="20"/>
  <c r="G34" i="20"/>
  <c r="E79" i="20"/>
  <c r="E34" i="20"/>
  <c r="E33" i="20"/>
  <c r="E103" i="20"/>
  <c r="H15" i="20"/>
  <c r="H17" i="20" s="1"/>
  <c r="H39" i="20" s="1"/>
  <c r="H41" i="20"/>
  <c r="H83" i="20" l="1" a="1"/>
  <c r="H83" i="20" s="1"/>
  <c r="E81" i="20" a="1"/>
  <c r="E81" i="20" s="1"/>
  <c r="E95" i="20" s="1"/>
  <c r="E45" i="20"/>
  <c r="E48" i="20" s="1"/>
  <c r="G41" i="20"/>
  <c r="F41" i="20"/>
  <c r="E41" i="20"/>
  <c r="F45" i="20"/>
  <c r="F48" i="20" s="1"/>
  <c r="F31" i="20"/>
  <c r="F94" i="20"/>
  <c r="F85" i="20"/>
  <c r="F89" i="20" s="1"/>
  <c r="G31" i="20"/>
  <c r="E31" i="20"/>
  <c r="E85" i="20"/>
  <c r="E89" i="20" s="1"/>
  <c r="G85" i="20"/>
  <c r="G89" i="20" s="1"/>
  <c r="G94" i="20"/>
  <c r="G81" i="20" s="1" a="1"/>
  <c r="G81" i="20" s="1"/>
  <c r="G47" i="20"/>
  <c r="H97" i="20" l="1"/>
  <c r="H88" i="20"/>
  <c r="H91" i="20" s="1"/>
  <c r="H92" i="20" s="1"/>
  <c r="H104" i="20"/>
  <c r="E47" i="20"/>
  <c r="E82" i="20" a="1"/>
  <c r="E82" i="20" s="1"/>
  <c r="E96" i="20" s="1"/>
  <c r="E83" i="20" s="1" a="1"/>
  <c r="E83" i="20" s="1"/>
  <c r="F81" i="20" a="1"/>
  <c r="F81" i="20" s="1"/>
  <c r="F95" i="20" s="1"/>
  <c r="E43" i="20"/>
  <c r="G95" i="20"/>
  <c r="F47" i="20"/>
  <c r="F43" i="20"/>
  <c r="G43" i="20"/>
  <c r="F82" i="20" l="1" a="1"/>
  <c r="F82" i="20" s="1"/>
  <c r="F96" i="20" s="1"/>
  <c r="F83" i="20" s="1" a="1"/>
  <c r="F83" i="20" s="1"/>
  <c r="E104" i="20"/>
  <c r="A365" i="12" s="1"/>
  <c r="AO365" i="12" s="1"/>
  <c r="E97" i="20"/>
  <c r="E88" i="20"/>
  <c r="E91" i="20" s="1"/>
  <c r="E92" i="20" s="1"/>
  <c r="G82" i="20" a="1"/>
  <c r="G82" i="20" s="1"/>
  <c r="G96" i="20" s="1"/>
  <c r="O365" i="12" l="1"/>
  <c r="F104" i="20"/>
  <c r="A366" i="12" s="1"/>
  <c r="F97" i="20"/>
  <c r="F88" i="20"/>
  <c r="F91" i="20" s="1"/>
  <c r="F92" i="20" s="1"/>
  <c r="G83" i="20" a="1"/>
  <c r="G83" i="20" s="1"/>
  <c r="G104" i="20" s="1"/>
  <c r="A367" i="12" l="1"/>
  <c r="A395" i="12" s="1"/>
  <c r="A368" i="12"/>
  <c r="AO368" i="12" s="1"/>
  <c r="G88" i="20"/>
  <c r="G91" i="20" s="1"/>
  <c r="G92" i="20" s="1"/>
  <c r="G97" i="20"/>
  <c r="AO366" i="12"/>
  <c r="O366" i="12"/>
  <c r="F556" i="12"/>
  <c r="L556" i="12" s="1"/>
  <c r="O367" i="12" l="1"/>
  <c r="AO367" i="12"/>
  <c r="O368" i="12"/>
  <c r="AO395" i="12"/>
  <c r="O395" i="12"/>
  <c r="A555" i="12"/>
  <c r="I555" i="12" s="1"/>
  <c r="A549" i="12"/>
  <c r="O549" i="12" s="1"/>
  <c r="D556" i="12"/>
  <c r="J556" i="12" s="1"/>
  <c r="H555" i="12" l="1"/>
  <c r="E555" i="12" s="1"/>
  <c r="AO555" i="12"/>
  <c r="O555" i="12"/>
  <c r="AO549" i="12"/>
  <c r="J543" i="12" l="1"/>
  <c r="F543" i="12"/>
  <c r="G543" i="12" l="1"/>
  <c r="F555" i="12"/>
  <c r="L543" i="12"/>
  <c r="G555" i="12" l="1"/>
  <c r="L555" i="12"/>
  <c r="D555" i="12" l="1"/>
  <c r="J555" i="12" l="1"/>
  <c r="D95" i="20"/>
  <c r="D82" i="20" l="1" a="1"/>
  <c r="D82" i="20" s="1"/>
  <c r="D96" i="20"/>
  <c r="D83" i="20" s="1" a="1"/>
  <c r="D83" i="20" s="1"/>
  <c r="D88" i="20" l="1"/>
  <c r="D91" i="20" s="1"/>
  <c r="D92" i="20" s="1"/>
  <c r="D84" i="20" s="1" a="1"/>
  <c r="D84" i="20" s="1"/>
  <c r="D102" i="20" s="1"/>
  <c r="D33" i="20"/>
  <c r="D31" i="20" s="1"/>
  <c r="D97" i="20"/>
  <c r="D45" i="20" l="1"/>
  <c r="D47" i="20"/>
  <c r="A389" i="12" l="1"/>
  <c r="A377" i="12"/>
  <c r="A390" i="12"/>
  <c r="A385" i="12"/>
  <c r="A387" i="12"/>
  <c r="A391" i="12"/>
  <c r="A386" i="12"/>
  <c r="A375" i="12"/>
  <c r="A380" i="12"/>
  <c r="A378" i="12"/>
  <c r="A388" i="12"/>
  <c r="A383" i="12"/>
  <c r="A379" i="12"/>
  <c r="D43" i="20"/>
  <c r="A376" i="12"/>
  <c r="A381" i="12"/>
  <c r="A384" i="12"/>
  <c r="D48" i="20"/>
  <c r="O381" i="12" l="1"/>
  <c r="AO381" i="12"/>
  <c r="AO376" i="12"/>
  <c r="O376" i="12"/>
  <c r="AO379" i="12"/>
  <c r="O379" i="12"/>
  <c r="O383" i="12"/>
  <c r="AO383" i="12"/>
  <c r="AO388" i="12"/>
  <c r="O388" i="12"/>
  <c r="O378" i="12"/>
  <c r="AO378" i="12"/>
  <c r="AO380" i="12"/>
  <c r="O380" i="12"/>
  <c r="AO375" i="12"/>
  <c r="A539" i="12"/>
  <c r="A2" i="12" s="1" a="1"/>
  <c r="A2" i="12" s="1"/>
  <c r="A554" i="12" s="1"/>
  <c r="B36" i="2" s="1" a="1"/>
  <c r="B36" i="2" s="1"/>
  <c r="O375" i="12"/>
  <c r="AO386" i="12"/>
  <c r="O386" i="12"/>
  <c r="AO391" i="12"/>
  <c r="O391" i="12"/>
  <c r="O387" i="12"/>
  <c r="AO387" i="12"/>
  <c r="O385" i="12"/>
  <c r="AO385" i="12"/>
  <c r="AO390" i="12"/>
  <c r="O390" i="12"/>
  <c r="O377" i="12"/>
  <c r="AO377" i="12"/>
  <c r="AO384" i="12"/>
  <c r="O384" i="12"/>
  <c r="AO389" i="12"/>
  <c r="O389" i="12"/>
  <c r="B22" i="2" l="1" a="1"/>
  <c r="B22" i="2" s="1"/>
  <c r="F554" i="12"/>
  <c r="O554" i="12"/>
  <c r="AO554" i="12"/>
  <c r="I554" i="12"/>
  <c r="H554" i="12"/>
  <c r="B21" i="2" a="1"/>
  <c r="B21" i="2" s="1"/>
  <c r="B57" i="2" a="1"/>
  <c r="B57" i="2" s="1"/>
  <c r="B24" i="2" a="1"/>
  <c r="B24" i="2" s="1"/>
  <c r="B25" i="2" a="1"/>
  <c r="B25" i="2" s="1"/>
  <c r="B20" i="2" a="1"/>
  <c r="B20" i="2" s="1"/>
  <c r="B54" i="2" a="1"/>
  <c r="B54" i="2" s="1"/>
  <c r="B43" i="2" a="1"/>
  <c r="B43" i="2" s="1"/>
  <c r="B31" i="2" a="1"/>
  <c r="B31" i="2" s="1"/>
  <c r="B52" i="2" a="1"/>
  <c r="B52" i="2" s="1"/>
  <c r="B42" i="2" a="1"/>
  <c r="B42" i="2" s="1"/>
  <c r="B47" i="2" a="1"/>
  <c r="B47" i="2" s="1"/>
  <c r="B34" i="2" a="1"/>
  <c r="B34" i="2" s="1"/>
  <c r="B53" i="2" a="1"/>
  <c r="B53" i="2" s="1"/>
  <c r="B39" i="2" a="1"/>
  <c r="B39" i="2" s="1"/>
  <c r="B41" i="2" a="1"/>
  <c r="B41" i="2" s="1"/>
  <c r="B56" i="2" a="1"/>
  <c r="B56" i="2" s="1"/>
  <c r="B40" i="2" a="1"/>
  <c r="B40" i="2" s="1"/>
  <c r="H539" i="12"/>
  <c r="B58" i="2" a="1"/>
  <c r="B58" i="2" s="1"/>
  <c r="B44" i="2" a="1"/>
  <c r="B44" i="2" s="1"/>
  <c r="G539" i="12"/>
  <c r="G554" i="12" s="1"/>
  <c r="B29" i="2" a="1"/>
  <c r="B29" i="2" s="1"/>
  <c r="B51" i="2" a="1"/>
  <c r="B51" i="2" s="1"/>
  <c r="O539" i="12"/>
  <c r="C58" i="2" s="1" a="1"/>
  <c r="C58" i="2" s="1"/>
  <c r="K58" i="2" s="1"/>
  <c r="B32" i="2" a="1"/>
  <c r="B32" i="2" s="1"/>
  <c r="B26" i="2" a="1"/>
  <c r="B26" i="2" s="1"/>
  <c r="AO539" i="12"/>
  <c r="B35" i="2" a="1"/>
  <c r="B35" i="2" s="1"/>
  <c r="B49" i="2" a="1"/>
  <c r="B49" i="2" s="1"/>
  <c r="F539" i="12"/>
  <c r="B55" i="2" a="1"/>
  <c r="B55" i="2" s="1"/>
  <c r="B50" i="2" a="1"/>
  <c r="B50" i="2" s="1"/>
  <c r="I539" i="12"/>
  <c r="B30" i="2" a="1"/>
  <c r="B30" i="2" s="1"/>
  <c r="B46" i="2" a="1"/>
  <c r="B46" i="2" s="1"/>
  <c r="B27" i="2" a="1"/>
  <c r="B27" i="2" s="1"/>
  <c r="B45" i="2" a="1"/>
  <c r="B45" i="2" s="1"/>
  <c r="B23" i="2" a="1"/>
  <c r="B23" i="2" s="1"/>
  <c r="B38" i="2" a="1"/>
  <c r="B38" i="2" s="1"/>
  <c r="B33" i="2" a="1"/>
  <c r="B33" i="2" s="1"/>
  <c r="B28" i="2" a="1"/>
  <c r="B28" i="2" s="1"/>
  <c r="B37" i="2" a="1"/>
  <c r="B37" i="2" s="1"/>
  <c r="B48" i="2" a="1"/>
  <c r="B48" i="2" s="1"/>
  <c r="L58" i="2" l="1"/>
  <c r="D539" i="12"/>
  <c r="C51" i="2" a="1"/>
  <c r="C51" i="2" s="1"/>
  <c r="K51" i="2" s="1"/>
  <c r="L51" i="2" s="1"/>
  <c r="C37" i="2" a="1"/>
  <c r="C37" i="2" s="1"/>
  <c r="K37" i="2" s="1"/>
  <c r="L37" i="2" s="1"/>
  <c r="C29" i="2" a="1"/>
  <c r="C29" i="2" s="1"/>
  <c r="C54" i="2" a="1"/>
  <c r="C54" i="2" s="1"/>
  <c r="K54" i="2" s="1"/>
  <c r="L54" i="2" s="1"/>
  <c r="L554" i="12"/>
  <c r="E554" i="12"/>
  <c r="C32" i="2" a="1"/>
  <c r="C32" i="2" s="1"/>
  <c r="K32" i="2" s="1"/>
  <c r="L32" i="2" s="1"/>
  <c r="C52" i="2" a="1"/>
  <c r="C52" i="2" s="1"/>
  <c r="K52" i="2" s="1"/>
  <c r="L52" i="2" s="1"/>
  <c r="C38" i="2" a="1"/>
  <c r="C38" i="2" s="1"/>
  <c r="K38" i="2" s="1"/>
  <c r="L38" i="2" s="1"/>
  <c r="C42" i="2" a="1"/>
  <c r="C42" i="2" s="1"/>
  <c r="K42" i="2" s="1"/>
  <c r="L42" i="2" s="1"/>
  <c r="C31" i="2" a="1"/>
  <c r="C31" i="2" s="1"/>
  <c r="C27" i="2" a="1"/>
  <c r="C27" i="2" s="1"/>
  <c r="K27" i="2" s="1"/>
  <c r="L27" i="2" s="1"/>
  <c r="C57" i="2" a="1"/>
  <c r="C57" i="2" s="1"/>
  <c r="K57" i="2" s="1"/>
  <c r="L57" i="2" s="1"/>
  <c r="C56" i="2" a="1"/>
  <c r="C56" i="2" s="1"/>
  <c r="K56" i="2" s="1"/>
  <c r="L56" i="2" s="1"/>
  <c r="C28" i="2" a="1"/>
  <c r="C28" i="2" s="1"/>
  <c r="K28" i="2" s="1"/>
  <c r="L28" i="2" s="1"/>
  <c r="C41" i="2" a="1"/>
  <c r="C41" i="2" s="1"/>
  <c r="K41" i="2" s="1"/>
  <c r="L41" i="2" s="1"/>
  <c r="C40" i="2" a="1"/>
  <c r="C40" i="2" s="1"/>
  <c r="K40" i="2" s="1"/>
  <c r="L40" i="2" s="1"/>
  <c r="C39" i="2" a="1"/>
  <c r="C39" i="2" s="1"/>
  <c r="K39" i="2" s="1"/>
  <c r="L39" i="2" s="1"/>
  <c r="C46" i="2" a="1"/>
  <c r="C46" i="2" s="1"/>
  <c r="K46" i="2" s="1"/>
  <c r="L46" i="2" s="1"/>
  <c r="C47" i="2" a="1"/>
  <c r="C47" i="2" s="1"/>
  <c r="K47" i="2" s="1"/>
  <c r="L47" i="2" s="1"/>
  <c r="C44" i="2" a="1"/>
  <c r="C44" i="2" s="1"/>
  <c r="K44" i="2" s="1"/>
  <c r="L44" i="2" s="1"/>
  <c r="C43" i="2" a="1"/>
  <c r="C43" i="2" s="1"/>
  <c r="K43" i="2" s="1"/>
  <c r="L43" i="2" s="1"/>
  <c r="C45" i="2" a="1"/>
  <c r="C45" i="2" s="1"/>
  <c r="K45" i="2" s="1"/>
  <c r="L45" i="2" s="1"/>
  <c r="C35" i="2" a="1"/>
  <c r="C35" i="2" s="1"/>
  <c r="K35" i="2" s="1"/>
  <c r="L35" i="2" s="1"/>
  <c r="C48" i="2" a="1"/>
  <c r="C48" i="2" s="1"/>
  <c r="K48" i="2" s="1"/>
  <c r="L48" i="2" s="1"/>
  <c r="C53" i="2" a="1"/>
  <c r="C53" i="2" s="1"/>
  <c r="K53" i="2" s="1"/>
  <c r="L53" i="2" s="1"/>
  <c r="C21" i="2" a="1"/>
  <c r="C21" i="2" s="1"/>
  <c r="K21" i="2" s="1"/>
  <c r="C33" i="2" a="1"/>
  <c r="C33" i="2" s="1"/>
  <c r="C20" i="2" a="1"/>
  <c r="C20" i="2" s="1"/>
  <c r="C23" i="2" a="1"/>
  <c r="C23" i="2" s="1"/>
  <c r="K23" i="2" s="1"/>
  <c r="L23" i="2" s="1"/>
  <c r="C24" i="2" a="1"/>
  <c r="C24" i="2" s="1"/>
  <c r="K24" i="2" s="1"/>
  <c r="L24" i="2" s="1"/>
  <c r="C36" i="2" a="1"/>
  <c r="C36" i="2" s="1"/>
  <c r="K36" i="2" s="1"/>
  <c r="L36" i="2" s="1"/>
  <c r="C22" i="2" a="1"/>
  <c r="C22" i="2" s="1"/>
  <c r="K22" i="2" s="1"/>
  <c r="L22" i="2" s="1"/>
  <c r="C25" i="2" a="1"/>
  <c r="C25" i="2" s="1"/>
  <c r="C26" i="2" a="1"/>
  <c r="C26" i="2" s="1"/>
  <c r="C49" i="2" a="1"/>
  <c r="C49" i="2" s="1"/>
  <c r="K49" i="2" s="1"/>
  <c r="L49" i="2" s="1"/>
  <c r="C50" i="2" a="1"/>
  <c r="C50" i="2" s="1"/>
  <c r="K50" i="2" s="1"/>
  <c r="L50" i="2" s="1"/>
  <c r="D554" i="12"/>
  <c r="J554" i="12" s="1"/>
  <c r="E539" i="12"/>
  <c r="J539" i="12" s="1"/>
  <c r="L539" i="12"/>
  <c r="C34" i="2" a="1"/>
  <c r="C34" i="2" s="1"/>
  <c r="K34" i="2" s="1"/>
  <c r="L34" i="2" s="1"/>
  <c r="C30" i="2" a="1"/>
  <c r="C30" i="2" s="1"/>
  <c r="K30" i="2" s="1"/>
  <c r="L30" i="2" s="1"/>
  <c r="C55" i="2" a="1"/>
  <c r="C55" i="2" s="1"/>
  <c r="K55" i="2" s="1"/>
  <c r="L55" i="2" s="1"/>
  <c r="K33" i="2" l="1"/>
  <c r="L33" i="2" s="1"/>
  <c r="K31" i="2"/>
  <c r="L31" i="2" s="1"/>
  <c r="K25" i="2"/>
  <c r="L25" i="2" s="1"/>
  <c r="K29" i="2"/>
  <c r="L29" i="2" s="1"/>
  <c r="K26" i="2"/>
  <c r="L26" i="2" s="1"/>
  <c r="L21" i="2"/>
  <c r="K20" i="2"/>
  <c r="L20" i="2" s="1"/>
  <c r="T14" i="2"/>
  <c r="L68" i="2" l="1"/>
  <c r="L69" i="2" s="1"/>
  <c r="L70" i="2" s="1"/>
  <c r="L71" i="2" s="1"/>
  <c r="O5" i="2" s="1"/>
  <c r="L72" i="2" l="1"/>
  <c r="D39" i="6" s="1"/>
  <c r="C5" i="6"/>
  <c r="R6" i="2"/>
  <c r="T16" i="2" s="1"/>
  <c r="R16" i="2" l="1"/>
  <c r="R14" i="2" s="1"/>
  <c r="R1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ROOTS</author>
  </authors>
  <commentList>
    <comment ref="B43" authorId="0" shapeId="0" xr:uid="{1B116716-ADAD-7044-9C9F-E874B9AD907F}">
      <text>
        <r>
          <rPr>
            <b/>
            <sz val="12"/>
            <color rgb="FF000000"/>
            <rFont val="Tahoma"/>
            <family val="2"/>
          </rPr>
          <t>TABLE: 54.7 IEE WIRING REGULATION</t>
        </r>
      </text>
    </comment>
    <comment ref="B51" authorId="0" shapeId="0" xr:uid="{7E396F43-A367-4D4B-BDFA-4B3EBC9FEFE1}">
      <text>
        <r>
          <rPr>
            <b/>
            <sz val="12"/>
            <color rgb="FF000000"/>
            <rFont val="Tahoma"/>
            <family val="2"/>
          </rPr>
          <t xml:space="preserve">70 deg Thermoplastic Insulated Cable (4D1, 4D2, 4D3, 4D4, 4D5)
</t>
        </r>
        <r>
          <rPr>
            <b/>
            <sz val="12"/>
            <color rgb="FF000000"/>
            <rFont val="Tahoma"/>
            <family val="2"/>
          </rPr>
          <t xml:space="preserve">90 deg Thermosetting Insulated Cable (4E1, 4E2, 4E3, 4E4)
</t>
        </r>
        <r>
          <rPr>
            <b/>
            <sz val="12"/>
            <color rgb="FF000000"/>
            <rFont val="Tahoma"/>
            <family val="2"/>
          </rPr>
          <t xml:space="preserve">Flexible Cable (4F1, 4F2, 4F3)
</t>
        </r>
        <r>
          <rPr>
            <b/>
            <sz val="12"/>
            <color rgb="FF000000"/>
            <rFont val="Tahoma"/>
            <family val="2"/>
          </rPr>
          <t xml:space="preserve">Mineral Insulated Cable (4G1, 4G2)
</t>
        </r>
        <r>
          <rPr>
            <b/>
            <sz val="12"/>
            <color rgb="FF000000"/>
            <rFont val="Tahoma"/>
            <family val="2"/>
          </rPr>
          <t xml:space="preserve">70 deg Thermoplastic Insulated Cable (4H1, 4H2, 4H3, 4H4)
</t>
        </r>
        <r>
          <rPr>
            <b/>
            <sz val="12"/>
            <color rgb="FF000000"/>
            <rFont val="Tahoma"/>
            <family val="2"/>
          </rPr>
          <t>90 deg Thermosetting Insulated Cable (4J1, 4J2, 4J3, 4J4)</t>
        </r>
      </text>
    </comment>
    <comment ref="N106" authorId="0" shapeId="0" xr:uid="{FD66E4EB-639D-CF42-B7A8-421C7E6E4281}">
      <text>
        <r>
          <rPr>
            <b/>
            <sz val="12"/>
            <color rgb="FF000000"/>
            <rFont val="Times New Roman"/>
            <family val="1"/>
          </rPr>
          <t>Enclosed in Conduit in Thermally insulating wall</t>
        </r>
      </text>
    </comment>
    <comment ref="O106" authorId="0" shapeId="0" xr:uid="{A7534D63-1FA8-614A-B72A-BE47DD7EE90D}">
      <text>
        <r>
          <rPr>
            <b/>
            <sz val="12"/>
            <color rgb="FF000000"/>
            <rFont val="Times New Roman"/>
            <family val="1"/>
          </rPr>
          <t>Enclosed in Conduit or trunking on or in a wall</t>
        </r>
      </text>
    </comment>
    <comment ref="P106" authorId="0" shapeId="0" xr:uid="{4D8CD7AE-CF94-1447-B7EB-CEF7F82F050B}">
      <text>
        <r>
          <rPr>
            <b/>
            <sz val="12"/>
            <color rgb="FF000000"/>
            <rFont val="Times New Roman"/>
            <family val="1"/>
          </rPr>
          <t>Clipped Direct on Surface or masonry (without conduit or trunking)</t>
        </r>
      </text>
    </comment>
    <comment ref="Q106" authorId="0" shapeId="0" xr:uid="{EA29B62D-9F66-1240-8A42-AF41A3771074}">
      <text>
        <r>
          <rPr>
            <b/>
            <sz val="12"/>
            <color rgb="FF000000"/>
            <rFont val="Times New Roman"/>
            <family val="1"/>
          </rPr>
          <t>Direct in Ground, or in ducting in Ground, in or around building</t>
        </r>
      </text>
    </comment>
    <comment ref="R106" authorId="0" shapeId="0" xr:uid="{8E33BFB5-1442-3A4C-AE27-FEB7F7824D01}">
      <text>
        <r>
          <rPr>
            <b/>
            <sz val="12"/>
            <color rgb="FF000000"/>
            <rFont val="Times New Roman"/>
            <family val="1"/>
          </rPr>
          <t>In free air or on a perforated cable tray, Horizontal or Vertical</t>
        </r>
      </text>
    </comment>
    <comment ref="S106" authorId="0" shapeId="0" xr:uid="{3B26BB97-4CE4-394D-A5B2-2EED5BEF0766}">
      <text>
        <r>
          <rPr>
            <b/>
            <sz val="12"/>
            <color indexed="81"/>
            <rFont val="Times New Roman"/>
            <family val="1"/>
          </rPr>
          <t>In free air or on a perforated cable tray, Horizontal or Vertical</t>
        </r>
      </text>
    </comment>
    <comment ref="T106" authorId="0" shapeId="0" xr:uid="{5F77EC20-437F-F143-8A17-892952284496}">
      <text>
        <r>
          <rPr>
            <b/>
            <sz val="12"/>
            <color indexed="81"/>
            <rFont val="Times New Roman"/>
            <family val="1"/>
          </rPr>
          <t>In free air</t>
        </r>
      </text>
    </comment>
    <comment ref="U106" authorId="0" shapeId="0" xr:uid="{7926F4D0-240C-A549-BB56-1A8D20051A85}">
      <text>
        <r>
          <rPr>
            <b/>
            <sz val="12"/>
            <color rgb="FF000000"/>
            <rFont val="Times New Roman"/>
            <family val="1"/>
          </rPr>
          <t>Flat twin and earth cable clipped direct to a wooden joist, or touching the plasterboard ceiling surface, above a plasterboard ceiling with thermal insulation =&lt;100mm thickness</t>
        </r>
      </text>
    </comment>
    <comment ref="V106" authorId="0" shapeId="0" xr:uid="{2AEB6554-29A1-2C4B-80A3-3FF23D8EB462}">
      <text>
        <r>
          <rPr>
            <b/>
            <sz val="12"/>
            <color rgb="FF000000"/>
            <rFont val="Times New Roman"/>
            <family val="1"/>
          </rPr>
          <t>Flat twin and earth cable clipped direct to a wooden joist, or touching the plasterboard ceiling surface, above a plasterboard ceiling with thermal insulation &gt;100mm thickness</t>
        </r>
      </text>
    </comment>
    <comment ref="W106" authorId="0" shapeId="0" xr:uid="{0429CCBC-6211-4B49-8F76-B4A50C2FEC0B}">
      <text>
        <r>
          <rPr>
            <b/>
            <sz val="12"/>
            <color rgb="FF000000"/>
            <rFont val="Times New Roman"/>
            <family val="1"/>
          </rPr>
          <t>Flat twin and earth cable in a stud wall with thermal insulation, touching the inner wall surface, or touching the plasterboard ceiling surface, above a plasterboard ceiling</t>
        </r>
      </text>
    </comment>
    <comment ref="X106" authorId="0" shapeId="0" xr:uid="{EF8B6C84-CEC8-974F-8DE4-28AB2B023D4B}">
      <text>
        <r>
          <rPr>
            <b/>
            <sz val="12"/>
            <color indexed="81"/>
            <rFont val="Times New Roman"/>
            <family val="1"/>
          </rPr>
          <t>Flat twin and earth cable in a stud wall with thermal insulation, and not touching the inner wall surface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<sst xmlns="http://schemas.openxmlformats.org/spreadsheetml/2006/main" count="5361" uniqueCount="2848">
  <si>
    <r>
      <t xml:space="preserve">T </t>
    </r>
    <r>
      <rPr>
        <b/>
        <sz val="12"/>
        <color indexed="17"/>
        <rFont val="Trebuchet MS"/>
        <family val="2"/>
      </rPr>
      <t xml:space="preserve">I N O  </t>
    </r>
    <r>
      <rPr>
        <b/>
        <sz val="14"/>
        <color indexed="17"/>
        <rFont val="Trebuchet MS"/>
        <family val="2"/>
      </rPr>
      <t>S O L U T I O N S  LTD</t>
    </r>
    <r>
      <rPr>
        <sz val="12"/>
        <rFont val="Trebuchet MS"/>
        <family val="2"/>
      </rPr>
      <t xml:space="preserve">
P. O. Box LG 817, Legon
 Accra - Ghana
Tel: 233 (0) 302 241 971, 0541 123 430</t>
    </r>
  </si>
  <si>
    <t/>
  </si>
  <si>
    <t>Customer</t>
  </si>
  <si>
    <t>Misc</t>
  </si>
  <si>
    <t>Name</t>
  </si>
  <si>
    <t>Date</t>
  </si>
  <si>
    <t>Address</t>
  </si>
  <si>
    <t>Order No.</t>
  </si>
  <si>
    <t>City</t>
  </si>
  <si>
    <t>Rep</t>
  </si>
  <si>
    <t>Currency</t>
  </si>
  <si>
    <t>Qty</t>
  </si>
  <si>
    <t>Description</t>
  </si>
  <si>
    <t>Unit Price</t>
  </si>
  <si>
    <t>TOTAL</t>
  </si>
  <si>
    <t xml:space="preserve">SubTotal  </t>
  </si>
  <si>
    <t xml:space="preserve">TOTAL </t>
  </si>
  <si>
    <t>Office Use Only</t>
  </si>
  <si>
    <t>Terms of Sale:</t>
  </si>
  <si>
    <t>GH₵</t>
  </si>
  <si>
    <t>Emmanuel</t>
  </si>
  <si>
    <t>Bank Name: STANDARD CHARTERED BANK GHANA LIMITED</t>
  </si>
  <si>
    <t>Swift Code: SCBLGHACXXX</t>
  </si>
  <si>
    <t>Sort Code: 020127</t>
  </si>
  <si>
    <t>Fronius Primo 3kw light</t>
  </si>
  <si>
    <t>Fronius Primo 5kw light</t>
  </si>
  <si>
    <t>Fronius Primo 8.2kw light</t>
  </si>
  <si>
    <t>Mankoadze</t>
  </si>
  <si>
    <t>0545245745</t>
  </si>
  <si>
    <t>Apostle Baidoo</t>
  </si>
  <si>
    <t>Kasoa</t>
  </si>
  <si>
    <t>0504253726</t>
  </si>
  <si>
    <t>Dr. Tony Aidoo</t>
  </si>
  <si>
    <t>East Legon</t>
  </si>
  <si>
    <t>0244355633</t>
  </si>
  <si>
    <t>Rider Steel</t>
  </si>
  <si>
    <t>Tema</t>
  </si>
  <si>
    <t>HPW Fresh &amp; Dry</t>
  </si>
  <si>
    <t>Adeiso</t>
  </si>
  <si>
    <t>Adjringanor</t>
  </si>
  <si>
    <t>Mr. Ebow - IT Consortium</t>
  </si>
  <si>
    <t>Tema, Community 22</t>
  </si>
  <si>
    <t>Ada Island</t>
  </si>
  <si>
    <t>Ada</t>
  </si>
  <si>
    <t>Mr. Kobla Nyaletey</t>
  </si>
  <si>
    <t>Tema, Community 25</t>
  </si>
  <si>
    <t>0243157124</t>
  </si>
  <si>
    <t>Airport Hills</t>
  </si>
  <si>
    <t>IT Consortium</t>
  </si>
  <si>
    <t>Mad. Rebecca</t>
  </si>
  <si>
    <t>Bolgatanga</t>
  </si>
  <si>
    <t>Mr. Emmanuel Owusu Ansah</t>
  </si>
  <si>
    <t>Kumasi</t>
  </si>
  <si>
    <t>Col. Babilah Sampan</t>
  </si>
  <si>
    <t>Trade Fair</t>
  </si>
  <si>
    <t>0207419025</t>
  </si>
  <si>
    <t>Dr. Solomon</t>
  </si>
  <si>
    <t>Star Villa Hotel</t>
  </si>
  <si>
    <t>Kpong</t>
  </si>
  <si>
    <t>0206068598</t>
  </si>
  <si>
    <t>Nagiza Pharmacy</t>
  </si>
  <si>
    <t>Somanya</t>
  </si>
  <si>
    <t>0249150857</t>
  </si>
  <si>
    <t>Botwe, Lake Side</t>
  </si>
  <si>
    <t>0244125717</t>
  </si>
  <si>
    <t>Dr. Tweneboah-Koduah</t>
  </si>
  <si>
    <t>0244842233</t>
  </si>
  <si>
    <t>Pastor</t>
  </si>
  <si>
    <t>West Legon</t>
  </si>
  <si>
    <t>Barclays ATM, Kwabenya</t>
  </si>
  <si>
    <t>Kwabenya</t>
  </si>
  <si>
    <t>Mad. Diane Manful</t>
  </si>
  <si>
    <t>Dr. Alijah</t>
  </si>
  <si>
    <t>Dzorwulu</t>
  </si>
  <si>
    <t>Mr. Fred Bagonluri</t>
  </si>
  <si>
    <t>Teiman</t>
  </si>
  <si>
    <t>Col. Tekyi</t>
  </si>
  <si>
    <t>Mr. Stephen Abbey</t>
  </si>
  <si>
    <t>Kasoa, Millelium City</t>
  </si>
  <si>
    <t>0249029036</t>
  </si>
  <si>
    <t>Technoserve</t>
  </si>
  <si>
    <t>Teshie</t>
  </si>
  <si>
    <t>0269827541</t>
  </si>
  <si>
    <t>Don Bosco</t>
  </si>
  <si>
    <t>Nana Ohene Gyan</t>
  </si>
  <si>
    <t>0502085511</t>
  </si>
  <si>
    <t>Toll Booth</t>
  </si>
  <si>
    <t>Pobiman</t>
  </si>
  <si>
    <t>Seth Kye</t>
  </si>
  <si>
    <t>0243202246</t>
  </si>
  <si>
    <t>Pentecost Hospital</t>
  </si>
  <si>
    <t>Madina Estates</t>
  </si>
  <si>
    <t>0244667816</t>
  </si>
  <si>
    <t>Col. Ivy Tamakloe</t>
  </si>
  <si>
    <t>Amrahia</t>
  </si>
  <si>
    <t>Francis Digber</t>
  </si>
  <si>
    <t>No. 8 Kisseman crescent</t>
  </si>
  <si>
    <t>0208113062</t>
  </si>
  <si>
    <t>Dr. Awudu Tinorgh</t>
  </si>
  <si>
    <t>0269431524</t>
  </si>
  <si>
    <t>Mr. Senyo Amengo</t>
  </si>
  <si>
    <t>0208303920</t>
  </si>
  <si>
    <t>Life Forms Limited</t>
  </si>
  <si>
    <t>Labone</t>
  </si>
  <si>
    <t>0268666838</t>
  </si>
  <si>
    <t>Mr. Francis Dancan</t>
  </si>
  <si>
    <t>Pokuase</t>
  </si>
  <si>
    <t>0208887879</t>
  </si>
  <si>
    <t>Dr. Quartey</t>
  </si>
  <si>
    <t>Pokuase, ACP Estates</t>
  </si>
  <si>
    <t>0262012364</t>
  </si>
  <si>
    <t>Mad. Susana Otchere</t>
  </si>
  <si>
    <t>North Kaneshie</t>
  </si>
  <si>
    <t>0208110033</t>
  </si>
  <si>
    <t>Mr. Richmond Amartey</t>
  </si>
  <si>
    <t>Tema, Community 18</t>
  </si>
  <si>
    <t>0208198308</t>
  </si>
  <si>
    <t>Col. Akorful</t>
  </si>
  <si>
    <t>Ashiyie</t>
  </si>
  <si>
    <t>0244313491</t>
  </si>
  <si>
    <t>Mr. John Akonful</t>
  </si>
  <si>
    <t>Spintex</t>
  </si>
  <si>
    <t>0208180445</t>
  </si>
  <si>
    <t>UNHCR</t>
  </si>
  <si>
    <t>Fetentaa</t>
  </si>
  <si>
    <t>ECOBANK, Harper Road</t>
  </si>
  <si>
    <t>Harper Road, Kumasi</t>
  </si>
  <si>
    <t>ECOBANK, Kwabenya</t>
  </si>
  <si>
    <t>ECOBANK, Tudu</t>
  </si>
  <si>
    <t>Tudu</t>
  </si>
  <si>
    <t>ECOBANK, Kwashieman</t>
  </si>
  <si>
    <t>Kwashieman</t>
  </si>
  <si>
    <t>Jacob Aguda</t>
  </si>
  <si>
    <t>Amarmoley</t>
  </si>
  <si>
    <t>0244602960</t>
  </si>
  <si>
    <t>Mad. Esther Percy</t>
  </si>
  <si>
    <t>0277402353</t>
  </si>
  <si>
    <t>Cheki Ghana</t>
  </si>
  <si>
    <t>0242077030</t>
  </si>
  <si>
    <t>Mr. Eric Amoako-Twum</t>
  </si>
  <si>
    <t>0202097989</t>
  </si>
  <si>
    <t>Mr. Richard Torku</t>
  </si>
  <si>
    <t>Botwe</t>
  </si>
  <si>
    <t>0242732899</t>
  </si>
  <si>
    <t>Joojo</t>
  </si>
  <si>
    <t>0244656550</t>
  </si>
  <si>
    <t>Mamadu Saidu Camara</t>
  </si>
  <si>
    <t>0545515581</t>
  </si>
  <si>
    <t>Mark</t>
  </si>
  <si>
    <t>Mr. Andrew Bodom</t>
  </si>
  <si>
    <t>Tema, Golf City</t>
  </si>
  <si>
    <t>0244711696</t>
  </si>
  <si>
    <t>Sofo Ali</t>
  </si>
  <si>
    <t>Kwabenya / Dansoman</t>
  </si>
  <si>
    <t>0203321586</t>
  </si>
  <si>
    <t>Stella Tagoe</t>
  </si>
  <si>
    <t>0206629048</t>
  </si>
  <si>
    <t>Ama</t>
  </si>
  <si>
    <t>Abelenkpe</t>
  </si>
  <si>
    <t>0202518318
0244136281</t>
  </si>
  <si>
    <t>Adwoa Opoku</t>
  </si>
  <si>
    <t>East Legon, 4 Bamako Road</t>
  </si>
  <si>
    <t>Isaac Okyere</t>
  </si>
  <si>
    <t>Dome</t>
  </si>
  <si>
    <t>0244111611</t>
  </si>
  <si>
    <t>Asante Kingsley Ofori</t>
  </si>
  <si>
    <t>Kwabenya, Point 1</t>
  </si>
  <si>
    <t>0244261212</t>
  </si>
  <si>
    <t>Jibral Suleman Daddah</t>
  </si>
  <si>
    <t>0244504272</t>
  </si>
  <si>
    <t>Stephen Abban</t>
  </si>
  <si>
    <t>Agbogba</t>
  </si>
  <si>
    <t>0263132317</t>
  </si>
  <si>
    <t>Ama Kye Sasu Alberta</t>
  </si>
  <si>
    <t>0264119981</t>
  </si>
  <si>
    <t>Deen Sampson</t>
  </si>
  <si>
    <t>0249798888</t>
  </si>
  <si>
    <t>Mensah Frank K. B.</t>
  </si>
  <si>
    <t>02460273210</t>
  </si>
  <si>
    <t>Ilide Ifeanyichukwu Precious</t>
  </si>
  <si>
    <t>Westland</t>
  </si>
  <si>
    <t>0547327569</t>
  </si>
  <si>
    <t>Presbyterian Church, Adenta</t>
  </si>
  <si>
    <t>Adenta</t>
  </si>
  <si>
    <t>0504762215</t>
  </si>
  <si>
    <t>Galley S. Dephor</t>
  </si>
  <si>
    <t>0244261347 
0558333333</t>
  </si>
  <si>
    <t>Emmanuel Frimpong Okyere</t>
  </si>
  <si>
    <t>Roman Ridge</t>
  </si>
  <si>
    <t>0231129689</t>
  </si>
  <si>
    <t>Koranchie Richard</t>
  </si>
  <si>
    <t>New Dawhenya</t>
  </si>
  <si>
    <t>0263195502</t>
  </si>
  <si>
    <t>Katamanso</t>
  </si>
  <si>
    <t>Baidoo Benjamin</t>
  </si>
  <si>
    <t>0208222314</t>
  </si>
  <si>
    <t>Ohipeni Araba Alberta</t>
  </si>
  <si>
    <t>Tema, Community 9</t>
  </si>
  <si>
    <t>0244304423</t>
  </si>
  <si>
    <t>Adu-Gyamfi Randy</t>
  </si>
  <si>
    <t>Tema, Community 17</t>
  </si>
  <si>
    <t>0249180888</t>
  </si>
  <si>
    <t>Naaeder Adelaide</t>
  </si>
  <si>
    <t>Adabraka</t>
  </si>
  <si>
    <t>0202448138</t>
  </si>
  <si>
    <t>Stephen Keni Amartey</t>
  </si>
  <si>
    <t>0244816318</t>
  </si>
  <si>
    <t>James Ampadu Asante</t>
  </si>
  <si>
    <t>Ashaiman</t>
  </si>
  <si>
    <t>0272131682</t>
  </si>
  <si>
    <t>Aryee Ebenezer</t>
  </si>
  <si>
    <t>North Gbawe</t>
  </si>
  <si>
    <t>0242644984</t>
  </si>
  <si>
    <t>Eric Norman</t>
  </si>
  <si>
    <t>New Achimota</t>
  </si>
  <si>
    <t>0541682675</t>
  </si>
  <si>
    <t>Awudu Khadija</t>
  </si>
  <si>
    <t>Accra</t>
  </si>
  <si>
    <t>0244371436</t>
  </si>
  <si>
    <t>Ntow Rita Boatema</t>
  </si>
  <si>
    <t>Gbawe</t>
  </si>
  <si>
    <t>0202929926</t>
  </si>
  <si>
    <t>St. Lucas Health Centre</t>
  </si>
  <si>
    <t>Wiaga - Builsa District</t>
  </si>
  <si>
    <t>0507231007</t>
  </si>
  <si>
    <t>Young Djean</t>
  </si>
  <si>
    <t>Saboba - Chereponi District</t>
  </si>
  <si>
    <t>0204934208</t>
  </si>
  <si>
    <t>Ken Kubuga</t>
  </si>
  <si>
    <t>Tamale Polytechnic</t>
  </si>
  <si>
    <t>0264887736</t>
  </si>
  <si>
    <t>Mensvic Hotel Ltd</t>
  </si>
  <si>
    <t>0244662227</t>
  </si>
  <si>
    <t>Julian Adiase</t>
  </si>
  <si>
    <t>Tema, Community 1</t>
  </si>
  <si>
    <t>0244615253</t>
  </si>
  <si>
    <t>Eric Mensah</t>
  </si>
  <si>
    <t>0244238154</t>
  </si>
  <si>
    <t>Mr. Yaw Benone</t>
  </si>
  <si>
    <t>Sakaman</t>
  </si>
  <si>
    <t>0244483394</t>
  </si>
  <si>
    <t>David Kwate Quartey</t>
  </si>
  <si>
    <t>Cantonments</t>
  </si>
  <si>
    <t>0264684677</t>
  </si>
  <si>
    <t>Sekyiamah Nana Darkoa</t>
  </si>
  <si>
    <t>0261886190</t>
  </si>
  <si>
    <t>Holloway Philip</t>
  </si>
  <si>
    <t>0205074164</t>
  </si>
  <si>
    <t>St. Cyr Doris Afua</t>
  </si>
  <si>
    <t>0246584384</t>
  </si>
  <si>
    <t>Owusu Gabriel</t>
  </si>
  <si>
    <t>Afienya - Mataheko</t>
  </si>
  <si>
    <t>0244650656</t>
  </si>
  <si>
    <t>Nestle Ghana Factory 24V/1.2kVA (002)</t>
  </si>
  <si>
    <t>0248707010</t>
  </si>
  <si>
    <t>Nestle Ghana 24V/3KVA (004)</t>
  </si>
  <si>
    <t>Nestle Ghana 24V/350VA (006) Warehouse</t>
  </si>
  <si>
    <t>0246283848</t>
  </si>
  <si>
    <t>Nestle Ghana 48V/5KVA (003)</t>
  </si>
  <si>
    <t>Nestle Ghana 48V/5KVA (001)</t>
  </si>
  <si>
    <t>Nestle Ghana Limited, Head office 1.2KVA (009)</t>
  </si>
  <si>
    <t>0501260482</t>
  </si>
  <si>
    <t>Nestle Ghana Limited, Head office 1.6KVA (008)</t>
  </si>
  <si>
    <t>Nestle Ghana Limited, Head office 5KVA - Server Room (007)</t>
  </si>
  <si>
    <t xml:space="preserve">Don Bosco Solar Training </t>
  </si>
  <si>
    <t>0268731202</t>
  </si>
  <si>
    <t>Lawyer Thomas Acquah</t>
  </si>
  <si>
    <t>0245390468</t>
  </si>
  <si>
    <t>Elsie Yaokumah</t>
  </si>
  <si>
    <t>Oyibi, Ayensu River Estates</t>
  </si>
  <si>
    <t>0208250428</t>
  </si>
  <si>
    <t>Derek Tengey</t>
  </si>
  <si>
    <t>Ashale Botwe</t>
  </si>
  <si>
    <t>0244028812</t>
  </si>
  <si>
    <t>Nana Adjekum</t>
  </si>
  <si>
    <t>Sakumono</t>
  </si>
  <si>
    <t>0248245171</t>
  </si>
  <si>
    <t>Aima Biga</t>
  </si>
  <si>
    <t>Manet Palm Estate</t>
  </si>
  <si>
    <t>0243511110</t>
  </si>
  <si>
    <t>Albert Biga</t>
  </si>
  <si>
    <t>La</t>
  </si>
  <si>
    <t>0244314580</t>
  </si>
  <si>
    <t>Zoobashop</t>
  </si>
  <si>
    <t>Trade Fair, La</t>
  </si>
  <si>
    <t>0244314589</t>
  </si>
  <si>
    <t>LSD Motors Limited</t>
  </si>
  <si>
    <t>0244601721</t>
  </si>
  <si>
    <t>Kweku Dontoh</t>
  </si>
  <si>
    <t>0262240553</t>
  </si>
  <si>
    <t>Mad. Risse</t>
  </si>
  <si>
    <t>0208140587</t>
  </si>
  <si>
    <t>Albert Tackie</t>
  </si>
  <si>
    <t>West Hills, Weija</t>
  </si>
  <si>
    <t>0244265024</t>
  </si>
  <si>
    <t>ECOBANK, Tamale</t>
  </si>
  <si>
    <t>Tamale</t>
  </si>
  <si>
    <t>Francis Ahlidza</t>
  </si>
  <si>
    <t>Danfa</t>
  </si>
  <si>
    <t>0208178730</t>
  </si>
  <si>
    <t>Kofi Agyen</t>
  </si>
  <si>
    <t>Trasacco</t>
  </si>
  <si>
    <t>Mr. Franklin Eleblu</t>
  </si>
  <si>
    <t>0243576745</t>
  </si>
  <si>
    <t>Direct Savings and Loans, Dzorwulu</t>
  </si>
  <si>
    <t>Prof. Anamuah-Mensah</t>
  </si>
  <si>
    <t>Cape Coast</t>
  </si>
  <si>
    <t>0206774104</t>
  </si>
  <si>
    <t>DPGG Vivo Energy Shell</t>
  </si>
  <si>
    <t>Tema Community 2</t>
  </si>
  <si>
    <t>0509695225</t>
  </si>
  <si>
    <t>Mr. Anthony Tweneboah-Koduah</t>
  </si>
  <si>
    <t>0208227099</t>
  </si>
  <si>
    <t>Samuel Addo Frimpong</t>
  </si>
  <si>
    <t>Nana Krom, Botwe</t>
  </si>
  <si>
    <t>0243119687</t>
  </si>
  <si>
    <t>Kojo Hesse</t>
  </si>
  <si>
    <t>Labadi</t>
  </si>
  <si>
    <t>Techno Serve</t>
  </si>
  <si>
    <t>Atuah Kwesi Aboagye</t>
  </si>
  <si>
    <t>0244437132</t>
  </si>
  <si>
    <t>Selorm</t>
  </si>
  <si>
    <t>Powerland, Madina</t>
  </si>
  <si>
    <t>0209607533</t>
  </si>
  <si>
    <t>Yawo Farms</t>
  </si>
  <si>
    <t>Ayikuma</t>
  </si>
  <si>
    <t>0244315547</t>
  </si>
  <si>
    <t>Stephen Appiah-Agyei</t>
  </si>
  <si>
    <t>Lakeside, Botwe</t>
  </si>
  <si>
    <t>0242979934</t>
  </si>
  <si>
    <t>ECOBANK, Tema Community 1</t>
  </si>
  <si>
    <t>Tema Community 1</t>
  </si>
  <si>
    <t>DENG</t>
  </si>
  <si>
    <t>Shiashie</t>
  </si>
  <si>
    <t>0540125291</t>
  </si>
  <si>
    <t>MGM Farms</t>
  </si>
  <si>
    <t>0242084236</t>
  </si>
  <si>
    <t>Direct Savings and Loans, Tesano</t>
  </si>
  <si>
    <t>Tesano</t>
  </si>
  <si>
    <t>Action Chapel Rev. John Buabeng</t>
  </si>
  <si>
    <t>Haatso</t>
  </si>
  <si>
    <t>0244637785</t>
  </si>
  <si>
    <t>Marcelin Zahuil</t>
  </si>
  <si>
    <t>Takoradi</t>
  </si>
  <si>
    <t>Tino Inlaw</t>
  </si>
  <si>
    <t>Bujwei IT Consortium</t>
  </si>
  <si>
    <t>Tema Community, 18</t>
  </si>
  <si>
    <t>Potential Referral by Steve Amanor</t>
  </si>
  <si>
    <t>Tema Community, 25</t>
  </si>
  <si>
    <t>Biersdorf Ghana Limited</t>
  </si>
  <si>
    <t>Opeibea</t>
  </si>
  <si>
    <t>0561261600 
0260757570</t>
  </si>
  <si>
    <t>Stephen Amanor</t>
  </si>
  <si>
    <t>Abokobi</t>
  </si>
  <si>
    <t>0277812614</t>
  </si>
  <si>
    <t>Victor Nofong, Bernice</t>
  </si>
  <si>
    <t>Frafraha</t>
  </si>
  <si>
    <t>0240128412
0244981972</t>
  </si>
  <si>
    <t>0204219544</t>
  </si>
  <si>
    <t>Twinkle Tots School</t>
  </si>
  <si>
    <t>0244324784</t>
  </si>
  <si>
    <t>Charles Labba</t>
  </si>
  <si>
    <t>Dr. Andrew Asibey</t>
  </si>
  <si>
    <t>Tema Community 18</t>
  </si>
  <si>
    <t>0504518112</t>
  </si>
  <si>
    <t>Col. Charles Ardayfio</t>
  </si>
  <si>
    <t>Mataheko</t>
  </si>
  <si>
    <t>0243589819</t>
  </si>
  <si>
    <t>North Ridge Lyceum</t>
  </si>
  <si>
    <t>Dr. Buckle</t>
  </si>
  <si>
    <t>Botwe, School Junction</t>
  </si>
  <si>
    <t>0244333322</t>
  </si>
  <si>
    <t>Mr. Eric Effah - UNHCR</t>
  </si>
  <si>
    <t>0544335326 
0244262311 
0502169698</t>
  </si>
  <si>
    <t>Prof. Aloysius Denkabe</t>
  </si>
  <si>
    <t>0246156435</t>
  </si>
  <si>
    <t>Jusbro Filling Station</t>
  </si>
  <si>
    <t>Asuoyebuah, Kumasi</t>
  </si>
  <si>
    <t>0544323141</t>
  </si>
  <si>
    <t>Darfin Finance</t>
  </si>
  <si>
    <t>Joojo IT Consortium</t>
  </si>
  <si>
    <t>Pantang</t>
  </si>
  <si>
    <t>0208173137</t>
  </si>
  <si>
    <t>Total Logistics</t>
  </si>
  <si>
    <t>0244352479</t>
  </si>
  <si>
    <t>Alfred Oko Vanderpuye, Office</t>
  </si>
  <si>
    <t>Mamprobi</t>
  </si>
  <si>
    <t>0202019155</t>
  </si>
  <si>
    <t>Glofert Office</t>
  </si>
  <si>
    <t>Capital View Hotel Residence</t>
  </si>
  <si>
    <t>Koforidua</t>
  </si>
  <si>
    <t>Capital View Hotel, Koforidua</t>
  </si>
  <si>
    <t>Kofi Adu Antwi Johnny</t>
  </si>
  <si>
    <t>Dawhenya</t>
  </si>
  <si>
    <t>0272200800 
0244370915</t>
  </si>
  <si>
    <t>Amponsah Effah Pharmaceuticals</t>
  </si>
  <si>
    <t>Osa-Kwaw Sowah</t>
  </si>
  <si>
    <t>Osu</t>
  </si>
  <si>
    <t>0244365329</t>
  </si>
  <si>
    <t>Rev. Bansah</t>
  </si>
  <si>
    <t>0244859644</t>
  </si>
  <si>
    <t>Repair Works</t>
  </si>
  <si>
    <t>Show room</t>
  </si>
  <si>
    <t>Michael</t>
  </si>
  <si>
    <t>Lawyer Kizito</t>
  </si>
  <si>
    <t>Michael Aguadzi</t>
  </si>
  <si>
    <t>0244777904</t>
  </si>
  <si>
    <t>Ghana Railways Company Limited</t>
  </si>
  <si>
    <t>Lawyer Tetteh</t>
  </si>
  <si>
    <t>Francis Dei</t>
  </si>
  <si>
    <t>Oyarifa</t>
  </si>
  <si>
    <t>0242022517</t>
  </si>
  <si>
    <t>Total Petroleum Ghana Limited, Sunyani East</t>
  </si>
  <si>
    <t>Sunyani-East</t>
  </si>
  <si>
    <t>Stephen Ntiri</t>
  </si>
  <si>
    <t>Weija</t>
  </si>
  <si>
    <t>0273015050</t>
  </si>
  <si>
    <t>Gershon Koku Kumor</t>
  </si>
  <si>
    <t>0244814047</t>
  </si>
  <si>
    <t>Boahin Kwaku</t>
  </si>
  <si>
    <t>Spintex Road</t>
  </si>
  <si>
    <t>0247208974</t>
  </si>
  <si>
    <t>George Ametepe</t>
  </si>
  <si>
    <t>0243783478</t>
  </si>
  <si>
    <t>Mr. Nartey</t>
  </si>
  <si>
    <t>Community 25, Devtraco, Tema</t>
  </si>
  <si>
    <t>0244601216 
0244939187</t>
  </si>
  <si>
    <t>Airport</t>
  </si>
  <si>
    <t>0244851193</t>
  </si>
  <si>
    <t>Madam Ama</t>
  </si>
  <si>
    <t>Tino Solutions Limited Warehouse</t>
  </si>
  <si>
    <t>0541123430</t>
  </si>
  <si>
    <t>Hayssan Fakhry/ Interplast</t>
  </si>
  <si>
    <t>Ruth Osei Twinkle Tots House</t>
  </si>
  <si>
    <t>Kwame Amoah Ntow</t>
  </si>
  <si>
    <t>0244225306</t>
  </si>
  <si>
    <t>Eric Adams</t>
  </si>
  <si>
    <t>0244626332</t>
  </si>
  <si>
    <t>Candem Pharmacy</t>
  </si>
  <si>
    <t>Tsaado</t>
  </si>
  <si>
    <t>0269513225</t>
  </si>
  <si>
    <t>Mrs. Hayford</t>
  </si>
  <si>
    <t>0244682728</t>
  </si>
  <si>
    <t>Mr. Peprah MPS</t>
  </si>
  <si>
    <t>Madam Bridget</t>
  </si>
  <si>
    <t>0244690220</t>
  </si>
  <si>
    <t>Mariam Ekow</t>
  </si>
  <si>
    <t>Adjei Kojo</t>
  </si>
  <si>
    <t>0242362333</t>
  </si>
  <si>
    <t>Josephine Nkrumah</t>
  </si>
  <si>
    <t>0243447711</t>
  </si>
  <si>
    <t>Giorgio Armanio</t>
  </si>
  <si>
    <t>0243345360</t>
  </si>
  <si>
    <t>Mr. &amp; Mrs. Ayittey</t>
  </si>
  <si>
    <t>Community 22 Tema</t>
  </si>
  <si>
    <t>Joyce Lomotey</t>
  </si>
  <si>
    <t>Community 19 Tema</t>
  </si>
  <si>
    <t>0591724382</t>
  </si>
  <si>
    <t>Empire Concrete</t>
  </si>
  <si>
    <t>0548959181</t>
  </si>
  <si>
    <t>Ernest Abotsi Torku</t>
  </si>
  <si>
    <t>0244606280</t>
  </si>
  <si>
    <t>Mr. Brown - Total Logistics - House</t>
  </si>
  <si>
    <t xml:space="preserve">Spintex </t>
  </si>
  <si>
    <t>Francois Dapelgo</t>
  </si>
  <si>
    <t>Madina ARS</t>
  </si>
  <si>
    <t>0202050331</t>
  </si>
  <si>
    <t>Aburi</t>
  </si>
  <si>
    <t>0545247211</t>
  </si>
  <si>
    <t>Oheneba Early School - Sheila Ohene</t>
  </si>
  <si>
    <t>Juliet King Kudjanu</t>
  </si>
  <si>
    <t>0245055416</t>
  </si>
  <si>
    <t>Dr. Yaw Ansu</t>
  </si>
  <si>
    <t>0240903664</t>
  </si>
  <si>
    <t>Prof. Joshua Alabi</t>
  </si>
  <si>
    <t>0244359760</t>
  </si>
  <si>
    <t>Mr. Wilson Jeremie</t>
  </si>
  <si>
    <t>Cantoment</t>
  </si>
  <si>
    <t>Cape 3 Oil and Gas</t>
  </si>
  <si>
    <t>Sun city</t>
  </si>
  <si>
    <t>Kwame Boateng</t>
  </si>
  <si>
    <t>0246233796</t>
  </si>
  <si>
    <t>Dr. Akwetey</t>
  </si>
  <si>
    <t>Tema com. 25</t>
  </si>
  <si>
    <t>0246455411</t>
  </si>
  <si>
    <t>Madam Vinolia</t>
  </si>
  <si>
    <t>0244313290</t>
  </si>
  <si>
    <t>Pinora</t>
  </si>
  <si>
    <t>Asamankese</t>
  </si>
  <si>
    <t>0544315517</t>
  </si>
  <si>
    <t>Mr. Sam Asante</t>
  </si>
  <si>
    <t>Tema com.18</t>
  </si>
  <si>
    <t>0543106539</t>
  </si>
  <si>
    <t>Mr. Albert Fiawosima</t>
  </si>
  <si>
    <t>Tema com.25</t>
  </si>
  <si>
    <t>024496892</t>
  </si>
  <si>
    <t>Potential Client Albert</t>
  </si>
  <si>
    <t>Trasacco Maajo</t>
  </si>
  <si>
    <t>0209995001</t>
  </si>
  <si>
    <t>Vera Doku</t>
  </si>
  <si>
    <t>0244627994</t>
  </si>
  <si>
    <t>Terry</t>
  </si>
  <si>
    <t>Tema Community 3</t>
  </si>
  <si>
    <t>0205182168</t>
  </si>
  <si>
    <t>0552829714</t>
  </si>
  <si>
    <t>Mrs. Dinah Adjaye</t>
  </si>
  <si>
    <t>Adjiriganor</t>
  </si>
  <si>
    <t>0202414417</t>
  </si>
  <si>
    <t>Sun flower Residence</t>
  </si>
  <si>
    <t>0244119981</t>
  </si>
  <si>
    <t>Sun flower School block 1</t>
  </si>
  <si>
    <t>Sun flower School block 2</t>
  </si>
  <si>
    <t>Treasure Island BeBa Africa</t>
  </si>
  <si>
    <t>Ada Foah</t>
  </si>
  <si>
    <t>0249825924</t>
  </si>
  <si>
    <t>Dr. George Kwame Opoku</t>
  </si>
  <si>
    <t>Redco Bungalow</t>
  </si>
  <si>
    <t>0560485444</t>
  </si>
  <si>
    <t>VRA</t>
  </si>
  <si>
    <t>Akuse</t>
  </si>
  <si>
    <t>Abeka Lapaz</t>
  </si>
  <si>
    <t>0243640362</t>
  </si>
  <si>
    <t>Van-Osterwell Amuzu</t>
  </si>
  <si>
    <t>Baatsona, Spintex Road</t>
  </si>
  <si>
    <t>0268443005</t>
  </si>
  <si>
    <t>Maxwell Poku Tony</t>
  </si>
  <si>
    <t>0244934931</t>
  </si>
  <si>
    <t>S O Frimpong</t>
  </si>
  <si>
    <t>Augustine Dziwornu - Warehouse</t>
  </si>
  <si>
    <t>Tema Kpone</t>
  </si>
  <si>
    <t>Vivian Tamakloe</t>
  </si>
  <si>
    <t>0244157159</t>
  </si>
  <si>
    <t>Denys Ghana</t>
  </si>
  <si>
    <t>Airport Resisdential</t>
  </si>
  <si>
    <t>0540119625</t>
  </si>
  <si>
    <t xml:space="preserve"> Mr. Narh Djabanoh</t>
  </si>
  <si>
    <t>0244968911</t>
  </si>
  <si>
    <t>Micheal Adumuah</t>
  </si>
  <si>
    <t>Tsaado, Trade Fair</t>
  </si>
  <si>
    <t>0543727410</t>
  </si>
  <si>
    <t>Mr. Adu Yeboah</t>
  </si>
  <si>
    <t>Earl Ankrah</t>
  </si>
  <si>
    <t>0244383350</t>
  </si>
  <si>
    <t>Kobina Beecham</t>
  </si>
  <si>
    <t>Teshi Nungua Greda</t>
  </si>
  <si>
    <t>0244362008</t>
  </si>
  <si>
    <t>Jackie Ankrah</t>
  </si>
  <si>
    <t>Spintex, Okpoi gonno</t>
  </si>
  <si>
    <t>0243380372</t>
  </si>
  <si>
    <t>Natasha Dordor</t>
  </si>
  <si>
    <t>Ayimensah</t>
  </si>
  <si>
    <t>0509547582</t>
  </si>
  <si>
    <t>Nabeela Sallah</t>
  </si>
  <si>
    <t>0248253457</t>
  </si>
  <si>
    <t>Joanna Quaquah</t>
  </si>
  <si>
    <t>East Airport</t>
  </si>
  <si>
    <t>0200757777</t>
  </si>
  <si>
    <t>STC BeBa Africa</t>
  </si>
  <si>
    <t>Kaneshie</t>
  </si>
  <si>
    <t>0541923142</t>
  </si>
  <si>
    <t>Appliance Masters Client</t>
  </si>
  <si>
    <t>Kwahu Mpraeso</t>
  </si>
  <si>
    <t>0208175249</t>
  </si>
  <si>
    <t>Mankoadze Beach Resort</t>
  </si>
  <si>
    <t>Translight - Total Fuel Station</t>
  </si>
  <si>
    <t>Accra New-Town</t>
  </si>
  <si>
    <t>Faustina Mba</t>
  </si>
  <si>
    <t>Amasaman</t>
  </si>
  <si>
    <t>0555223027</t>
  </si>
  <si>
    <t>Solar Ghana Limited</t>
  </si>
  <si>
    <t>Invitro Labs BeBa Africa</t>
  </si>
  <si>
    <t>Sogakope</t>
  </si>
  <si>
    <t>0549165808</t>
  </si>
  <si>
    <t>Martin Nantwi</t>
  </si>
  <si>
    <t>044334098</t>
  </si>
  <si>
    <t>Precious TV</t>
  </si>
  <si>
    <t>Fr. Paul Kala</t>
  </si>
  <si>
    <t>Wa</t>
  </si>
  <si>
    <t>0503819064</t>
  </si>
  <si>
    <t>Mr. Bampoe</t>
  </si>
  <si>
    <t>0244674034</t>
  </si>
  <si>
    <t>Adehyeman Savings and Loans</t>
  </si>
  <si>
    <t>Kokomlemle</t>
  </si>
  <si>
    <t>0243558448</t>
  </si>
  <si>
    <t>Tradeworks</t>
  </si>
  <si>
    <t>British American Tobacco</t>
  </si>
  <si>
    <t>0541813336</t>
  </si>
  <si>
    <t>Joseph Addae</t>
  </si>
  <si>
    <t>0244885576</t>
  </si>
  <si>
    <t>Madina</t>
  </si>
  <si>
    <t>Mr. Mathias Dorfe</t>
  </si>
  <si>
    <t>0208123273</t>
  </si>
  <si>
    <t>Mr Mathias Dorfe</t>
  </si>
  <si>
    <t>Chain Homes 255</t>
  </si>
  <si>
    <t>Chain Home</t>
  </si>
  <si>
    <t>Bashiru</t>
  </si>
  <si>
    <t>New Legon</t>
  </si>
  <si>
    <t>0246021441</t>
  </si>
  <si>
    <t>Mr. Sackey Acquah</t>
  </si>
  <si>
    <t xml:space="preserve">East Legon </t>
  </si>
  <si>
    <t>0202110396</t>
  </si>
  <si>
    <t>Eno Mends</t>
  </si>
  <si>
    <t>NanaKrom</t>
  </si>
  <si>
    <t>0242212431</t>
  </si>
  <si>
    <t>Madam Abigail</t>
  </si>
  <si>
    <t>Ashongman Estate</t>
  </si>
  <si>
    <t>0544626601</t>
  </si>
  <si>
    <t>Nocheski</t>
  </si>
  <si>
    <t>Kotobaabi</t>
  </si>
  <si>
    <t>0244270092</t>
  </si>
  <si>
    <t>Nochesky</t>
  </si>
  <si>
    <t>Gordon Mahrer</t>
  </si>
  <si>
    <t>Mr. Kwakye</t>
  </si>
  <si>
    <t>Ofankor</t>
  </si>
  <si>
    <t>0501414401</t>
  </si>
  <si>
    <t>First Product  Enterprise</t>
  </si>
  <si>
    <t>0244136412</t>
  </si>
  <si>
    <t>Holy Bakhita clinic</t>
  </si>
  <si>
    <t>Agbobloshi</t>
  </si>
  <si>
    <t>0552479810</t>
  </si>
  <si>
    <t>Oneg Engineering Services</t>
  </si>
  <si>
    <t>Buildaf Estate</t>
  </si>
  <si>
    <t>0277792427</t>
  </si>
  <si>
    <t>Harrimann Plaza</t>
  </si>
  <si>
    <t>Tema Com 1</t>
  </si>
  <si>
    <t>0207512784</t>
  </si>
  <si>
    <t>Mr. Benjamin Yeboah</t>
  </si>
  <si>
    <t>0208094188</t>
  </si>
  <si>
    <t>Achimota</t>
  </si>
  <si>
    <t>Dodowa</t>
  </si>
  <si>
    <t>Seth</t>
  </si>
  <si>
    <t>Total Petroleum Ghana Limited, Apremdo</t>
  </si>
  <si>
    <t>Apremdo</t>
  </si>
  <si>
    <t>Tradeworks farm</t>
  </si>
  <si>
    <t>Technoserve (Customer 1)</t>
  </si>
  <si>
    <t>Sanzule</t>
  </si>
  <si>
    <t>0244264096</t>
  </si>
  <si>
    <t>Technoserve (Customer 2)</t>
  </si>
  <si>
    <t>Technoserve (Customer 3)</t>
  </si>
  <si>
    <t>Technoserve (Customer 4)</t>
  </si>
  <si>
    <t>Technoserve (Customer 5)</t>
  </si>
  <si>
    <t>Technoserve (Customer 6)</t>
  </si>
  <si>
    <t>Technoserve (Customer 7)</t>
  </si>
  <si>
    <t>Technoserve (Customer 8)</t>
  </si>
  <si>
    <t>Technoserve (Customer 9)</t>
  </si>
  <si>
    <t>Technoserve (Customer 10)</t>
  </si>
  <si>
    <t>Technoserve (Customer 11)</t>
  </si>
  <si>
    <t>Technoserve (Customer 12)</t>
  </si>
  <si>
    <t>Technoserve (Customer 13)</t>
  </si>
  <si>
    <t>Technoserve (Customer 14/ Anobi Assuah Akuba)</t>
  </si>
  <si>
    <t>Technoserve (Customer 15)</t>
  </si>
  <si>
    <t>Gideon Osei Amoako</t>
  </si>
  <si>
    <t>0244320325</t>
  </si>
  <si>
    <t>Pentecost Church - Bunkpurugu</t>
  </si>
  <si>
    <t>Gbingbani</t>
  </si>
  <si>
    <t>0244808858</t>
  </si>
  <si>
    <t>Col. Babilah's Brother</t>
  </si>
  <si>
    <t>Justice Emmanuel Ankamah</t>
  </si>
  <si>
    <t>Sampa - Bono Region</t>
  </si>
  <si>
    <t>Angela Mawuli</t>
  </si>
  <si>
    <t>0549689619</t>
  </si>
  <si>
    <t>Hammond</t>
  </si>
  <si>
    <t>0547454657</t>
  </si>
  <si>
    <t>Appertey Patrick Samgnor</t>
  </si>
  <si>
    <t>0242679029</t>
  </si>
  <si>
    <t>Mr. Opata</t>
  </si>
  <si>
    <t>Joseph Allotey</t>
  </si>
  <si>
    <t>Klagon</t>
  </si>
  <si>
    <t>0243116586</t>
  </si>
  <si>
    <t>Madam Theodora Behlke</t>
  </si>
  <si>
    <t>Community 18 Tema</t>
  </si>
  <si>
    <t>0556197732</t>
  </si>
  <si>
    <t>Community 25 Tema</t>
  </si>
  <si>
    <t>0267219159</t>
  </si>
  <si>
    <t>Jonas Agbotah</t>
  </si>
  <si>
    <t>0244370055</t>
  </si>
  <si>
    <t>Eric Bigah</t>
  </si>
  <si>
    <t>Koo Nimo Farms</t>
  </si>
  <si>
    <t>Mr. Vilain</t>
  </si>
  <si>
    <t>Mr. Kholi</t>
  </si>
  <si>
    <t>Biga International Co. Ltd</t>
  </si>
  <si>
    <t>0277776568</t>
  </si>
  <si>
    <t>Tap Pharmacy</t>
  </si>
  <si>
    <t>Magpat Pharmacy (Main)</t>
  </si>
  <si>
    <t>Ogbodwo</t>
  </si>
  <si>
    <t>Ogbojo</t>
  </si>
  <si>
    <t>Magpat Pharmacy (Annex)</t>
  </si>
  <si>
    <t>James TSL</t>
  </si>
  <si>
    <t>0244185749</t>
  </si>
  <si>
    <t>Green Court</t>
  </si>
  <si>
    <t>0558166780</t>
  </si>
  <si>
    <t>Jehovah Shamar School</t>
  </si>
  <si>
    <t>Senya Breku</t>
  </si>
  <si>
    <t>Ewald Zimmermann</t>
  </si>
  <si>
    <t>Buduburam</t>
  </si>
  <si>
    <t>0548538099
0544965694</t>
  </si>
  <si>
    <t>Bomarts Limited Beba Africa</t>
  </si>
  <si>
    <t>Nsawam</t>
  </si>
  <si>
    <t>0248598760</t>
  </si>
  <si>
    <t>Dr. Hazel Barrard Amuah</t>
  </si>
  <si>
    <t>0244339733</t>
  </si>
  <si>
    <t>Kwaku Dake</t>
  </si>
  <si>
    <t>Teshi Nungua Estate</t>
  </si>
  <si>
    <t>0540955881</t>
  </si>
  <si>
    <t>Biga International Residence 1</t>
  </si>
  <si>
    <t>Adjiringanor</t>
  </si>
  <si>
    <t>Biga International Residence 2</t>
  </si>
  <si>
    <t>Robert</t>
  </si>
  <si>
    <t>Tema Comm 25</t>
  </si>
  <si>
    <t>0554093705</t>
  </si>
  <si>
    <t>Mr. Sam Crentsil</t>
  </si>
  <si>
    <t>East Legon Hills, Nanakrom</t>
  </si>
  <si>
    <t>0248225611</t>
  </si>
  <si>
    <t>Danladi</t>
  </si>
  <si>
    <t>Summit Lodge</t>
  </si>
  <si>
    <t>0208113935</t>
  </si>
  <si>
    <t>Madam Georgina Danso</t>
  </si>
  <si>
    <t>Ayim</t>
  </si>
  <si>
    <t>0244383739</t>
  </si>
  <si>
    <t>Daniel Boateng</t>
  </si>
  <si>
    <t>Professor Ahinkrah</t>
  </si>
  <si>
    <t>0203001651</t>
  </si>
  <si>
    <t>Tino Solution New Warehouse</t>
  </si>
  <si>
    <t>Food and Drug Authority</t>
  </si>
  <si>
    <t>Samuel Hughes</t>
  </si>
  <si>
    <t>Ashalaja</t>
  </si>
  <si>
    <t>0267100815</t>
  </si>
  <si>
    <t>Bismark Okyere</t>
  </si>
  <si>
    <t>Francis Essilfie</t>
  </si>
  <si>
    <t>0202112957</t>
  </si>
  <si>
    <t>Ebow - IT Consortium - School</t>
  </si>
  <si>
    <t>Community 22</t>
  </si>
  <si>
    <t>0242782978</t>
  </si>
  <si>
    <t>Mr. Timothy Archer</t>
  </si>
  <si>
    <t>0242325121</t>
  </si>
  <si>
    <t>Mr. Ibrahim Tahiru</t>
  </si>
  <si>
    <t>PS Global Estate, Kpone</t>
  </si>
  <si>
    <t>0244950046</t>
  </si>
  <si>
    <t>Nagiza Residence</t>
  </si>
  <si>
    <t>Vijaya Kumar Kasapreko</t>
  </si>
  <si>
    <t>0261969889</t>
  </si>
  <si>
    <t>Voltech Limited</t>
  </si>
  <si>
    <t>Foster Boabeng</t>
  </si>
  <si>
    <t>Ashongman</t>
  </si>
  <si>
    <t>0244616323</t>
  </si>
  <si>
    <t>Laweh Open University</t>
  </si>
  <si>
    <t>Joe Torku</t>
  </si>
  <si>
    <t>Community 14</t>
  </si>
  <si>
    <t>0244332919</t>
  </si>
  <si>
    <t>Nestle Ghana Limited, Head office  -Server Room- 15kVA</t>
  </si>
  <si>
    <t>John Armah Hammond</t>
  </si>
  <si>
    <t xml:space="preserve">Trassaco </t>
  </si>
  <si>
    <t>Djaba Curtis</t>
  </si>
  <si>
    <t>Medie</t>
  </si>
  <si>
    <t>0249997561</t>
  </si>
  <si>
    <t>Dela</t>
  </si>
  <si>
    <t>Aquawin Mineral Water</t>
  </si>
  <si>
    <t>Vincent NTHC</t>
  </si>
  <si>
    <t>Rebecca Abaa</t>
  </si>
  <si>
    <t>Mr. Ekow Meshan</t>
  </si>
  <si>
    <t>Mr. Ashie Gallowey</t>
  </si>
  <si>
    <t>Brighten Solar</t>
  </si>
  <si>
    <t>Nima</t>
  </si>
  <si>
    <t>Sena Amevor - Qode Hub</t>
  </si>
  <si>
    <t>0264460303</t>
  </si>
  <si>
    <t>Nana Okraku</t>
  </si>
  <si>
    <t>Plan international</t>
  </si>
  <si>
    <t>Abelemkpe</t>
  </si>
  <si>
    <t>Nestle Ghana Factory 48V/3kVA (002)</t>
  </si>
  <si>
    <t>Pash Global - Puma</t>
  </si>
  <si>
    <t>0243411004</t>
  </si>
  <si>
    <t>Lashibi</t>
  </si>
  <si>
    <t>Kissehman</t>
  </si>
  <si>
    <t>Tesse Osei</t>
  </si>
  <si>
    <t>Agyei Kwadwo</t>
  </si>
  <si>
    <t>Oceanic Ltd.</t>
  </si>
  <si>
    <t>Abuoso, Begoro</t>
  </si>
  <si>
    <t>Peter Poultry Farm</t>
  </si>
  <si>
    <t>Mamfe</t>
  </si>
  <si>
    <t>Swuf Company Limited</t>
  </si>
  <si>
    <t>Community 19, Tema</t>
  </si>
  <si>
    <t>0244315307</t>
  </si>
  <si>
    <t>Mr. George Agyei</t>
  </si>
  <si>
    <t>Agro Age Limited</t>
  </si>
  <si>
    <t>Rt.Hon. Prof. Aaron Mike Oquaye</t>
  </si>
  <si>
    <t>Haasto</t>
  </si>
  <si>
    <t>Nana Ayorkor Commodor</t>
  </si>
  <si>
    <t>Weija, Kasoa</t>
  </si>
  <si>
    <t>0242080785</t>
  </si>
  <si>
    <t>Pascal</t>
  </si>
  <si>
    <t>Amy Amponsah</t>
  </si>
  <si>
    <t>0246014432</t>
  </si>
  <si>
    <t xml:space="preserve">Daboase Lower pra Rural Bank </t>
  </si>
  <si>
    <t>Daboase</t>
  </si>
  <si>
    <t xml:space="preserve">Aboadze Lower pra Rural Bank </t>
  </si>
  <si>
    <t>Aboadze</t>
  </si>
  <si>
    <t>Total Petroleum Ghana Limited, Tema, Lumumba Road</t>
  </si>
  <si>
    <t>Tema, Lumumba Road</t>
  </si>
  <si>
    <t>Select items</t>
  </si>
  <si>
    <t>USD</t>
  </si>
  <si>
    <t>Quantity</t>
  </si>
  <si>
    <t>Retail</t>
  </si>
  <si>
    <t>Afram Plains</t>
  </si>
  <si>
    <t>Stephen Kanor Kudaya</t>
  </si>
  <si>
    <t>Dansoman</t>
  </si>
  <si>
    <t>REDAVIA Solar Power</t>
  </si>
  <si>
    <t>Community 20</t>
  </si>
  <si>
    <t>Kwame Boakye Asante</t>
  </si>
  <si>
    <t>Kofi Ahavor</t>
  </si>
  <si>
    <t>Aquadot Pure water Factory(Nocheski)</t>
  </si>
  <si>
    <t>Chain Homes</t>
  </si>
  <si>
    <t>Chain Homes 253</t>
  </si>
  <si>
    <t>Chain Homes 258</t>
  </si>
  <si>
    <t>Sowah's Family</t>
  </si>
  <si>
    <t xml:space="preserve">Mr. Bampoe's Hotel </t>
  </si>
  <si>
    <t>0244647330</t>
  </si>
  <si>
    <t>Emmanuel Agbosi</t>
  </si>
  <si>
    <t>ICGC</t>
  </si>
  <si>
    <t>Nathaniel</t>
  </si>
  <si>
    <t>BeBa - Universal Investment and Industries</t>
  </si>
  <si>
    <t>Nestle Ghana 48V/5KVA/Before inbound Office(VPS room)</t>
  </si>
  <si>
    <t>Nestle Ghana 48V/5KVA/Beverage Department</t>
  </si>
  <si>
    <t>Nestle Ghana 48V/5KVA/Engineering Block(2)</t>
  </si>
  <si>
    <t>Nestle Ghana 48V/15KVA/Behind Canteen</t>
  </si>
  <si>
    <t>Nungua</t>
  </si>
  <si>
    <t>Mr. Evans</t>
  </si>
  <si>
    <t>Sena Amevor - Residence</t>
  </si>
  <si>
    <t>Community 25, Tema</t>
  </si>
  <si>
    <t>Samuel Fetuah</t>
  </si>
  <si>
    <t>Trassaco</t>
  </si>
  <si>
    <t>Azimuth Solar</t>
  </si>
  <si>
    <t>B5 Steel Company Limited - Engie</t>
  </si>
  <si>
    <t>CFC Estate, Dome</t>
  </si>
  <si>
    <t>Naa Ayorkor Commodor</t>
  </si>
  <si>
    <t>Rt. Hon. Prof. Aaron Mike Oquaye</t>
  </si>
  <si>
    <t>UNHCR-Farm</t>
  </si>
  <si>
    <t>Commit Estate, Kwabenya</t>
  </si>
  <si>
    <t>Tino Solutions Limited, Kumasi</t>
  </si>
  <si>
    <t>Tino Solutions Limited</t>
  </si>
  <si>
    <t>0246235000</t>
  </si>
  <si>
    <t>Tema Freezone</t>
  </si>
  <si>
    <t>AMP Logistics, Asante Kwame</t>
  </si>
  <si>
    <t>Nestle Ghana / EasySolar 48V/3kVA (006) Noble Warehouse</t>
  </si>
  <si>
    <t xml:space="preserve">Nestle Ghana Business Center </t>
  </si>
  <si>
    <t>Ampain</t>
  </si>
  <si>
    <t>UNHCR Hospital</t>
  </si>
  <si>
    <t>Christian Akuffo</t>
  </si>
  <si>
    <t>Ekow IT Consortium</t>
  </si>
  <si>
    <t>Tilman Rippel</t>
  </si>
  <si>
    <t>Frank Domoh</t>
  </si>
  <si>
    <t>Frank Domoh Office Minex 360</t>
  </si>
  <si>
    <t>Teabag Charity-(Mankoadze Vocational College)</t>
  </si>
  <si>
    <t>Gorden</t>
  </si>
  <si>
    <t>Postino</t>
  </si>
  <si>
    <t xml:space="preserve">Username              </t>
  </si>
  <si>
    <t>Passcode</t>
  </si>
  <si>
    <t>Winneba</t>
  </si>
  <si>
    <t>Sunyani</t>
  </si>
  <si>
    <t>Lawrence Howard</t>
  </si>
  <si>
    <t>Sierra Leone</t>
  </si>
  <si>
    <t>0505865981 / 024653243</t>
  </si>
  <si>
    <t>Victron SmartSolar MPPT 75/10 Retail</t>
  </si>
  <si>
    <t>Victron SmartSolar MPPT 75/15 Retail</t>
  </si>
  <si>
    <t>Victron SmartSolar MPPT 100/15 Retail</t>
  </si>
  <si>
    <t>Victron SmartSolar MPPT 100/30</t>
  </si>
  <si>
    <t>Victron SmartSolar MPPT 100/50</t>
  </si>
  <si>
    <t>Victron SmartSolar MPPT 150/35</t>
  </si>
  <si>
    <t>Victron SmartSolar MPPT 150/60-Tr</t>
  </si>
  <si>
    <t>Victron SmartSolar MPPT 150/70-Tr</t>
  </si>
  <si>
    <t>Victron SmartSolar MPPT 150/70-Tr VE.Can</t>
  </si>
  <si>
    <t>Victron SmartSolar MPPT 150/85-Tr VE.Can</t>
  </si>
  <si>
    <t>Victron SmartSolar MPPT 150/100-Tr VE.Can</t>
  </si>
  <si>
    <t>Victron SmartSolar MPPT 250/60-Tr</t>
  </si>
  <si>
    <t>Victron SmartSolar MPPT 250/70-Tr</t>
  </si>
  <si>
    <t>Victron SmartSolar MPPT 250/70-Tr VE.Can</t>
  </si>
  <si>
    <t>Victron SmartSolar MPPT 250/85-Tr VE.Can</t>
  </si>
  <si>
    <t>Victron SmartSolar MPPT 250/85-MC4 VE.Can</t>
  </si>
  <si>
    <t>Victron SmartSolar MPPT 250/100-Tr VE.Can</t>
  </si>
  <si>
    <t>Victron SmartSolar MPPT 250/100-MC4 VE.Can</t>
  </si>
  <si>
    <t>Victron SmartSolar Pluggable Display</t>
  </si>
  <si>
    <t>Victron 12V/8Ah AGM Deep Cycle Battery</t>
  </si>
  <si>
    <t>Victron 12V/14Ah AGM Deep Cycle Battery</t>
  </si>
  <si>
    <t>Victron 12V/22Ah AGM Deep Cycle Battery</t>
  </si>
  <si>
    <t>Victron 12V/38Ah AGM Deep Cycle Battery</t>
  </si>
  <si>
    <t>Victron 12V/60Ah AGM Deep Cycle Battery</t>
  </si>
  <si>
    <t>Victron 12V/90Ah AGM Deep Cycle Battery</t>
  </si>
  <si>
    <t>Victron 12V/110Ah AGM Deep Cycle Battery</t>
  </si>
  <si>
    <t>Victron 12V/200Ah AGM Telecomm Battery (M8)</t>
  </si>
  <si>
    <t>Victron 12V/220Ah Gel Deep Cycle Battery</t>
  </si>
  <si>
    <t>Patrick</t>
  </si>
  <si>
    <t>Victron Venus GX</t>
  </si>
  <si>
    <t>Victron CCGX WiFi module simple (Nano USB)</t>
  </si>
  <si>
    <t>Victron Energy Meter EM24 - 3 phase - max 65A/phase Ethernet</t>
  </si>
  <si>
    <t>Victron Energy Meter ET112 - 1 phase - max 100A</t>
  </si>
  <si>
    <t>Victron Energy Meter ET340 - 3 phase - max 65A/phase</t>
  </si>
  <si>
    <t>Victron Zigbee to RS485 converter</t>
  </si>
  <si>
    <t>Victron Zigbee to USB converter</t>
  </si>
  <si>
    <t>Victron Wall mounted enclosure for Color Control GX</t>
  </si>
  <si>
    <t>Victron Wall mounted enclosure for Color Control GX and BMV or MPPT</t>
  </si>
  <si>
    <t>Victron Cerbo GX</t>
  </si>
  <si>
    <t>Victron MultiPlus 48/500/6-16 230V VE.Bus</t>
  </si>
  <si>
    <t>Victron MultiPlus 48/800/9-16 230V VE.Bus</t>
  </si>
  <si>
    <t>Victron MultiPlus 48/1200/13-16 230V VE.Bus</t>
  </si>
  <si>
    <t>Victron MultiPlus 48/1600/20-16 230V VE.Bus</t>
  </si>
  <si>
    <t>Victron MultiPlus 48/3000/35-16 230V VE.Bus</t>
  </si>
  <si>
    <t>Victron MultiPlus 48/3000/35-50 230V VE.Bus</t>
  </si>
  <si>
    <t>Victron MultiPlus-II 48/3000/35-32 230V</t>
  </si>
  <si>
    <t>Victron MultiPlus-II 48/3000/35-32 230V GX</t>
  </si>
  <si>
    <t>Victron MultiPlus 48/5000/70-100 230V VE.Bus</t>
  </si>
  <si>
    <t>Victron MultiPlus-II 48/5000/70-50 230V</t>
  </si>
  <si>
    <t>Victron MultiPlus-II 48/5000/70-50 230V GX</t>
  </si>
  <si>
    <t>Victron Quattro 48/5000/70-100/100 230V VE.Bus</t>
  </si>
  <si>
    <t>Victron Quattro 48/8000/110-100/100 230V VE.Bus</t>
  </si>
  <si>
    <t>Victron Quattro 48/10000/140-100/100 230V VE.Bus</t>
  </si>
  <si>
    <t>Victron Quattro 48/15000/200-100/100 230V VE.Bus</t>
  </si>
  <si>
    <t>Victron EasySolar-II 48/3000/35-32 MPPT 250/70 GX</t>
  </si>
  <si>
    <t>Victron Battery Monitor BMV-700</t>
  </si>
  <si>
    <t>Victron Battery Monitor BMV-702</t>
  </si>
  <si>
    <t>Victron RJ45 UTP Cable 3 m</t>
  </si>
  <si>
    <t>Victron RJ45 UTP Cable 5 m</t>
  </si>
  <si>
    <t>Victron VE.Direct Cable 0,3m</t>
  </si>
  <si>
    <t>Victron VE.Direct Cable 1,8m</t>
  </si>
  <si>
    <t>Victron VE.Direct Cable 3m</t>
  </si>
  <si>
    <t>Victron VE.Direct Cable 5m</t>
  </si>
  <si>
    <t>Victron VE.Direct Cable 10m</t>
  </si>
  <si>
    <t>Victron Interface MK3-USB (VE.Bus to USB)</t>
  </si>
  <si>
    <t>Victron RS232 to USB converter</t>
  </si>
  <si>
    <t>Victron VE.Direct to RS232 interface</t>
  </si>
  <si>
    <t>Victron RS485 to USB interface 1.8m</t>
  </si>
  <si>
    <t>Victron RS485 to USB interface 5m</t>
  </si>
  <si>
    <t>Victron VE.Can RJ45 terminator (bag of 2)</t>
  </si>
  <si>
    <t>Victron Fuse holder for MIDI-fuse</t>
  </si>
  <si>
    <t>Victron MIDI-fuse 60A/32V (package of 5 pcs)</t>
  </si>
  <si>
    <t>Victron Fuse holder for MEGA-fuse</t>
  </si>
  <si>
    <t>Victron Fuse holder 6-way for MEGA-fuse</t>
  </si>
  <si>
    <t>Victron Modular fuse holder for MEGA-fuse</t>
  </si>
  <si>
    <t>Victron MEGA-fuse 60A/32V (package of 5 pcs)</t>
  </si>
  <si>
    <t>Victron MEGA-fuse 300A/32V (package of 5 pcs)</t>
  </si>
  <si>
    <t>Victron MEGA-fuse 400A/32V (package of 5 pcs)</t>
  </si>
  <si>
    <t>Victron MEGA-fuse 500A/32V (package of 5 pcs)</t>
  </si>
  <si>
    <t>Victron MEGA-fuse 125A/58V for 48V products (1 pc)</t>
  </si>
  <si>
    <t>Victron MEGA-fuse 200A/58V for 48V products (1 pc)</t>
  </si>
  <si>
    <t>Victron MEGA-fuse 250A/58V for 48V products (1 pc)</t>
  </si>
  <si>
    <t>Victron Fuse holder for ANL-fuse</t>
  </si>
  <si>
    <t>Victron ANL-fuse 500A/80V for 48V products (1 pc)</t>
  </si>
  <si>
    <t>Victron MC4 Solar connector pair MC4, 1x Male/1x Female</t>
  </si>
  <si>
    <t>Victron MC4 Solar splitter pair MC4-Y, 1x M-2F / 1xF-2M</t>
  </si>
  <si>
    <t>Citel DC Surge Protection Device DS50VGPVS-1000/51</t>
  </si>
  <si>
    <t>Citel DC Surge Protection Device DS50VGPVS-1500/51</t>
  </si>
  <si>
    <t>Victron Lynx Power In</t>
  </si>
  <si>
    <t>0501544661</t>
  </si>
  <si>
    <t>32A Manual Transfer Switch</t>
  </si>
  <si>
    <t>63A Manual Transfer Switch</t>
  </si>
  <si>
    <t>Cable Trays, PVC Pipes, Trunking and Assessories</t>
  </si>
  <si>
    <t>PVC Pipes, Trunking, Cable Lugs and Assessories</t>
  </si>
  <si>
    <t>Eastern Region</t>
  </si>
  <si>
    <t>Central Region</t>
  </si>
  <si>
    <t>Greater Accra Region</t>
  </si>
  <si>
    <t>Ashanti Region</t>
  </si>
  <si>
    <t>Western Region</t>
  </si>
  <si>
    <t>Adenta West</t>
  </si>
  <si>
    <t>Volta Region</t>
  </si>
  <si>
    <t>David Nana Kojo Hutchful</t>
  </si>
  <si>
    <t>0549959580</t>
  </si>
  <si>
    <t>dhutchful@gmail.com</t>
  </si>
  <si>
    <t>Daystar Power Group Limited</t>
  </si>
  <si>
    <t>No.6 Airport Road, Airport Residential Area</t>
  </si>
  <si>
    <t>Marina Agortimevor</t>
  </si>
  <si>
    <t>0245156040</t>
  </si>
  <si>
    <t>Mobile Money Number: 0247671755</t>
  </si>
  <si>
    <t>50x200mm Enclosure with Dinrail</t>
  </si>
  <si>
    <t>Charles Osei</t>
  </si>
  <si>
    <t>North Legon</t>
  </si>
  <si>
    <t>0248140378</t>
  </si>
  <si>
    <t>BYD Battery-Box Premium LVS PDU</t>
  </si>
  <si>
    <t>BYD Battery-Box Premium LV BMU</t>
  </si>
  <si>
    <t>BYD Battery-Box Premium HV BCU</t>
  </si>
  <si>
    <t>100A Manual Transfer Switch</t>
  </si>
  <si>
    <t>Senyo Agbozo</t>
  </si>
  <si>
    <t>Ayimensah Park</t>
  </si>
  <si>
    <t>0543912222</t>
  </si>
  <si>
    <t>Juabeng Rural Bank</t>
  </si>
  <si>
    <t>Ejisu</t>
  </si>
  <si>
    <t>0248997047</t>
  </si>
  <si>
    <t>Fronius datamanager 2.0 Wlan GalSymPrim</t>
  </si>
  <si>
    <t>1x6mm2 RV-K 0.6/1KV Yellow/Green Earth Cable</t>
  </si>
  <si>
    <t>1x2.5mm2 RV-K 0.6/1KV Yellow/Green Earth Cable</t>
  </si>
  <si>
    <t>km/l</t>
  </si>
  <si>
    <t>GH₵/l</t>
  </si>
  <si>
    <t>Transportation and Accommodation</t>
  </si>
  <si>
    <t>Hotel Price + Feeding Per night</t>
  </si>
  <si>
    <t>Accommodation</t>
  </si>
  <si>
    <t>No. of Workers</t>
  </si>
  <si>
    <t>Juabeng Rural Bank - Headoffice</t>
  </si>
  <si>
    <t>Juabeng</t>
  </si>
  <si>
    <t>Peter Owusu</t>
  </si>
  <si>
    <t>Dunkwa-on-Offin</t>
  </si>
  <si>
    <t>0547985458</t>
  </si>
  <si>
    <t>No. of Nights</t>
  </si>
  <si>
    <t>Victron Solar Busbar 150A 6P + cover</t>
  </si>
  <si>
    <t>Victron Solar Busbar 600A 4P + cover</t>
  </si>
  <si>
    <t>Victron Solar Busbar 600A 8P + cover</t>
  </si>
  <si>
    <t>BYD Male Connector for 70mm2 Cable</t>
  </si>
  <si>
    <t>Brigadier General Boampong</t>
  </si>
  <si>
    <t>Borteyman</t>
  </si>
  <si>
    <t>Richard Osabu</t>
  </si>
  <si>
    <t>0554472667</t>
  </si>
  <si>
    <t>Victron Phoenix Inverter 48/5000 230V Smart</t>
  </si>
  <si>
    <t>Victron Phoenix Inverter 48/250 230V VE.Direct UK</t>
  </si>
  <si>
    <t>Victron Phoenix Inverter 48/375 230V VE.Direct UK</t>
  </si>
  <si>
    <t>Victron Phoenix Inverter 48/500 230V VE.Direct UK</t>
  </si>
  <si>
    <t>Victron Phoenix Inverter 48/800 230V VE.Direct UK</t>
  </si>
  <si>
    <t>Victron Phoenix Inverter 48/1200 230V VE.Direct UK</t>
  </si>
  <si>
    <t>Victron MultiPlus-II 48/8000/110-100/100 230V</t>
  </si>
  <si>
    <t>Victron EasySolar-II 24/3000/70-32 MPPT 250/70 GX</t>
  </si>
  <si>
    <t>Victron EasySolar-II 48/5000/70-50 MPPT 250/100 GX</t>
  </si>
  <si>
    <t>Fronius Tauro Eco-50-3-D</t>
  </si>
  <si>
    <t>Fronius Tauro Eco-100-3-D</t>
  </si>
  <si>
    <t>DC Connector kit 10-27kw 35mm2</t>
  </si>
  <si>
    <t>FRONIUS IG Sensor Box</t>
  </si>
  <si>
    <t>Irradiation sensor</t>
  </si>
  <si>
    <t>Ambient Temperature sensor</t>
  </si>
  <si>
    <t>Module Temperature sensor</t>
  </si>
  <si>
    <t>Wind speed sensor</t>
  </si>
  <si>
    <t>Victron Battery Monitor BMV-712 Smart Retail</t>
  </si>
  <si>
    <t>Victron Battery Monitor BMV-700 Retail</t>
  </si>
  <si>
    <t>Victron Battery Monitor BMV-702 Retail</t>
  </si>
  <si>
    <t>Victron 12V/90Ah AGM Deep Cycle Battery (M6)</t>
  </si>
  <si>
    <t>Victron 12V/110Ah AGM Deep Cycle Battery (M8)</t>
  </si>
  <si>
    <t>Victron 12V/220Ah AGM Deep Cycle Battery (M8)</t>
  </si>
  <si>
    <t>Citel AC Surge Protection Device DAC50VGS-11-275/G VAC 1-Phase</t>
  </si>
  <si>
    <t>Citel AC Surge Protection Device DAC50VGS-31-275/G VAC 3-Phase</t>
  </si>
  <si>
    <t>Victron GX Touch 50 Wall Mount</t>
  </si>
  <si>
    <t>Victron GX Touch 70 Wall Mount</t>
  </si>
  <si>
    <t>SmartSolar MPPT RS 450/100-Tr</t>
  </si>
  <si>
    <t>SmartSolar MPPT RS 450/200-Tr</t>
  </si>
  <si>
    <t>Victron SmartSolar MPPT 150/45</t>
  </si>
  <si>
    <t>Victron SmartSolar MPPT 150/70-MC4 VE.Can</t>
  </si>
  <si>
    <t>Victron SmartSolar MPPT 150/85-MC4 VE.Can</t>
  </si>
  <si>
    <t>Victron SmartSolar MPPT 150/100-MC4 VE.Can</t>
  </si>
  <si>
    <t>Victron SmartSolar MPPT 250/70-MC4 VE.Can</t>
  </si>
  <si>
    <t>Victron MPPT WireBox-S 75-10/15</t>
  </si>
  <si>
    <t>Victron MPPT WireBox-S 100-15</t>
  </si>
  <si>
    <t>Victron MPPT WireBox-S 100-20</t>
  </si>
  <si>
    <t>Solar DC Combiner BHS 2/1</t>
  </si>
  <si>
    <t>Solar DC Combiner BHS 3/1</t>
  </si>
  <si>
    <t>Solar DC Combiner BHS 4/1</t>
  </si>
  <si>
    <t>Solar DC Combiner BHS 4/2</t>
  </si>
  <si>
    <t>Solar DC Combiner BHS 6/2</t>
  </si>
  <si>
    <t>Solar DC High Voltage String Combiner BHT 6/1</t>
  </si>
  <si>
    <t>Solar DC High Voltage String Combiner BHT 6/2</t>
  </si>
  <si>
    <t>Solar DC High Voltage String Combiner BHT 12/2</t>
  </si>
  <si>
    <t>Solar AC Combiner BBWX-4/1 C40A AC230/400 160A/400 Out</t>
  </si>
  <si>
    <t>Solar AC Combiner BBWX-4/1 C50A AC230/400 200A/400 Out</t>
  </si>
  <si>
    <t>Solar AC Combiner BBWX-6/1 C40A AC230/400 250A/400 Out</t>
  </si>
  <si>
    <t>Solar AC Combiner BBWX-6/1 C50A AC230/400 320A/400 Out</t>
  </si>
  <si>
    <t>Solar AC Combiner BBWX-3/1 In=320A AC230/400 1000A/400 Out</t>
  </si>
  <si>
    <t>Solar AC Combiner BBWX-4/1 In=160A AC230/400 630A/400 Out</t>
  </si>
  <si>
    <t>Solar AC Combiner BBWX-4/1 In=200A AC230/400 800A/400 Out</t>
  </si>
  <si>
    <t>Solar AC Combiner BBWX-5/1 In=200A AC230/400 1000A/400 Out</t>
  </si>
  <si>
    <t>Solar AC Combiner BBWX-6/1 In=160A AC230/400 1000A/400 Out</t>
  </si>
  <si>
    <t>Solar AC Combiner BBWX-6/1 In=200A AC230/400 1250A/400 Out</t>
  </si>
  <si>
    <t>Solar AC Combiner BBWX-1 5KW AC BOX</t>
  </si>
  <si>
    <t>Solar AC Combiner BBWX-1 10KW AC BOX</t>
  </si>
  <si>
    <t>Victron Battery switch ON/OFF 275A</t>
  </si>
  <si>
    <t>End User (GHC)</t>
  </si>
  <si>
    <t>End User (USD)</t>
  </si>
  <si>
    <t>SuperDealer (USD)</t>
  </si>
  <si>
    <t>SuperDealer (GHC)</t>
  </si>
  <si>
    <t>Revival Outreach Church</t>
  </si>
  <si>
    <t>0572124795</t>
  </si>
  <si>
    <t>Engineering, Transportation and Installation Services</t>
  </si>
  <si>
    <t>UNDP - System 1</t>
  </si>
  <si>
    <t>UNDP - System 2</t>
  </si>
  <si>
    <t>Azda Phoster</t>
  </si>
  <si>
    <t>Teshie - Bushroad</t>
  </si>
  <si>
    <t>+16463795418 / 0546285263</t>
  </si>
  <si>
    <t>0243123355</t>
  </si>
  <si>
    <t>Ethel Amankwah</t>
  </si>
  <si>
    <t>0277274462</t>
  </si>
  <si>
    <t>Secondi</t>
  </si>
  <si>
    <t>Upper East Region</t>
  </si>
  <si>
    <t>Ho</t>
  </si>
  <si>
    <t>Upper West Region</t>
  </si>
  <si>
    <t>Bono Region</t>
  </si>
  <si>
    <t>Ahafo Region</t>
  </si>
  <si>
    <t>Goaso</t>
  </si>
  <si>
    <t>Oti Region</t>
  </si>
  <si>
    <t>Dambai</t>
  </si>
  <si>
    <t>Bono East Region</t>
  </si>
  <si>
    <t>Techiman</t>
  </si>
  <si>
    <t>North East Region</t>
  </si>
  <si>
    <t>Nalerigu</t>
  </si>
  <si>
    <t>Savanna Region</t>
  </si>
  <si>
    <t>Damango</t>
  </si>
  <si>
    <t>Rife International</t>
  </si>
  <si>
    <t>0543691289</t>
  </si>
  <si>
    <t>Ahmed Bedwei</t>
  </si>
  <si>
    <t>0243224018</t>
  </si>
  <si>
    <t>Dennis Wiredu Asare</t>
  </si>
  <si>
    <t>0246883322</t>
  </si>
  <si>
    <t>Theophilus</t>
  </si>
  <si>
    <t>0544338554</t>
  </si>
  <si>
    <t>Radio Station</t>
  </si>
  <si>
    <t>Krachi</t>
  </si>
  <si>
    <t>Victron MultiPlus 12/500/20-16 230V VE.Bus</t>
  </si>
  <si>
    <t>Victron MultiPlus 12/800/35-16 230V VE.Bus</t>
  </si>
  <si>
    <t>Victron MultiPlus 12/1200/50-16 230V VE.Bus</t>
  </si>
  <si>
    <t>Victron MultiPlus 12/1600/70-16 230V VE.Bus</t>
  </si>
  <si>
    <t>Victron MultiPlus 12/2000/80-32 230V VE.Bus</t>
  </si>
  <si>
    <t>Victron Phoenix Inverter 12/250 230V VE.Direct UK</t>
  </si>
  <si>
    <t>Victron Phoenix Inverter 12/375 230V VE.Direct UK</t>
  </si>
  <si>
    <t>Victron Phoenix Inverter 12/500 230V VE.Direct UK</t>
  </si>
  <si>
    <t>Victron Phoenix Inverter 12/800 230V VE.Direct UK</t>
  </si>
  <si>
    <t>Victron Phoenix Inverter 12/1200 230V VE.Direct UK</t>
  </si>
  <si>
    <t>Victron Phoenix Inverter 24/250 230V VE.Direct UK</t>
  </si>
  <si>
    <t>Victron Phoenix Inverter 24/375 230V VE.Direct UK</t>
  </si>
  <si>
    <t>Victron Phoenix Inverter 24/500 230V VE.Direct UK</t>
  </si>
  <si>
    <t>Victron Phoenix Inverter 24/800 230V VE.Direct UK</t>
  </si>
  <si>
    <t>Victron Phoenix Inverter 24/1200 230V VE.Direct UK</t>
  </si>
  <si>
    <t>Victron Phoenix Inverter 48/1600 230V Smart</t>
  </si>
  <si>
    <t>Victron Phoenix Inverter 48/2000 230V Smart</t>
  </si>
  <si>
    <t>Victron Phoenix Inverter 48/3000 230V Smart</t>
  </si>
  <si>
    <t>Fronius Symo 5.0-3-M 5kw light</t>
  </si>
  <si>
    <t>Fonius Symo 6.0-3-M 6kw Light</t>
  </si>
  <si>
    <t>Froius Symo 3.0-3-S 3kw light</t>
  </si>
  <si>
    <t>Fronius Eco 25.0-3-S 25kw light</t>
  </si>
  <si>
    <t>Fronius Eco 27.0-3-S kw light</t>
  </si>
  <si>
    <t>Fronius smart meter 65A-3</t>
  </si>
  <si>
    <t>Fronius smart meter 100A-1</t>
  </si>
  <si>
    <t>BYD MLKT-36-182 K530 Watts Solar panel</t>
  </si>
  <si>
    <t>Peter</t>
  </si>
  <si>
    <t>0244335000</t>
  </si>
  <si>
    <t>Patrick-SPS</t>
  </si>
  <si>
    <t>0247475023</t>
  </si>
  <si>
    <t>Hikra Sol DC Solar cable 1x4mm2 1500V H1Z2Z2</t>
  </si>
  <si>
    <t>Hikra Sol DC Solar cable 1x6mm2 1500V H1Z2Z2</t>
  </si>
  <si>
    <t>Hikra Sol DC Solar cable 1x10mm2 1500V H1Z2Z2</t>
  </si>
  <si>
    <t>Top Cable AC solar cable 5x16mm2 RV-K 0.6/1KV</t>
  </si>
  <si>
    <t>Top Cable AC solar cable 5x25mm2 RV-K 0.6/1KV</t>
  </si>
  <si>
    <t>Top Cable AC solar cable 5x4mm2 RV-K 0.6/1KV</t>
  </si>
  <si>
    <t>Top Cable AC solar cable 5x6mm2 RV-K 0.6/1KV</t>
  </si>
  <si>
    <t>Top Cable AC solar cable 5x10mm2 RV-K 0.6/1KV</t>
  </si>
  <si>
    <t>Hikra Sol DC Solar cable 1x16mm2 1500V H1Z2Z2</t>
  </si>
  <si>
    <t>Hikra Sol DC Solar cable 1x25mm2 1500V H1Z2Z2</t>
  </si>
  <si>
    <t>Hikra Sol DC Solar cable 1x35mm2 1500V H1Z2Z2</t>
  </si>
  <si>
    <t>Hikra Sol DC Solar cable 1x50mm2 1500V H1Z2Z2</t>
  </si>
  <si>
    <t>Hikra Sol DC Solar cable 1x70mm2 1500V H1Z2Z2</t>
  </si>
  <si>
    <t>Hikra Sol DC Solar cable 1x95mm2 1500V H1Z2Z2</t>
  </si>
  <si>
    <t>Less Special Discount</t>
  </si>
  <si>
    <t>James Annan - Doboro</t>
  </si>
  <si>
    <t>Doboro</t>
  </si>
  <si>
    <t>0208228224</t>
  </si>
  <si>
    <t>Top Cable AC solar cable 5x35mm2 RV-K 0.6/1KV</t>
  </si>
  <si>
    <t>Top Cable AC solar cable 5x50mm2 RV-K 0.6/1KV</t>
  </si>
  <si>
    <t>Top Cable AC solar cable 5x70mm2 RV-K 0.6/1KV</t>
  </si>
  <si>
    <t>Furnart Ghana Limited</t>
  </si>
  <si>
    <t>0559743601</t>
  </si>
  <si>
    <t>Top Cable AC solar cable 1x95mm2 RV-K 0.6/1KV</t>
  </si>
  <si>
    <t>Top Cable AC solar cable 1x300mm2 RV-K 0.6/1KV</t>
  </si>
  <si>
    <t>600x600mm Enclosure with Dinrail</t>
  </si>
  <si>
    <t>St. Gabriel International School - Residence/Admin</t>
  </si>
  <si>
    <t>St. Gabriel International School - School</t>
  </si>
  <si>
    <t>0508740785</t>
  </si>
  <si>
    <t>Lawyer Nathan Tei</t>
  </si>
  <si>
    <t>AC solar cable 2x1.5mm2 RV-K 0.6/1KV for CTs</t>
  </si>
  <si>
    <t>Suhum</t>
  </si>
  <si>
    <t>Yayra Glover Limited - Intertech Energy Solutions Ltd</t>
  </si>
  <si>
    <t>0542854967</t>
  </si>
  <si>
    <t>Carlo Gavazzi Battery 24V 1.2Ah (28.8Wh) / Additional power supply (15min) | Lead-acid battery</t>
  </si>
  <si>
    <t>Carlo Gavazzi AC Meter | 5A | 330 / Power meter at grid, load &amp; genset connection points</t>
  </si>
  <si>
    <t>Carlo Gavazzi CT 5A -1000 A / Current transducer for AC meter</t>
  </si>
  <si>
    <t>Data Logger Rental per day</t>
  </si>
  <si>
    <t>James Annan - Airport</t>
  </si>
  <si>
    <t>Victron Shunt 500A/50m</t>
  </si>
  <si>
    <t>Super Dealer</t>
  </si>
  <si>
    <t>Kofi Larbi</t>
  </si>
  <si>
    <t>0242626200</t>
  </si>
  <si>
    <t>Benjamin Klutse</t>
  </si>
  <si>
    <t>Amanfrom</t>
  </si>
  <si>
    <t>0505326840</t>
  </si>
  <si>
    <t>SGL SUB 1 LIMITED</t>
  </si>
  <si>
    <t>H HESSEL CLOSE, AIRPORT RESIDENTIAL</t>
  </si>
  <si>
    <t>ACCRA</t>
  </si>
  <si>
    <t>0200511100</t>
  </si>
  <si>
    <t>Managing Director</t>
  </si>
  <si>
    <t>12-Port Ethernet Switch</t>
  </si>
  <si>
    <t>SOLAR SYSTEM COMPONENTS COST</t>
  </si>
  <si>
    <t>Victron VE.Can to CAN-bus BMS type A Cable 1.8m</t>
  </si>
  <si>
    <t>Victron VE.Can to CAN-bus BMS type A Cable 5m</t>
  </si>
  <si>
    <t>Victron VE.Can to CAN-bus BMS type B Cable 1.8m</t>
  </si>
  <si>
    <t>Victron VE.Can to CAN-bus BMS type B Cable 5m</t>
  </si>
  <si>
    <t>DATA LOGGER RENTAL FROM 13-05-2022 TO 20-05-2022</t>
  </si>
  <si>
    <t>Eunice Adu</t>
  </si>
  <si>
    <t>VICTRON HYBRID SOLAR SYSTEM</t>
  </si>
  <si>
    <t>Ernest Gyekye</t>
  </si>
  <si>
    <t>0501630971</t>
  </si>
  <si>
    <t>TROUBLESHOOTING OF FAULT ON SOLAR SYSTEM</t>
  </si>
  <si>
    <t>Delivery</t>
  </si>
  <si>
    <t>Payment</t>
  </si>
  <si>
    <t>Validity</t>
  </si>
  <si>
    <r>
      <rPr>
        <b/>
        <sz val="12"/>
        <color theme="1"/>
        <rFont val="Times New Roman"/>
        <family val="1"/>
      </rPr>
      <t>Delivery:</t>
    </r>
    <r>
      <rPr>
        <sz val="12"/>
        <color theme="1"/>
        <rFont val="Times New Roman"/>
        <family val="1"/>
      </rPr>
      <t xml:space="preserve"> Immediate upon confirmation of payment</t>
    </r>
  </si>
  <si>
    <r>
      <rPr>
        <b/>
        <sz val="12"/>
        <color theme="1"/>
        <rFont val="Times New Roman"/>
        <family val="1"/>
      </rPr>
      <t>Delivery:</t>
    </r>
    <r>
      <rPr>
        <sz val="12"/>
        <color theme="1"/>
        <rFont val="Times New Roman"/>
        <family val="1"/>
      </rPr>
      <t xml:space="preserve"> Within 30 days after receipt of Purchase Order</t>
    </r>
  </si>
  <si>
    <r>
      <rPr>
        <b/>
        <sz val="12"/>
        <color theme="1"/>
        <rFont val="Times New Roman"/>
        <family val="1"/>
      </rPr>
      <t>Payment:</t>
    </r>
    <r>
      <rPr>
        <sz val="12"/>
        <color theme="1"/>
        <rFont val="Times New Roman"/>
        <family val="1"/>
      </rPr>
      <t xml:space="preserve"> 100% Payment with order</t>
    </r>
  </si>
  <si>
    <r>
      <rPr>
        <b/>
        <sz val="12"/>
        <color theme="1"/>
        <rFont val="Times New Roman"/>
        <family val="1"/>
      </rPr>
      <t>Payment:</t>
    </r>
    <r>
      <rPr>
        <sz val="12"/>
        <color theme="1"/>
        <rFont val="Times New Roman"/>
        <family val="1"/>
      </rPr>
      <t xml:space="preserve"> 70% Payment with order, 30% Payment upon system Commissioning</t>
    </r>
  </si>
  <si>
    <t>Warranty</t>
  </si>
  <si>
    <r>
      <rPr>
        <b/>
        <sz val="12"/>
        <color theme="1"/>
        <rFont val="Times New Roman"/>
        <family val="1"/>
      </rPr>
      <t xml:space="preserve">Warranty: </t>
    </r>
    <r>
      <rPr>
        <sz val="12"/>
        <color theme="1"/>
        <rFont val="Times New Roman"/>
        <family val="1"/>
      </rPr>
      <t>10 years for battery, 5 years for inverter and accessories, 10 years for solar panels</t>
    </r>
  </si>
  <si>
    <r>
      <rPr>
        <b/>
        <sz val="12"/>
        <color theme="1"/>
        <rFont val="Times New Roman"/>
        <family val="1"/>
      </rPr>
      <t xml:space="preserve">Warranty: </t>
    </r>
    <r>
      <rPr>
        <sz val="12"/>
        <color theme="1"/>
        <rFont val="Times New Roman"/>
        <family val="1"/>
      </rPr>
      <t>1 year for battery, 5 years for inverter and accessories, 10 years for solar panels</t>
    </r>
  </si>
  <si>
    <r>
      <rPr>
        <b/>
        <sz val="12"/>
        <color theme="1"/>
        <rFont val="Times New Roman"/>
        <family val="1"/>
      </rPr>
      <t xml:space="preserve">Warranty: </t>
    </r>
    <r>
      <rPr>
        <sz val="12"/>
        <color theme="1"/>
        <rFont val="Times New Roman"/>
        <family val="1"/>
      </rPr>
      <t>5 years for inverter and accessories, 10 years for solar panels</t>
    </r>
  </si>
  <si>
    <t xml:space="preserve">System Design: System Components for Installation by client </t>
  </si>
  <si>
    <t>System Design</t>
  </si>
  <si>
    <t xml:space="preserve">System Design: Hybrid Solar system to supply power to residential facility </t>
  </si>
  <si>
    <t>System Design: Grid-tied solar system for commercial facility</t>
  </si>
  <si>
    <t>System Design: Grid-tied solar system for industrifal facility</t>
  </si>
  <si>
    <t xml:space="preserve">System Design: Hybrid Solar system to supply power to commercial facility </t>
  </si>
  <si>
    <r>
      <rPr>
        <b/>
        <sz val="12"/>
        <color theme="1"/>
        <rFont val="Times New Roman"/>
        <family val="1"/>
      </rPr>
      <t xml:space="preserve">Validity: </t>
    </r>
    <r>
      <rPr>
        <sz val="12"/>
        <color theme="1"/>
        <rFont val="Times New Roman"/>
        <family val="1"/>
      </rPr>
      <t>2 weeks from date of invoice</t>
    </r>
  </si>
  <si>
    <r>
      <rPr>
        <b/>
        <sz val="12"/>
        <color theme="1"/>
        <rFont val="Times New Roman"/>
        <family val="1"/>
      </rPr>
      <t xml:space="preserve">Validity: </t>
    </r>
    <r>
      <rPr>
        <sz val="12"/>
        <color theme="1"/>
        <rFont val="Times New Roman"/>
        <family val="1"/>
      </rPr>
      <t>30 days from date of invoice</t>
    </r>
  </si>
  <si>
    <t>Chain Homes 218</t>
  </si>
  <si>
    <t>Inverter Capacity</t>
  </si>
  <si>
    <t>Battery Capacity</t>
  </si>
  <si>
    <t>Solar Panel Capacity</t>
  </si>
  <si>
    <t>ELSEWEDY ELECTRIC FOR TRANSMISSION &amp; DISTRIBUTION</t>
  </si>
  <si>
    <t>Kotobabi</t>
  </si>
  <si>
    <t>0506732892</t>
  </si>
  <si>
    <t>GRID TIED SOLAR SYSTEM</t>
  </si>
  <si>
    <t>Gallon of Electrolyte</t>
  </si>
  <si>
    <t>Coca Cola Bottling Company - BeBa Africa</t>
  </si>
  <si>
    <t>+31652097999</t>
  </si>
  <si>
    <t>AC solar cable 4x1.5mm2 RV-K 0.6/1KV for CT Voltage Sensing</t>
  </si>
  <si>
    <t>Earthing System</t>
  </si>
  <si>
    <t>DOUMMAR MEP Contracting Ltd</t>
  </si>
  <si>
    <t>0543696216</t>
  </si>
  <si>
    <t>kVA</t>
  </si>
  <si>
    <t>kWh</t>
  </si>
  <si>
    <t>kWp</t>
  </si>
  <si>
    <t>Abdella Salia - Dzorwulu</t>
  </si>
  <si>
    <t>System Design: System Upgrade</t>
  </si>
  <si>
    <t>SOLAR SYSTEM UPGRADE</t>
  </si>
  <si>
    <t>Michael Mawuli Gakpetor</t>
  </si>
  <si>
    <t>0246814366</t>
  </si>
  <si>
    <t>Dr. Adjei</t>
  </si>
  <si>
    <t>Bortianor</t>
  </si>
  <si>
    <t>0240238384</t>
  </si>
  <si>
    <t>Exchange Rate</t>
  </si>
  <si>
    <t>Herona Company Limited</t>
  </si>
  <si>
    <t>0204287707</t>
  </si>
  <si>
    <t>250A Manual Transfer Switch</t>
  </si>
  <si>
    <t>4000A Manual Transfer Switch</t>
  </si>
  <si>
    <t>Sunpower Innovations</t>
  </si>
  <si>
    <t>0249769927</t>
  </si>
  <si>
    <t>Daniel</t>
  </si>
  <si>
    <t>Carlo Gavazzi Battery 24V 7.2Ah (172.8Wh) / Additional power supply | Lead-acid</t>
  </si>
  <si>
    <t>Carlo Gavazzi UPS AC/DC 120W / Uninterruptible power supply</t>
  </si>
  <si>
    <t>Carlo Gavazzi AC Meter 333mV / Power meter at grid, load &amp; genset connection points</t>
  </si>
  <si>
    <t>CT 333mV 3500 A (Pack of 3) - 400mm / Current transducer for AC meter, length 400mm</t>
  </si>
  <si>
    <t>ePowerMonitor - PRO - 1 year access to ePower Monitor Web monitoring and diagnosis platform</t>
  </si>
  <si>
    <t xml:space="preserve">Carlo Gavazzi UPS AC/DC 60W / AC-DC Industrial DIN rail with UPS function </t>
  </si>
  <si>
    <t xml:space="preserve">ASSEU Atsin Philippe </t>
  </si>
  <si>
    <t>Cote D'ivoire</t>
  </si>
  <si>
    <t>1x16mm2 RV-K 0.6/1KV Yellow/Green Earth Cable</t>
  </si>
  <si>
    <t>+(225) 07 08 82 21 78</t>
  </si>
  <si>
    <t>Ekow Mensshan</t>
  </si>
  <si>
    <t>0208132704</t>
  </si>
  <si>
    <t>Total Petroleum Ghana Limited, Tema, Anloga Junction</t>
  </si>
  <si>
    <t>Anloga Junction</t>
  </si>
  <si>
    <t>Total Petroleum Ghana Limited, Tema, Suame Roundabout</t>
  </si>
  <si>
    <t>Suame Roundabout</t>
  </si>
  <si>
    <t>Total Petroleum Ghana Limited, Tema, Oxford Street</t>
  </si>
  <si>
    <t>Oxford Street, Osu</t>
  </si>
  <si>
    <t>SOLAR SYSTEM RELOCATION</t>
  </si>
  <si>
    <t>REMOVAL OF SOLAR SYSTEM COMPONENTS AND REINSTALLATION</t>
  </si>
  <si>
    <t>DECOMMISSIONING OF SOLAR SYSTEM</t>
  </si>
  <si>
    <t>Civil Works for Ground-mount structure</t>
  </si>
  <si>
    <t>System Design: Solar System Relocation</t>
  </si>
  <si>
    <t>System Design: Removal and Reinstallation of Solar System</t>
  </si>
  <si>
    <t>0264271451</t>
  </si>
  <si>
    <t>Tony Gotah</t>
  </si>
  <si>
    <t>Price/kWp</t>
  </si>
  <si>
    <t>China Geo Engineering Corporation</t>
  </si>
  <si>
    <t>0209080439</t>
  </si>
  <si>
    <t>Top Cable AC solar cable 1x120mm2 RV-K 0.6/1KV</t>
  </si>
  <si>
    <t>6-Port Ethernet Switch</t>
  </si>
  <si>
    <t>Total Petroleum Ghana Limited, Tema, Accra New-Town</t>
  </si>
  <si>
    <t>Retail with Tax</t>
  </si>
  <si>
    <t>Super Dealer with Tax</t>
  </si>
  <si>
    <t>Nana A. Opoku</t>
  </si>
  <si>
    <t xml:space="preserve">Star Sight Energy </t>
  </si>
  <si>
    <t>Kenneth Owusu</t>
  </si>
  <si>
    <t>Shadrach Arhin</t>
  </si>
  <si>
    <t>Devtraco Estates</t>
  </si>
  <si>
    <t>0208132233</t>
  </si>
  <si>
    <t>Atorkor Vocational Training Institute</t>
  </si>
  <si>
    <t>0593160888</t>
  </si>
  <si>
    <t>Keta</t>
  </si>
  <si>
    <t>Paa Kwesi</t>
  </si>
  <si>
    <t>0244479447 / 
0501633298</t>
  </si>
  <si>
    <t>100kWp Solar System</t>
  </si>
  <si>
    <t>Coil of Shielded RJ45 STP Cable</t>
  </si>
  <si>
    <t>Ebow - IT Consortium - Residence</t>
  </si>
  <si>
    <t>Tema Community 22</t>
  </si>
  <si>
    <t>MAINTENANCE OF SOLAR SYSTEM</t>
  </si>
  <si>
    <t>SOLAR SYSTEM SUPPORT SERVICE</t>
  </si>
  <si>
    <t>Sheila Ohene - Anomabo</t>
  </si>
  <si>
    <t>Sheila Ohene - Aburi</t>
  </si>
  <si>
    <t>Anomabo</t>
  </si>
  <si>
    <t>On-site Technical Support Service</t>
  </si>
  <si>
    <t>0243080785</t>
  </si>
  <si>
    <t>Kwame Adu</t>
  </si>
  <si>
    <t>Aplaku - Kokrobite</t>
  </si>
  <si>
    <t>0208291715</t>
  </si>
  <si>
    <t>GIZ - Ghamfin House</t>
  </si>
  <si>
    <t>0244489819</t>
  </si>
  <si>
    <t>Exornam Lawluvi Solar</t>
  </si>
  <si>
    <t>0244727494</t>
  </si>
  <si>
    <t>Chint 125A 4-Pole AC MCCB</t>
  </si>
  <si>
    <t>Adedeshore Residence</t>
  </si>
  <si>
    <t>Battery Rack for up to 4 Batteries - Lithium Batteries</t>
  </si>
  <si>
    <t>Battery Rack for up to 8 Batteries - Lithium Batteries</t>
  </si>
  <si>
    <t>Battery Rack for up to 12 Batteries - Lithium Batteries</t>
  </si>
  <si>
    <t>Battery Rack for up to 16 Batteries - Lithium Batteries</t>
  </si>
  <si>
    <t>Battery Rack for up to 4 Batteries - Lead Acid Batteries</t>
  </si>
  <si>
    <t>Battery Rack for up to 8 Batteries - Lead Acid Batteries</t>
  </si>
  <si>
    <t>Battery Rack for up to 12 Batteries - Lead Acid Batteries</t>
  </si>
  <si>
    <t>Battery Rack for up to 16 Batteries - Lead Acid Batteries</t>
  </si>
  <si>
    <t>Edward Tetteh</t>
  </si>
  <si>
    <t>New Bortianor</t>
  </si>
  <si>
    <t>0548585888</t>
  </si>
  <si>
    <t>John Tetteh</t>
  </si>
  <si>
    <t>0243819315 / 
0207934724</t>
  </si>
  <si>
    <t>0244330123</t>
  </si>
  <si>
    <t>Thomas - Irrigation</t>
  </si>
  <si>
    <t>Deborah</t>
  </si>
  <si>
    <t>Evans</t>
  </si>
  <si>
    <t>0244854604</t>
  </si>
  <si>
    <t>Richard</t>
  </si>
  <si>
    <t>Kwabenya ACP</t>
  </si>
  <si>
    <t>0246222228</t>
  </si>
  <si>
    <t>GAFTAG</t>
  </si>
  <si>
    <t>0544414862</t>
  </si>
  <si>
    <t>Jeffery Schrimb</t>
  </si>
  <si>
    <t>0243953180</t>
  </si>
  <si>
    <t>Jacob - Atlantic</t>
  </si>
  <si>
    <t>Edward</t>
  </si>
  <si>
    <t>0506874735</t>
  </si>
  <si>
    <t>Mawuli</t>
  </si>
  <si>
    <t>0240114630</t>
  </si>
  <si>
    <t>Eric</t>
  </si>
  <si>
    <t>Kwahu</t>
  </si>
  <si>
    <t>Kwame Danso</t>
  </si>
  <si>
    <t>Brong Ahafo</t>
  </si>
  <si>
    <t>Erma</t>
  </si>
  <si>
    <t>0594038841 / 0599757739</t>
  </si>
  <si>
    <t>Thomas - Farm House - 5 Bedroom - System 1</t>
  </si>
  <si>
    <t>Thomas - Farm House - 5 Bedroom - System 2</t>
  </si>
  <si>
    <t>Thomas - Farm House - 3 Bedroom - System 1</t>
  </si>
  <si>
    <t xml:space="preserve">Thomas - Farm House - Warehouse </t>
  </si>
  <si>
    <t>Clement Quansah</t>
  </si>
  <si>
    <t>Neopower Consultancy</t>
  </si>
  <si>
    <t>0561692835</t>
  </si>
  <si>
    <t>Civil Works for Carport Structure</t>
  </si>
  <si>
    <t>Victron Solar Panel 270W-20V Poly 1640x992x35mm series 4a</t>
  </si>
  <si>
    <t>Fomena-Ashanti</t>
  </si>
  <si>
    <t>Joshua Cobbinah</t>
  </si>
  <si>
    <t>NMS</t>
  </si>
  <si>
    <t>Benjamin Erzoah Kermah</t>
  </si>
  <si>
    <t>Nzema</t>
  </si>
  <si>
    <t>0243438234</t>
  </si>
  <si>
    <t>Aaron Tamakloe</t>
  </si>
  <si>
    <t>Appolonia</t>
  </si>
  <si>
    <t>0556615774</t>
  </si>
  <si>
    <t>Orthodox Chapel - Rev. Larbi</t>
  </si>
  <si>
    <t>Isaac Quaye</t>
  </si>
  <si>
    <t>Odorkor</t>
  </si>
  <si>
    <t>0244660068</t>
  </si>
  <si>
    <t>Godwin Kwao</t>
  </si>
  <si>
    <t>0277754881</t>
  </si>
  <si>
    <t>Awal Mohammed</t>
  </si>
  <si>
    <t>0247115774</t>
  </si>
  <si>
    <t>New Africa Technology Company</t>
  </si>
  <si>
    <t>Liberia</t>
  </si>
  <si>
    <t>10A 2-Pole AC Circuit Breaker</t>
  </si>
  <si>
    <t>16A 2-Pole AC Circuit Breaker</t>
  </si>
  <si>
    <t>32A 2-Pole AC Circuit Breaker</t>
  </si>
  <si>
    <t>40A 2-Pole AC Circuit Breaker</t>
  </si>
  <si>
    <t>63A 2-Pole AC Circuit Breaker</t>
  </si>
  <si>
    <t>100A 2-Pole AC Circuit Breaker</t>
  </si>
  <si>
    <t>250A 2-Pole AC Circuit Breaker</t>
  </si>
  <si>
    <t>32A 4-Pole AC Circuit Breaker</t>
  </si>
  <si>
    <t>40A 4-Pole AC Circuit Breaker</t>
  </si>
  <si>
    <t>63A 4-Pole AC Circuit Breaker</t>
  </si>
  <si>
    <t>100A 4-Pole AC Circuit Breaker</t>
  </si>
  <si>
    <t>250A 4-Pole AC Circuit Breaker</t>
  </si>
  <si>
    <t>SYSTEM COMPONENT COSTS</t>
  </si>
  <si>
    <t>BACKUP SYSTEM</t>
  </si>
  <si>
    <t>Luc Coomans</t>
  </si>
  <si>
    <t>0243225272</t>
  </si>
  <si>
    <t>Dr. George Wepeba</t>
  </si>
  <si>
    <t>Kokrobite</t>
  </si>
  <si>
    <t>0503930283</t>
  </si>
  <si>
    <t>Nii</t>
  </si>
  <si>
    <t>East Legon Hills</t>
  </si>
  <si>
    <t>0266712272</t>
  </si>
  <si>
    <t>Mike</t>
  </si>
  <si>
    <t>0244622924</t>
  </si>
  <si>
    <t>Felix</t>
  </si>
  <si>
    <t>0277430599</t>
  </si>
  <si>
    <t>Genec Electrical</t>
  </si>
  <si>
    <t>0243839480</t>
  </si>
  <si>
    <t xml:space="preserve">Radio Station - Sunyani </t>
  </si>
  <si>
    <t>0540755291</t>
  </si>
  <si>
    <t>+491729579455</t>
  </si>
  <si>
    <t>Paul Okan Adjetey - Ashongman - 3kVA</t>
  </si>
  <si>
    <t>Paul Okan Adjetey - Accra - 8kVA</t>
  </si>
  <si>
    <t>5kWp Hybrid 10kWh</t>
  </si>
  <si>
    <t>10kWp Hybrid 20kWh</t>
  </si>
  <si>
    <t>20kWp Hybrid 40kWh</t>
  </si>
  <si>
    <t>50kWp Hybrid 150kWh</t>
  </si>
  <si>
    <t>Dream Renewables</t>
  </si>
  <si>
    <t>Kofi Boakye Danso</t>
  </si>
  <si>
    <t>0554020335</t>
  </si>
  <si>
    <t>Account Name: Tino Solutions Limited</t>
  </si>
  <si>
    <t>Account No: 0100106241600 (GHS)</t>
  </si>
  <si>
    <t>Account No: 8701506241600 (USD)</t>
  </si>
  <si>
    <t>TINO SOLUTIONS BANKS  ACCOUNT DETAILS</t>
  </si>
  <si>
    <t>ACCOUNT NAME</t>
  </si>
  <si>
    <t>BANK NAME</t>
  </si>
  <si>
    <t>CEDIS</t>
  </si>
  <si>
    <t>DOLLAR</t>
  </si>
  <si>
    <t>BRANCH</t>
  </si>
  <si>
    <t>Bank Branch: Achimota Mall</t>
  </si>
  <si>
    <t>Account No: 0200223082501 (GHS)</t>
  </si>
  <si>
    <t>Account No: 6010184886 (GHS)</t>
  </si>
  <si>
    <t>Account No: 00101312003503 (GHS)</t>
  </si>
  <si>
    <t>Account No: 0111302717161 (GHS)</t>
  </si>
  <si>
    <t>Account No: 1441002237313 (GHS)</t>
  </si>
  <si>
    <t>Account No: 1050028224118 (GHS)</t>
  </si>
  <si>
    <t>Account No: 6040100024 (USD)</t>
  </si>
  <si>
    <t>Account No: 00101312002230 (USD)</t>
  </si>
  <si>
    <t>Account No: 0111302717162 (USD)</t>
  </si>
  <si>
    <t>Account No: 3441002198840 (USD)</t>
  </si>
  <si>
    <t>Account No: 1951028224113 (USD)</t>
  </si>
  <si>
    <t>Account No: 0201013082501 (USD)</t>
  </si>
  <si>
    <t>Bank Name: ACCESS BANK (GHANA) PLC</t>
  </si>
  <si>
    <t>Swift Code: ABNGGHACXXX</t>
  </si>
  <si>
    <t>Sort Code: 280114</t>
  </si>
  <si>
    <t>Sort Code: 120101</t>
  </si>
  <si>
    <t xml:space="preserve">Bank Name: ZENITH BANK (GH) LTD </t>
  </si>
  <si>
    <t>Swift Code: ZEBLGHACXXX</t>
  </si>
  <si>
    <t>Swift Code: STBGGHACXXX</t>
  </si>
  <si>
    <t>Bank Name: UNITED BANK FOR AFRICA (GHANA) LTD</t>
  </si>
  <si>
    <t>Sort Code: 340147</t>
  </si>
  <si>
    <t>Bank Name: CONSOLIDATED BANK GHANA LTD</t>
  </si>
  <si>
    <t>Swift Code: CBGHGHACXXX</t>
  </si>
  <si>
    <t>Bank Name: ECOBANK (GH) LTD</t>
  </si>
  <si>
    <t>Swift Code: ECOCGHACXXX</t>
  </si>
  <si>
    <t>Sort Code: 130111</t>
  </si>
  <si>
    <t>Swift Code: FBLIGHACXXX</t>
  </si>
  <si>
    <t xml:space="preserve">Bank Name: FIDELITY BANK GHANA LIMITED </t>
  </si>
  <si>
    <t>Sort Code: 240118</t>
  </si>
  <si>
    <t>Sort Code: 060101</t>
  </si>
  <si>
    <t>Bank Branch: Abeka Lapaz</t>
  </si>
  <si>
    <t>Bank Branch: Premier Towers</t>
  </si>
  <si>
    <t>Bank Branch: Heritage Tower</t>
  </si>
  <si>
    <t>Bank Branch: Oxford Street Branch</t>
  </si>
  <si>
    <t>Bank Branch: Adenta</t>
  </si>
  <si>
    <t>255 Farms</t>
  </si>
  <si>
    <t>DISPLAY TAX</t>
  </si>
  <si>
    <t>DO NOT DISPLAY TAX</t>
  </si>
  <si>
    <t>Paul Okan Adjetey - Abokobi</t>
  </si>
  <si>
    <t>Promotional Price for 500W Solar System</t>
  </si>
  <si>
    <t>Promotional Price for 375W Solar System</t>
  </si>
  <si>
    <t>Promotional Price for 800W Solar System</t>
  </si>
  <si>
    <t>Promotional Price for 1200W Solar System</t>
  </si>
  <si>
    <t>Promotional Price for 250W Solar System</t>
  </si>
  <si>
    <t>Contactor-Relay Assembly</t>
  </si>
  <si>
    <t>Dela Montessori School</t>
  </si>
  <si>
    <t>0552501114</t>
  </si>
  <si>
    <t>Nana Boakye</t>
  </si>
  <si>
    <t>0546149951</t>
  </si>
  <si>
    <t>Hannah - RCS Logistics</t>
  </si>
  <si>
    <t>0242564722</t>
  </si>
  <si>
    <t>UNOPS LIBERIA</t>
  </si>
  <si>
    <t>Mr. Adu</t>
  </si>
  <si>
    <t>0204610700</t>
  </si>
  <si>
    <t>0552889611 / 
0552889611</t>
  </si>
  <si>
    <r>
      <rPr>
        <b/>
        <sz val="12"/>
        <color theme="1"/>
        <rFont val="Times New Roman"/>
        <family val="1"/>
      </rPr>
      <t>Validity: 1</t>
    </r>
    <r>
      <rPr>
        <sz val="12"/>
        <color theme="1"/>
        <rFont val="Times New Roman"/>
        <family val="1"/>
      </rPr>
      <t xml:space="preserve"> week from date of invoice</t>
    </r>
  </si>
  <si>
    <t>Samuel Ofori - CEWPAG</t>
  </si>
  <si>
    <t>Fronius Primo Gen24 3.0 Inverter</t>
  </si>
  <si>
    <t>Fronius Primo Gen24 5.0 Inverter</t>
  </si>
  <si>
    <t>Fronius Primo Gen24 6.0 Inverter</t>
  </si>
  <si>
    <t>Fronius Symo Gen24 3.0 Inverter</t>
  </si>
  <si>
    <t>Fronius Symo Gen24 4.0 Inverter</t>
  </si>
  <si>
    <t>Fronius Symo Gen24 5.0 Inverter</t>
  </si>
  <si>
    <t>Fronius Symo Gen24 6.0 Inverter</t>
  </si>
  <si>
    <t>Fronius Symo Gen24 8.0 Inverter</t>
  </si>
  <si>
    <t>Fronius Symo Gen24 10.0 Inverter</t>
  </si>
  <si>
    <t>Riviera Royal Hotel</t>
  </si>
  <si>
    <t>Guinea</t>
  </si>
  <si>
    <t>160A 2-Pole AC Circuit Breaker</t>
  </si>
  <si>
    <t>160A 4-Pole AC Circuit Breaker</t>
  </si>
  <si>
    <t>Chint 250A 4-Pole AC MCCB</t>
  </si>
  <si>
    <t>Michael Kwadwo Abrokwah</t>
  </si>
  <si>
    <t>Pokuase - Odumase</t>
  </si>
  <si>
    <t>Greater Accra</t>
  </si>
  <si>
    <t>0244719948</t>
  </si>
  <si>
    <t>Mr. Kingsford Boakye</t>
  </si>
  <si>
    <t>Ayitey Bilson</t>
  </si>
  <si>
    <t>PDSA Part of Hexagon, Airport City - Accra</t>
  </si>
  <si>
    <t>0501646235</t>
  </si>
  <si>
    <t>Mayan Book Center</t>
  </si>
  <si>
    <t>0243602280</t>
  </si>
  <si>
    <t>Anthony Ampofo</t>
  </si>
  <si>
    <t>0240205719 / 
0209011284</t>
  </si>
  <si>
    <t>UNHCR - Takoradi</t>
  </si>
  <si>
    <t>Nipa Nua Jaybee</t>
  </si>
  <si>
    <t>0507123961</t>
  </si>
  <si>
    <t>Madam Elizabeth</t>
  </si>
  <si>
    <t>0244268651</t>
  </si>
  <si>
    <t>Mashtech Limited</t>
  </si>
  <si>
    <t xml:space="preserve">MUNNIRA SHEIKH </t>
  </si>
  <si>
    <t>TJAYS Plaza</t>
  </si>
  <si>
    <t>Jacob Kumah Folivi</t>
  </si>
  <si>
    <t>0243709821</t>
  </si>
  <si>
    <t>0593160887</t>
  </si>
  <si>
    <t>Potter City</t>
  </si>
  <si>
    <t>Miotso - Prampram</t>
  </si>
  <si>
    <t>Hoppecke VR M 12-105 100AH Battery</t>
  </si>
  <si>
    <t>Hoppecke VR M 12-150 150AH Battery</t>
  </si>
  <si>
    <t>Hoppecke VR M 6-250 250AH Battery</t>
  </si>
  <si>
    <t>Transportation Expenses</t>
  </si>
  <si>
    <t>Installation Services</t>
  </si>
  <si>
    <t>Melani Mennalla Fisheries</t>
  </si>
  <si>
    <t>Prampram</t>
  </si>
  <si>
    <t>ASAPS Enterprise</t>
  </si>
  <si>
    <t>Leonard</t>
  </si>
  <si>
    <t>0556539963</t>
  </si>
  <si>
    <t>Ethel Sidney</t>
  </si>
  <si>
    <t>Baatsonaa</t>
  </si>
  <si>
    <t>0244508407</t>
  </si>
  <si>
    <r>
      <rPr>
        <b/>
        <sz val="12"/>
        <color theme="1"/>
        <rFont val="Times New Roman"/>
        <family val="1"/>
      </rPr>
      <t>Delivery:</t>
    </r>
    <r>
      <rPr>
        <sz val="12"/>
        <color theme="1"/>
        <rFont val="Times New Roman"/>
        <family val="1"/>
      </rPr>
      <t xml:space="preserve"> Within 90 days after receipt of Purchase Order</t>
    </r>
  </si>
  <si>
    <t>Fr. Subash</t>
  </si>
  <si>
    <t>Nana Kwame</t>
  </si>
  <si>
    <t>0508740057</t>
  </si>
  <si>
    <t>Stanley</t>
  </si>
  <si>
    <t>0209068491</t>
  </si>
  <si>
    <t>Diana</t>
  </si>
  <si>
    <t>Jackie Nyarko</t>
  </si>
  <si>
    <t>0553057758</t>
  </si>
  <si>
    <t>Nana Sekyiwaa</t>
  </si>
  <si>
    <t>0277400007</t>
  </si>
  <si>
    <t>Victron Colour Control GX</t>
  </si>
  <si>
    <t>0244282328</t>
  </si>
  <si>
    <t>Nicholas</t>
  </si>
  <si>
    <t>Benedicta Akidam</t>
  </si>
  <si>
    <t>Isaac</t>
  </si>
  <si>
    <t>Asa Savings and Loans</t>
  </si>
  <si>
    <t>0246012821</t>
  </si>
  <si>
    <t>Charles</t>
  </si>
  <si>
    <t>Richard Anarfi</t>
  </si>
  <si>
    <t>0242834180</t>
  </si>
  <si>
    <t>Godfred Nipah</t>
  </si>
  <si>
    <t>Christian Heritage University College</t>
  </si>
  <si>
    <t>0243348573 / 
0202116702</t>
  </si>
  <si>
    <t>Site within Accra</t>
  </si>
  <si>
    <t>'0501630971</t>
  </si>
  <si>
    <t>Site outside Accra</t>
  </si>
  <si>
    <t>0501630970</t>
  </si>
  <si>
    <t>Buipe</t>
  </si>
  <si>
    <t>Total Petroleum Ghana Limited, Buipe</t>
  </si>
  <si>
    <t>Total Petroleum Ghana Limited, outside Accra</t>
  </si>
  <si>
    <t>Total Petroleum Ghana Limited, within Accra</t>
  </si>
  <si>
    <t>Nanka Bruce</t>
  </si>
  <si>
    <t>0269627007</t>
  </si>
  <si>
    <t>RCC</t>
  </si>
  <si>
    <t>0243204215</t>
  </si>
  <si>
    <t>Dr. George</t>
  </si>
  <si>
    <t>+231886560080</t>
  </si>
  <si>
    <t>Michael Thompson</t>
  </si>
  <si>
    <t>0559470607</t>
  </si>
  <si>
    <t>Frank</t>
  </si>
  <si>
    <t>Tema Community 25</t>
  </si>
  <si>
    <t>0244331461</t>
  </si>
  <si>
    <t>VICTRON OFF-GRID SOLAR SYSTEM</t>
  </si>
  <si>
    <t>Industrial Area</t>
  </si>
  <si>
    <t>0208959468</t>
  </si>
  <si>
    <t>GDS</t>
  </si>
  <si>
    <t>Flexy Foods</t>
  </si>
  <si>
    <t>0544340856</t>
  </si>
  <si>
    <t>Madam Shiela</t>
  </si>
  <si>
    <t>Elizabeth Blewudzi</t>
  </si>
  <si>
    <t>0552828439</t>
  </si>
  <si>
    <t>Eye Smith - Kasoa</t>
  </si>
  <si>
    <t>Eye Smith - East Legon</t>
  </si>
  <si>
    <t>0244372353 / 
0264372353</t>
  </si>
  <si>
    <t>0544313888</t>
  </si>
  <si>
    <t>0544444456</t>
  </si>
  <si>
    <t>Ettore POTENTE</t>
  </si>
  <si>
    <t>SEEPACS Eng. Ltd</t>
  </si>
  <si>
    <t>Labour per kWp</t>
  </si>
  <si>
    <t>Nana Addo</t>
  </si>
  <si>
    <t>0244223140</t>
  </si>
  <si>
    <t>Asamoah</t>
  </si>
  <si>
    <t>0245505939</t>
  </si>
  <si>
    <t>Weija Leprosarium</t>
  </si>
  <si>
    <t>Court Building</t>
  </si>
  <si>
    <t>DBS Factory</t>
  </si>
  <si>
    <t>0277812623</t>
  </si>
  <si>
    <t>Sofaamy Company Limited</t>
  </si>
  <si>
    <t>500A 4-Pole AC MCCB</t>
  </si>
  <si>
    <t>30 Kakramadu Road, Next to NAFTI</t>
  </si>
  <si>
    <t>Madam Heike Friesel</t>
  </si>
  <si>
    <t>Goethe Institute - Ghana</t>
  </si>
  <si>
    <t>0505954341</t>
  </si>
  <si>
    <t>Datacom Telecommunication Limited</t>
  </si>
  <si>
    <t>Tema Freezones</t>
  </si>
  <si>
    <t>0244635224</t>
  </si>
  <si>
    <r>
      <rPr>
        <b/>
        <sz val="12"/>
        <color theme="1"/>
        <rFont val="Times New Roman"/>
        <family val="1"/>
      </rPr>
      <t>Delivery:</t>
    </r>
    <r>
      <rPr>
        <sz val="12"/>
        <color theme="1"/>
        <rFont val="Times New Roman"/>
        <family val="1"/>
      </rPr>
      <t xml:space="preserve"> Inverter is currently available. Batteries will be available by end of February</t>
    </r>
  </si>
  <si>
    <t>Ing. Matthew Seddoh Akatey</t>
  </si>
  <si>
    <t>0244887857</t>
  </si>
  <si>
    <t>Maintenance Service of Solar System</t>
  </si>
  <si>
    <t>0273547715 / 
0244729569</t>
  </si>
  <si>
    <t>SED Togo</t>
  </si>
  <si>
    <t>Togo</t>
  </si>
  <si>
    <t>0022891148887</t>
  </si>
  <si>
    <t>Madam Comfort</t>
  </si>
  <si>
    <t>0557322621</t>
  </si>
  <si>
    <t>Victron Wall mounted enclosure for BMV</t>
  </si>
  <si>
    <t>System Design: Solar System Relocation and Upgrade</t>
  </si>
  <si>
    <t xml:space="preserve">MFANTSIPIM SCHOOL - SARBAH PICOT </t>
  </si>
  <si>
    <t>MFANTSIPIM SCHOOL - PICKARD PARKER</t>
  </si>
  <si>
    <t>MFANTSIPIM SCHOOL - LOCKHART SCHWEITZER</t>
  </si>
  <si>
    <t>MFANTSIPIM SCHOOL - FREEMAN AGGREY</t>
  </si>
  <si>
    <t>MFANTSIPIM SCHOOL - BARTELS SNEATH</t>
  </si>
  <si>
    <t>MFANTSIPIM SCHOOL - BALMER ACQUAAH</t>
  </si>
  <si>
    <t>MFANTSIPIM SCHOOL - ABRUQUAH MONNEY</t>
  </si>
  <si>
    <t>Onix Data Center</t>
  </si>
  <si>
    <t>ACTION CHAPEL INTERNATIONAL</t>
  </si>
  <si>
    <t>Top Cable AC solar cable 1x240mm2 RV-K 0.6/1KV</t>
  </si>
  <si>
    <t>ELUM ePowerControl - SD - PV / DG / Grid - (PV &lt; 300 kW) - 1 Diesel Genset max</t>
  </si>
  <si>
    <t>ELUM ePowerControl ZE500 - PV/Grid - (PV &lt; 500 kW) - No Diesel Genset</t>
  </si>
  <si>
    <t>ELUM ePowerControl ZE1000 - PV/Grid - (PV &lt; 1 MW) - No Diesel Genset</t>
  </si>
  <si>
    <t>ELUM ePowerControl - ZE3000 - PV/Grid - (PV &lt; 3 MW) - No Diesel Genset</t>
  </si>
  <si>
    <t>ELUM ePowerControl - SD+ - PV / DG / Grid - (PV &lt; 300 kW) - 4 Diesel Gensets max</t>
  </si>
  <si>
    <t>ELUM ePowerControl - HFS S - PV / DG / Grid - (PV &lt; 500 kW) - More than 4 Diesel Gensets</t>
  </si>
  <si>
    <t>ELUM ePowerControl - HFS L - PV / DG / Grid - (PV &lt; 3W) - More than 4 Diesel Gensets</t>
  </si>
  <si>
    <t>ELUM ePowerControl - HFS M - PV / DG / Grid - (PV &lt; 1MW) - More than 4 Diesel Gensets</t>
  </si>
  <si>
    <t>ELUM ePowerControl - ES - PV / DG /BESS/ Grid - (PV &lt; 1MW) - 1 Diesel Genset max - (BESS &lt;100 kWh)</t>
  </si>
  <si>
    <t>ELUM ePowerControl - ES+ - PV / DG /BESS/ Grid - (PV &lt; 1MW) - 2 Diesel Gensets max - (BESS &lt;300 kWh)</t>
  </si>
  <si>
    <t>ELUM ePowerControl - ES+ - PV / DG /BESS/ Grid - (PV &lt; 1MW) - More than 2 Diesel Gensets - (BESS &lt;600 kWh)</t>
  </si>
  <si>
    <t>ELUM ePowerControl - ES+ - PV / DG /BESS/ Grid - (PV &lt; 1MW) - More than 2 Diesel Gensets - (BESS &lt;1 MWh)</t>
  </si>
  <si>
    <t>Raphael Adobor</t>
  </si>
  <si>
    <t>EnerTrip Ltd, E270 St Ezra Road.  Community 17 Lashibi</t>
  </si>
  <si>
    <t>enertripltd@gmail.com</t>
  </si>
  <si>
    <t>DATA LOGGER RENTAL</t>
  </si>
  <si>
    <t>Mr. Owusu</t>
  </si>
  <si>
    <t>Agomeda</t>
  </si>
  <si>
    <t xml:space="preserve">System Design: Solar system to supply power to residential facility </t>
  </si>
  <si>
    <t>Tema Community 4</t>
  </si>
  <si>
    <t>0559707345</t>
  </si>
  <si>
    <t>1x10mm2 RV-K 0.6/1KV Yellow/Green Earth Cable</t>
  </si>
  <si>
    <t>Hobut solid core current transformer 100/5A</t>
  </si>
  <si>
    <t>Hobut solid core current transformer 125/5A</t>
  </si>
  <si>
    <t>Hobut solid core current transformer 150/5A</t>
  </si>
  <si>
    <t>Hobut solid core current transformer 160/5A</t>
  </si>
  <si>
    <t>Hobut solid core current transformer 200/5A</t>
  </si>
  <si>
    <t>Hobut solid core current transformer 250/5A</t>
  </si>
  <si>
    <t>Chint solid core current transformer 4000/5A</t>
  </si>
  <si>
    <t>General Aphour</t>
  </si>
  <si>
    <t>0249842186</t>
  </si>
  <si>
    <t>Andrew</t>
  </si>
  <si>
    <t>Greenfields Estates, Amrahia</t>
  </si>
  <si>
    <t>0244760425</t>
  </si>
  <si>
    <t>Volteq Systems Limited</t>
  </si>
  <si>
    <t>Hse. No. H17 Community 3</t>
  </si>
  <si>
    <t>0244062775</t>
  </si>
  <si>
    <t>Indorama Ventures Packaging Ghana Limited</t>
  </si>
  <si>
    <t>Dr. Raphael Adobor</t>
  </si>
  <si>
    <t>0501343535</t>
  </si>
  <si>
    <t>Anum</t>
  </si>
  <si>
    <t>Victron SmartSolar MPPT 100/20 up to 48V</t>
  </si>
  <si>
    <t>Engineering and Installation Works</t>
  </si>
  <si>
    <t>Albert - Juni Payments</t>
  </si>
  <si>
    <t>Tantra Hills</t>
  </si>
  <si>
    <t>0243632637</t>
  </si>
  <si>
    <t>Orthner &amp; Associates</t>
  </si>
  <si>
    <t>Martin Orthner</t>
  </si>
  <si>
    <t>0202010720</t>
  </si>
  <si>
    <t>Eric Asah Quarshie</t>
  </si>
  <si>
    <t>0244953424</t>
  </si>
  <si>
    <t>Acowoss</t>
  </si>
  <si>
    <t>Kordai Sowa</t>
  </si>
  <si>
    <t>0266425936</t>
  </si>
  <si>
    <t>0244541094</t>
  </si>
  <si>
    <t>Ama - Tsaado</t>
  </si>
  <si>
    <t>Agyemang Lewis</t>
  </si>
  <si>
    <t>0242588854</t>
  </si>
  <si>
    <t>James Annan</t>
  </si>
  <si>
    <t>+1(862)2202989</t>
  </si>
  <si>
    <t>Akos</t>
  </si>
  <si>
    <t>Invess Agric</t>
  </si>
  <si>
    <t>Rejoice Quao</t>
  </si>
  <si>
    <t>David Awinogya</t>
  </si>
  <si>
    <t>+16303624075</t>
  </si>
  <si>
    <t>Aditya Parmar</t>
  </si>
  <si>
    <t>+44 7956 820457</t>
  </si>
  <si>
    <t>Solarcon</t>
  </si>
  <si>
    <t>0244422191</t>
  </si>
  <si>
    <t>David Dawig</t>
  </si>
  <si>
    <t>Mounting Structure for Carport (per kWp)</t>
  </si>
  <si>
    <t>0503175873</t>
  </si>
  <si>
    <t>Naa Akofio-Sowah - New Legon</t>
  </si>
  <si>
    <t>Naa Akofio-Sowah - Osu</t>
  </si>
  <si>
    <t>Naa Akofio-Sowah - Adenta</t>
  </si>
  <si>
    <t>Toyota - Takoradi</t>
  </si>
  <si>
    <t>0242311607</t>
  </si>
  <si>
    <t>Madam Rosemond</t>
  </si>
  <si>
    <t>0244383939</t>
  </si>
  <si>
    <t>Quality Insurance Company</t>
  </si>
  <si>
    <t>0244897660</t>
  </si>
  <si>
    <t>William Abban</t>
  </si>
  <si>
    <t>Ring Road Central</t>
  </si>
  <si>
    <t>Tauheedah</t>
  </si>
  <si>
    <t>0233348833</t>
  </si>
  <si>
    <t>Ann</t>
  </si>
  <si>
    <t>0244883214</t>
  </si>
  <si>
    <t>Alex Kyei</t>
  </si>
  <si>
    <t>Dome Pillar 2</t>
  </si>
  <si>
    <t>Solar Enablers</t>
  </si>
  <si>
    <t>0202116702</t>
  </si>
  <si>
    <t>Alex Konadu</t>
  </si>
  <si>
    <t>Phone/ Email</t>
  </si>
  <si>
    <t>info@solarenablers.com</t>
  </si>
  <si>
    <t>James Abrokwah</t>
  </si>
  <si>
    <t>0508614600</t>
  </si>
  <si>
    <t>Bernard Sasu</t>
  </si>
  <si>
    <t>0244686251</t>
  </si>
  <si>
    <t>Ejura</t>
  </si>
  <si>
    <t>0240423699</t>
  </si>
  <si>
    <t>Evans - Ejura</t>
  </si>
  <si>
    <t>Regimmanuel Estates, Spintex</t>
  </si>
  <si>
    <t>0264089665</t>
  </si>
  <si>
    <t>Mr. Sappor</t>
  </si>
  <si>
    <t>Discount</t>
  </si>
  <si>
    <t>%</t>
  </si>
  <si>
    <t>Association International School</t>
  </si>
  <si>
    <t>SOLAR STREET LIGHTS</t>
  </si>
  <si>
    <t>USD/ GH₵</t>
  </si>
  <si>
    <t>Jinko LED solar street lighting/century sunshine/JKL030-WIC</t>
  </si>
  <si>
    <t>Jinko LED solar street lighting/century sunshine/JKL060-WIC</t>
  </si>
  <si>
    <t>Jinko LED solar street lighting/century sunshine/JKL080-WIC</t>
  </si>
  <si>
    <t>Jinko LED solar street lighting/century sunshine/JKL080-WICX</t>
  </si>
  <si>
    <t>Jinko LED solar street lighting/century sunshine/JKL100-WICX</t>
  </si>
  <si>
    <t>Jinko Submersible Pump/SYSTEM/samking/JKP K37-DID-040P - 370W (0.5hp)</t>
  </si>
  <si>
    <t>Jinko Submersible Pump/SYSTEM/samking/JKP K75-DID-080P - 750W (1hp)</t>
  </si>
  <si>
    <t>Jinko Submersible Pump/SYSTEM/samking/JKP 1K1-DID-100P - 1.1kW (1.5hp)</t>
  </si>
  <si>
    <t>Jinko Submersible Pump/SYSTEM/samking/JKP 2K2-DID-150P - 2.2kW (3hp)</t>
  </si>
  <si>
    <t>Jinko Submersible Pump/SYSTEM/samking/JKP 1K1-DED-080P - 1.1kW (1.5hp)</t>
  </si>
  <si>
    <t>Jinko Submersible Pump/SYSTEM/samking/JKP 2K2-HID-130PX - 2.2kW (3hp)</t>
  </si>
  <si>
    <t>Accessories for water pump</t>
  </si>
  <si>
    <t>SOLAR DC WATER PUMP PROJECT</t>
  </si>
  <si>
    <t>Carrier Wave Limited</t>
  </si>
  <si>
    <t>0241848999 / 
0553399262</t>
  </si>
  <si>
    <t>Luqman</t>
  </si>
  <si>
    <t>Romeo</t>
  </si>
  <si>
    <t>0549398696</t>
  </si>
  <si>
    <t>Paul Ahoto</t>
  </si>
  <si>
    <t>0550732146</t>
  </si>
  <si>
    <t>0244791922</t>
  </si>
  <si>
    <t>Golder Aseadua</t>
  </si>
  <si>
    <t>0266128852</t>
  </si>
  <si>
    <t>Leslie Bondzie</t>
  </si>
  <si>
    <t>0245588800</t>
  </si>
  <si>
    <t>David Brown - Dealer</t>
  </si>
  <si>
    <t>Kwarteng Amaning</t>
  </si>
  <si>
    <t>Mahmudu Zakari</t>
  </si>
  <si>
    <t>HOPSA 99 Legacy Project</t>
  </si>
  <si>
    <t>Remote Monitoring &amp; Control Gateway w. PhocosLink Cloud Plan</t>
  </si>
  <si>
    <t>St. John The Evangelist Catholic Church</t>
  </si>
  <si>
    <t>Phocos Inverter PSW-H-3KW-230/24V</t>
  </si>
  <si>
    <t>Phocos Inverter PSW-H-5KW-230/48V</t>
  </si>
  <si>
    <t>Phocos Inverter PSW-B-3KW-230/24V</t>
  </si>
  <si>
    <t>Phocos Inverter PSW-H-8KW-230/48V</t>
  </si>
  <si>
    <t>Ing. Lewis</t>
  </si>
  <si>
    <t>Ewurabena</t>
  </si>
  <si>
    <t>0242888886</t>
  </si>
  <si>
    <t>Lordina</t>
  </si>
  <si>
    <t>+447393493240</t>
  </si>
  <si>
    <t>University of Energy and Natural Resources</t>
  </si>
  <si>
    <t>0554035668</t>
  </si>
  <si>
    <t>Julius</t>
  </si>
  <si>
    <t>Ruben</t>
  </si>
  <si>
    <t>Lakeside Estates Community 8</t>
  </si>
  <si>
    <t>Pentecost Church</t>
  </si>
  <si>
    <t>Prince</t>
  </si>
  <si>
    <t>0243457286</t>
  </si>
  <si>
    <t>Mary Mother of God Catholic Church</t>
  </si>
  <si>
    <t>0243537471</t>
  </si>
  <si>
    <t>Clement Agyeman</t>
  </si>
  <si>
    <t xml:space="preserve">Clement Agyeman </t>
  </si>
  <si>
    <t>House Number BC22, Devtraco Estates</t>
  </si>
  <si>
    <t>Top Cable AC solar cable 1x150mm2 RV-K 0.6/1KV</t>
  </si>
  <si>
    <t>Damatia</t>
  </si>
  <si>
    <t>Residence - Shai Hills Installation</t>
  </si>
  <si>
    <t>Shai Hills</t>
  </si>
  <si>
    <t>0555008450</t>
  </si>
  <si>
    <t>80A 2-Pole AC Circuit Breaker</t>
  </si>
  <si>
    <t>80A 4-Pole AC Circuit Breaker</t>
  </si>
  <si>
    <t>1000A Manual Transfer Switch</t>
  </si>
  <si>
    <t>NMS Infrastructure</t>
  </si>
  <si>
    <t>Fomena</t>
  </si>
  <si>
    <t>Julien</t>
  </si>
  <si>
    <t>kWh/kWp/year</t>
  </si>
  <si>
    <t>kWh/month</t>
  </si>
  <si>
    <t>Total</t>
  </si>
  <si>
    <t>NORTHLITE LIMITED</t>
  </si>
  <si>
    <t xml:space="preserve">PLOT 57 WATER-AID AVENUE KUMBOSIGO
 </t>
  </si>
  <si>
    <t>FRANK AKASOBA ADABRE</t>
  </si>
  <si>
    <t>0244412150</t>
  </si>
  <si>
    <t>RESIDENTIAL</t>
  </si>
  <si>
    <t>NON-RESIDENTIAL</t>
  </si>
  <si>
    <t>SLT LV</t>
  </si>
  <si>
    <t>SLT MV</t>
  </si>
  <si>
    <t>SLT HV</t>
  </si>
  <si>
    <t>SLT Steel Companies</t>
  </si>
  <si>
    <t>SLT HV Mines</t>
  </si>
  <si>
    <t>BYD Battery-Box Premium LVS 4.0kWh Lithium Battery</t>
  </si>
  <si>
    <t>BYD LV Flex Battery-Box 5.0kWh Lithium Battery</t>
  </si>
  <si>
    <t>BYD Battery-Box Premium LVL 15.4kWh Lithium Battery</t>
  </si>
  <si>
    <t>BYD Battery-Box Premium HVS 2.56kWh Lithium Battery</t>
  </si>
  <si>
    <t>System Life (Years)</t>
  </si>
  <si>
    <t>Total PV Production (kWh)</t>
  </si>
  <si>
    <t>Price per kWh</t>
  </si>
  <si>
    <t>Projected Price of Grid (without escalation)</t>
  </si>
  <si>
    <t>Projected Price of Grid (with escalation)</t>
  </si>
  <si>
    <t>Percentage yearly escalation considered</t>
  </si>
  <si>
    <t>Payback Period</t>
  </si>
  <si>
    <t>Battery Life (Years)</t>
  </si>
  <si>
    <t>Total Installation Cost</t>
  </si>
  <si>
    <t>Lithium</t>
  </si>
  <si>
    <t>Hoppecke</t>
  </si>
  <si>
    <t>Victron</t>
  </si>
  <si>
    <t>Chint solid core current transformer 1000/5A</t>
  </si>
  <si>
    <t>Robert Yennah</t>
  </si>
  <si>
    <t>Madina Ogbojo</t>
  </si>
  <si>
    <t>Battery 24V 12Ah (288Wh)</t>
  </si>
  <si>
    <t>Cellular VPN Router</t>
  </si>
  <si>
    <t>UPS AC/DC 120W</t>
  </si>
  <si>
    <t>Ethernet switch (5 ports)</t>
  </si>
  <si>
    <t>I/O Module | Relay</t>
  </si>
  <si>
    <t>Relay - 24VDC coil</t>
  </si>
  <si>
    <t>Relay - 230VAC coil</t>
  </si>
  <si>
    <t>HMI supervision screen (eConf interface)</t>
  </si>
  <si>
    <t>Ethernet Network Surge Protector</t>
  </si>
  <si>
    <t>Surge Protection Device 230V</t>
  </si>
  <si>
    <t>Modbus Slave integration</t>
  </si>
  <si>
    <t>FTP push to third party servers</t>
  </si>
  <si>
    <t>Onsite commissioning (excl. travel /accommodation) per man.day</t>
  </si>
  <si>
    <t>Remote commissioning per man.day</t>
  </si>
  <si>
    <t>Mr. Blay</t>
  </si>
  <si>
    <t>Top Cable AC solar cable 1x70mm2 RV-K 0.6/1KV</t>
  </si>
  <si>
    <t>Phyllis Jackson</t>
  </si>
  <si>
    <t>02444984602</t>
  </si>
  <si>
    <t>Innocent Kon'ssa Koffi</t>
  </si>
  <si>
    <t>+2250707994797</t>
  </si>
  <si>
    <t>Mounting Structure for Metal/ Tile Roof (per set of 4 panels) - 4.64 meter</t>
  </si>
  <si>
    <t>Network Router</t>
  </si>
  <si>
    <t>0544116953</t>
  </si>
  <si>
    <t>Nii - Dawhenya</t>
  </si>
  <si>
    <t>Stuart R. Brown</t>
  </si>
  <si>
    <t>0549778866</t>
  </si>
  <si>
    <t>Mr. Perci</t>
  </si>
  <si>
    <t>Léopold M. ZANNOU</t>
  </si>
  <si>
    <t>Benin</t>
  </si>
  <si>
    <t>+22670213848</t>
  </si>
  <si>
    <t>1x4mm2 RV-K 0.6/1KV Yellow/Green Earth Cable</t>
  </si>
  <si>
    <t>Korle-Bu Teaching Hospital</t>
  </si>
  <si>
    <t xml:space="preserve">BEACON SCHOOL </t>
  </si>
  <si>
    <t>Joseph Antwi - Josanti</t>
  </si>
  <si>
    <t>‎0244888285</t>
  </si>
  <si>
    <t>ABSA Bank Ghana</t>
  </si>
  <si>
    <t>High Street</t>
  </si>
  <si>
    <t>Nestle Ghana 48V/5kVA LMI - Warehouse</t>
  </si>
  <si>
    <t>Korea International Cooperation Agency (KOICA) Ghana</t>
  </si>
  <si>
    <t>0261719445</t>
  </si>
  <si>
    <t>Francis</t>
  </si>
  <si>
    <t>Kwadjo Asamoah</t>
  </si>
  <si>
    <t>0553636808</t>
  </si>
  <si>
    <t>Mr. Ayiku</t>
  </si>
  <si>
    <t>Afienya</t>
  </si>
  <si>
    <t>Whitespoon Drinks</t>
  </si>
  <si>
    <t>0244378153</t>
  </si>
  <si>
    <t>Philip Oppong-Manu</t>
  </si>
  <si>
    <t>0206429560</t>
  </si>
  <si>
    <t>Duke</t>
  </si>
  <si>
    <t>'0242110110</t>
  </si>
  <si>
    <t>BYD MLKT-36-182 K545 Watts Solar panel</t>
  </si>
  <si>
    <t>Moif</t>
  </si>
  <si>
    <t>0550907290</t>
  </si>
  <si>
    <t>Victron Inverters</t>
  </si>
  <si>
    <t>Phocos Inverters</t>
  </si>
  <si>
    <t>Elum Hybrid Controllers and Accessories</t>
  </si>
  <si>
    <t>Solar Panels</t>
  </si>
  <si>
    <t>Victron Charge Controllers</t>
  </si>
  <si>
    <t>Service Charge</t>
  </si>
  <si>
    <t>Maintenance Service</t>
  </si>
  <si>
    <t>Battery Racks and Pipes</t>
  </si>
  <si>
    <t>Mounting Structure</t>
  </si>
  <si>
    <t>BMV and GX Devices</t>
  </si>
  <si>
    <t>Busbars, Combiner Boxes, Surge Protection Devices</t>
  </si>
  <si>
    <t>Data Cables</t>
  </si>
  <si>
    <t>Cables</t>
  </si>
  <si>
    <t>Circuit Breakers, Change-over Switches, Connectors and Enclosures</t>
  </si>
  <si>
    <t>Batteries</t>
  </si>
  <si>
    <t>Fronius Inverters and Accessories</t>
  </si>
  <si>
    <t>Solar Streetlights and Solar Water Pumps</t>
  </si>
  <si>
    <t>400A Manual Transfer Switch</t>
  </si>
  <si>
    <t>IPMC</t>
  </si>
  <si>
    <t xml:space="preserve"> +233 59 382 7877</t>
  </si>
  <si>
    <t>Debasish Chatterjee</t>
  </si>
  <si>
    <t>The Chief Executive</t>
  </si>
  <si>
    <t>Ghana Grid Company</t>
  </si>
  <si>
    <t>P.O. Box CS 7979</t>
  </si>
  <si>
    <t xml:space="preserve">+233 24 3979107 </t>
  </si>
  <si>
    <r>
      <rPr>
        <b/>
        <sz val="12"/>
        <color theme="1"/>
        <rFont val="Times New Roman"/>
        <family val="1"/>
      </rPr>
      <t>Validity: 9</t>
    </r>
    <r>
      <rPr>
        <sz val="12"/>
        <color theme="1"/>
        <rFont val="Times New Roman"/>
        <family val="1"/>
      </rPr>
      <t>0 days from date of invoice</t>
    </r>
  </si>
  <si>
    <r>
      <rPr>
        <b/>
        <sz val="12"/>
        <color theme="1"/>
        <rFont val="Times New Roman"/>
        <family val="1"/>
      </rPr>
      <t xml:space="preserve">Warranty: </t>
    </r>
    <r>
      <rPr>
        <sz val="12"/>
        <color theme="1"/>
        <rFont val="Times New Roman"/>
        <family val="1"/>
      </rPr>
      <t>2 Years for lead-acid batteries</t>
    </r>
  </si>
  <si>
    <t>Delivery: Immediate upon confirmation of payment</t>
  </si>
  <si>
    <t>Global Mamas</t>
  </si>
  <si>
    <t>Victron Multi RS Solar 48/6000/100-450/100 1 tracker</t>
  </si>
  <si>
    <t>Deye Inverters</t>
  </si>
  <si>
    <t>Deye SUN-3K-SG04LP1- EU - Single phase 3kW LV hybrid inverter</t>
  </si>
  <si>
    <t>Deye SUN-5K-SG03LP1- EU - Single phase 5kW LV hybrid inverter</t>
  </si>
  <si>
    <t>Deye SUN-6K-SG05LP1- EU- Single phase 6kW LV hybrid inverter</t>
  </si>
  <si>
    <t>Deye SUN-8K-SG01LP1- EU- Single phase 8kW LV hybrid inverter</t>
  </si>
  <si>
    <t>Deye SUN-16K-SG01LP1- EU- Single phase 16kW LV hybrid inverter</t>
  </si>
  <si>
    <t>Deye SUN-10K-SG04LP3- EU - Three phase 10kW LV hybrid inverter</t>
  </si>
  <si>
    <t>Deye SUN-12K-SG04LP3- EU - Three phase 12kW LV hybrid inverter</t>
  </si>
  <si>
    <t>Any-Bridge IOT Gateway + Phocoslink Cloud Report</t>
  </si>
  <si>
    <t>Huawei iSitePower-M-Power Module</t>
  </si>
  <si>
    <t>Huawei iSitePower-M-Bat Module</t>
  </si>
  <si>
    <t>Huawei iSitePower-M Base</t>
  </si>
  <si>
    <t>SEEPACS Eng. Ltd - ICT Hub</t>
  </si>
  <si>
    <t>Ring Road</t>
  </si>
  <si>
    <t>0241978392</t>
  </si>
  <si>
    <t>oklutimothy@yahoo.com</t>
  </si>
  <si>
    <t>Timothy Oklu</t>
  </si>
  <si>
    <t>Col. Shooter</t>
  </si>
  <si>
    <t>Victron MultiPlus 24/500/20-16 230V VE.Bus</t>
  </si>
  <si>
    <t>Victron MultiPlus 24/800/35-16 230V VE.Bus</t>
  </si>
  <si>
    <t>Victron MultiPlus 24/1200/50-16 230V VE.Bus</t>
  </si>
  <si>
    <t>Victron MultiPlus 24/1600/70-16 230V VE.Bus</t>
  </si>
  <si>
    <t>Victron MultiPlus 24/2000/80-32 230V VE.Bus</t>
  </si>
  <si>
    <t>Victron MultiPlus 48/2000/25-32 230V VE.Bus</t>
  </si>
  <si>
    <t>Jinko JKS-B48100 4.8kWh Lithium Battery</t>
  </si>
  <si>
    <t>Victron MC4 connection plug/socket 4,0 - 6,0 mm2, Ø 5,0 - 6.0mm</t>
  </si>
  <si>
    <t>Victron MC4 connection plug 4,0 - 6,0 mm2, Ø 5,9 - 8.8mm</t>
  </si>
  <si>
    <t>Jonathan Kofi</t>
  </si>
  <si>
    <t>Oyibi</t>
  </si>
  <si>
    <t>0244680247</t>
  </si>
  <si>
    <t>Huawei Inverters</t>
  </si>
  <si>
    <t>Araba</t>
  </si>
  <si>
    <t>+447766593974</t>
  </si>
  <si>
    <t>4D1A</t>
  </si>
  <si>
    <t>Resistance of copper conductors in m Ω /m at 20°C</t>
  </si>
  <si>
    <t>4D1B</t>
  </si>
  <si>
    <t>Ref A      1-Phase</t>
  </si>
  <si>
    <t>Ref A      3-Phase</t>
  </si>
  <si>
    <t>Ref B      1-Phase</t>
  </si>
  <si>
    <t>Ref B      3-Phase</t>
  </si>
  <si>
    <t>Ref C      Touching 1-Phase Flat</t>
  </si>
  <si>
    <t>Ref C      Touching 3-Phase</t>
  </si>
  <si>
    <t>Ref F      Touching 1-Phase Flat</t>
  </si>
  <si>
    <t>Ref F      Touching 3-Phase Flat</t>
  </si>
  <si>
    <t>Ref F      Touching 3-Phase Trefoil</t>
  </si>
  <si>
    <t>Ref F      Spaced    Flat Horizontal</t>
  </si>
  <si>
    <t>Ref F      Spaced   Flat Vertical</t>
  </si>
  <si>
    <t>Cable Size</t>
  </si>
  <si>
    <t>Conductor</t>
  </si>
  <si>
    <t>Resistance</t>
  </si>
  <si>
    <t>Ref C      1-Phase</t>
  </si>
  <si>
    <t>Ref C       3-Phase</t>
  </si>
  <si>
    <t>Ref E      1-Phase</t>
  </si>
  <si>
    <t>Ref E       3-Phase</t>
  </si>
  <si>
    <t>4D2A</t>
  </si>
  <si>
    <t>4D2B</t>
  </si>
  <si>
    <t xml:space="preserve">1-Phase Two-core </t>
  </si>
  <si>
    <t>3-Phase</t>
  </si>
  <si>
    <t>1-Phase Single-core</t>
  </si>
  <si>
    <t>4D3A</t>
  </si>
  <si>
    <t>Resistance of Aluminium conductors in m Ω /m at 20°C</t>
  </si>
  <si>
    <t>4D3B</t>
  </si>
  <si>
    <t>Ref C      Touching 3-Phase Flat</t>
  </si>
  <si>
    <t>Ref F      Spaced   D.C.   Horizontal</t>
  </si>
  <si>
    <t>Ref F      Spaced   D.C.   Vertical</t>
  </si>
  <si>
    <t>Ref F      Spaced     1-Phase   Horizontal</t>
  </si>
  <si>
    <t>Ref F      Spaced   1-Phase   Vertical</t>
  </si>
  <si>
    <t>Ref F      Spaced     3-Phase   Horizontal</t>
  </si>
  <si>
    <t>Ref F      Spaced     3-Phase   Vertical</t>
  </si>
  <si>
    <t>4D4A</t>
  </si>
  <si>
    <t>4D4B</t>
  </si>
  <si>
    <t>Ref C     3-Phase</t>
  </si>
  <si>
    <t>Ref E      3-Phase</t>
  </si>
  <si>
    <t>Ref D      1-Phase2</t>
  </si>
  <si>
    <t>Ref D       3-Phase</t>
  </si>
  <si>
    <t>4D5A</t>
  </si>
  <si>
    <t>Method 100</t>
  </si>
  <si>
    <t>Method 101</t>
  </si>
  <si>
    <t>Method 102</t>
  </si>
  <si>
    <t>Method 103</t>
  </si>
  <si>
    <t xml:space="preserve">Ref C      </t>
  </si>
  <si>
    <t>Ref A</t>
  </si>
  <si>
    <t>Voltage Drop</t>
  </si>
  <si>
    <t>4E1A</t>
  </si>
  <si>
    <t>4E1B</t>
  </si>
  <si>
    <t>Standard Breaker Capacities (kVA)</t>
  </si>
  <si>
    <t>Ref F      Spaced   Flat Horizontal</t>
  </si>
  <si>
    <t>4E2A</t>
  </si>
  <si>
    <t>4E2B</t>
  </si>
  <si>
    <t>Ref C      3-Phase</t>
  </si>
  <si>
    <t>Ref E     3-Phase</t>
  </si>
  <si>
    <t>4E3A</t>
  </si>
  <si>
    <t>4E3B</t>
  </si>
  <si>
    <t>4E4A</t>
  </si>
  <si>
    <t>4E4B</t>
  </si>
  <si>
    <t>4F1A</t>
  </si>
  <si>
    <t>4F1B</t>
  </si>
  <si>
    <t>4F2A</t>
  </si>
  <si>
    <t>4F2B</t>
  </si>
  <si>
    <t>4F3A</t>
  </si>
  <si>
    <t>4F3B</t>
  </si>
  <si>
    <t xml:space="preserve">1-Phase </t>
  </si>
  <si>
    <t>Mass Support</t>
  </si>
  <si>
    <t>4G1A</t>
  </si>
  <si>
    <t>4G1B</t>
  </si>
  <si>
    <t>Ref C      3-Phase Trefoil</t>
  </si>
  <si>
    <t>Ref C     3-Phase Flat</t>
  </si>
  <si>
    <t>Ref E,F,G      1-Phase</t>
  </si>
  <si>
    <t>Ref E,F,G      3-Phase Trefoil</t>
  </si>
  <si>
    <t>Ref E,F,G      Touching 3-Phase Flat</t>
  </si>
  <si>
    <t>Ref E,F,G      Spaced     3-Phase Flat Vertical</t>
  </si>
  <si>
    <t>Ref E,F,G      Spaced     3-Phase Flat Horizontal</t>
  </si>
  <si>
    <t>500V Light Duty</t>
  </si>
  <si>
    <t>750V Heavy Duty</t>
  </si>
  <si>
    <t>4G2A</t>
  </si>
  <si>
    <t>4G2B</t>
  </si>
  <si>
    <t>4H1A</t>
  </si>
  <si>
    <t>4H1B</t>
  </si>
  <si>
    <t>Column2</t>
  </si>
  <si>
    <t>Column1</t>
  </si>
  <si>
    <t>4H2A</t>
  </si>
  <si>
    <t>4H2B</t>
  </si>
  <si>
    <t>4H3A</t>
  </si>
  <si>
    <t>4H3B</t>
  </si>
  <si>
    <t>4H4A</t>
  </si>
  <si>
    <t>4H4B</t>
  </si>
  <si>
    <t>4J1A</t>
  </si>
  <si>
    <t>4J1B</t>
  </si>
  <si>
    <t>4J2A</t>
  </si>
  <si>
    <t>4J2B</t>
  </si>
  <si>
    <t>4J3A</t>
  </si>
  <si>
    <t>4J3B</t>
  </si>
  <si>
    <t>4J4A</t>
  </si>
  <si>
    <t>4J4B</t>
  </si>
  <si>
    <t>Designer's Input</t>
  </si>
  <si>
    <t>Program Output</t>
  </si>
  <si>
    <t>Watts</t>
  </si>
  <si>
    <t>PB-G10</t>
  </si>
  <si>
    <t>PB-G20</t>
  </si>
  <si>
    <t>PB-G30</t>
  </si>
  <si>
    <t>PB-G40</t>
  </si>
  <si>
    <t>PB-G50</t>
  </si>
  <si>
    <t>PB-G60</t>
  </si>
  <si>
    <t>PB-G70</t>
  </si>
  <si>
    <t>PB-G80</t>
  </si>
  <si>
    <t>PB-G90</t>
  </si>
  <si>
    <t>Unit</t>
  </si>
  <si>
    <t>Sub Total (kW)</t>
  </si>
  <si>
    <t>After Diversity Maximum Demand - ADMD @66% (kW)</t>
  </si>
  <si>
    <t xml:space="preserve">kVA Rating @ 0.8 p.f. </t>
  </si>
  <si>
    <t>Allow for 10% load Growth (kVA)</t>
  </si>
  <si>
    <t>Total kVA</t>
  </si>
  <si>
    <t>Current Per     Line</t>
  </si>
  <si>
    <t>Total Current (A) Line 1</t>
  </si>
  <si>
    <t>Total Current (A) Line 2</t>
  </si>
  <si>
    <t>Total Current (A) Line 3</t>
  </si>
  <si>
    <r>
      <t>I</t>
    </r>
    <r>
      <rPr>
        <vertAlign val="subscript"/>
        <sz val="12"/>
        <rFont val="Times New Roman"/>
        <family val="1"/>
      </rPr>
      <t>b</t>
    </r>
  </si>
  <si>
    <t>Total Current</t>
  </si>
  <si>
    <t>Highest Current per Line (Hypothetical Scenario)</t>
  </si>
  <si>
    <r>
      <t>I</t>
    </r>
    <r>
      <rPr>
        <vertAlign val="subscript"/>
        <sz val="12"/>
        <rFont val="Times New Roman"/>
        <family val="1"/>
      </rPr>
      <t>n</t>
    </r>
  </si>
  <si>
    <t>Standard Capacity of Breaker Required</t>
  </si>
  <si>
    <r>
      <t>=I</t>
    </r>
    <r>
      <rPr>
        <vertAlign val="subscript"/>
        <sz val="12"/>
        <rFont val="Times New Roman"/>
        <family val="1"/>
      </rPr>
      <t xml:space="preserve">n </t>
    </r>
    <r>
      <rPr>
        <sz val="12"/>
        <rFont val="Times New Roman"/>
        <family val="1"/>
      </rPr>
      <t>/C</t>
    </r>
  </si>
  <si>
    <t>Proposed Current Carrying Capacity of Conductor</t>
  </si>
  <si>
    <r>
      <t>I</t>
    </r>
    <r>
      <rPr>
        <vertAlign val="subscript"/>
        <sz val="12"/>
        <rFont val="Times New Roman"/>
        <family val="1"/>
      </rPr>
      <t>z</t>
    </r>
  </si>
  <si>
    <t>Actual Current Carrying Capacity of Conductor</t>
  </si>
  <si>
    <r>
      <t>I</t>
    </r>
    <r>
      <rPr>
        <vertAlign val="subscript"/>
        <sz val="12"/>
        <rFont val="Times New Roman"/>
        <family val="1"/>
      </rPr>
      <t>t</t>
    </r>
  </si>
  <si>
    <t>Tabulated Cable Current Carrying Capacity</t>
  </si>
  <si>
    <t>Class of Breaker Required</t>
  </si>
  <si>
    <t>C</t>
  </si>
  <si>
    <t>Size of Transformer Required</t>
  </si>
  <si>
    <t>Size of Generator Required</t>
  </si>
  <si>
    <t>Size of Circuit Protective Conductor (CPC)</t>
  </si>
  <si>
    <t>Cable Diameter</t>
  </si>
  <si>
    <t>COPPER</t>
  </si>
  <si>
    <t>Cable Description</t>
  </si>
  <si>
    <t>ALUMINIUM</t>
  </si>
  <si>
    <t>Cable Selection Table</t>
  </si>
  <si>
    <t>Table Number ( 4D1, 4D2, 4D1, etc. )</t>
  </si>
  <si>
    <t>4D2</t>
  </si>
  <si>
    <t>4D1</t>
  </si>
  <si>
    <t>Column Number (2, 3, 4, etc. )</t>
  </si>
  <si>
    <t>AC or DC</t>
  </si>
  <si>
    <t>AC</t>
  </si>
  <si>
    <t>Number of Phases (1, 3)</t>
  </si>
  <si>
    <t>Light Duty (500V) Or Heavy Duty (750V)</t>
  </si>
  <si>
    <t>500V</t>
  </si>
  <si>
    <t>Rating Factors</t>
  </si>
  <si>
    <r>
      <t>Ambient Temperature C</t>
    </r>
    <r>
      <rPr>
        <vertAlign val="subscript"/>
        <sz val="12"/>
        <rFont val="Times New Roman"/>
        <family val="1"/>
      </rPr>
      <t>a</t>
    </r>
  </si>
  <si>
    <r>
      <t>Circuits Buried in the Ground C</t>
    </r>
    <r>
      <rPr>
        <vertAlign val="subscript"/>
        <sz val="12"/>
        <rFont val="Times New Roman"/>
        <family val="1"/>
      </rPr>
      <t>c</t>
    </r>
  </si>
  <si>
    <r>
      <t>Depth of Burial C</t>
    </r>
    <r>
      <rPr>
        <vertAlign val="subscript"/>
        <sz val="12"/>
        <rFont val="Times New Roman"/>
        <family val="1"/>
      </rPr>
      <t>d</t>
    </r>
  </si>
  <si>
    <r>
      <t>Semi-enclosed fuse to BS 3036 C</t>
    </r>
    <r>
      <rPr>
        <vertAlign val="subscript"/>
        <sz val="12"/>
        <rFont val="Times New Roman"/>
        <family val="1"/>
      </rPr>
      <t>f</t>
    </r>
  </si>
  <si>
    <r>
      <t>Grouping C</t>
    </r>
    <r>
      <rPr>
        <vertAlign val="subscript"/>
        <sz val="12"/>
        <rFont val="Times New Roman"/>
        <family val="1"/>
      </rPr>
      <t>g</t>
    </r>
  </si>
  <si>
    <t>Thermal Insulation Ci</t>
  </si>
  <si>
    <r>
      <t>Thermal Resistivity of Soil C</t>
    </r>
    <r>
      <rPr>
        <vertAlign val="subscript"/>
        <sz val="12"/>
        <rFont val="Times New Roman"/>
        <family val="1"/>
      </rPr>
      <t>s</t>
    </r>
  </si>
  <si>
    <t>Length of Circuit</t>
  </si>
  <si>
    <t>Type of Earthing (TT, TNS, TNCS)</t>
  </si>
  <si>
    <t>TNCS</t>
  </si>
  <si>
    <t>Initial Tabulated Cable Current Carrying Capacity</t>
  </si>
  <si>
    <t>Cable Size Initially</t>
  </si>
  <si>
    <t>Cable Size After Considering Voltage Drop per Amp per Meter</t>
  </si>
  <si>
    <t>Cable Size After Considering Earth Loop Impedance</t>
  </si>
  <si>
    <t>CPC Size Initially</t>
  </si>
  <si>
    <r>
      <t>Resistance of the Line Conductor R</t>
    </r>
    <r>
      <rPr>
        <vertAlign val="subscript"/>
        <sz val="12"/>
        <rFont val="Times New Roman"/>
        <family val="1"/>
      </rPr>
      <t>1</t>
    </r>
  </si>
  <si>
    <r>
      <t>Resistance of the Circuit Protective Conductor R</t>
    </r>
    <r>
      <rPr>
        <vertAlign val="subscript"/>
        <sz val="12"/>
        <rFont val="Times New Roman"/>
        <family val="1"/>
      </rPr>
      <t>2</t>
    </r>
  </si>
  <si>
    <r>
      <t>External Impedance (Z</t>
    </r>
    <r>
      <rPr>
        <vertAlign val="subscript"/>
        <sz val="12"/>
        <rFont val="Times New Roman"/>
        <family val="1"/>
      </rPr>
      <t>e</t>
    </r>
    <r>
      <rPr>
        <sz val="12"/>
        <rFont val="Times New Roman"/>
        <family val="1"/>
      </rPr>
      <t>)</t>
    </r>
  </si>
  <si>
    <r>
      <t>Internal Impedance (R</t>
    </r>
    <r>
      <rPr>
        <vertAlign val="subscript"/>
        <sz val="12"/>
        <rFont val="Times New Roman"/>
        <family val="1"/>
      </rPr>
      <t>1</t>
    </r>
    <r>
      <rPr>
        <sz val="12"/>
        <rFont val="Times New Roman"/>
        <family val="1"/>
      </rPr>
      <t xml:space="preserve"> + R</t>
    </r>
    <r>
      <rPr>
        <vertAlign val="subscript"/>
        <sz val="12"/>
        <rFont val="Times New Roman"/>
        <family val="1"/>
      </rPr>
      <t>2</t>
    </r>
    <r>
      <rPr>
        <sz val="12"/>
        <rFont val="Times New Roman"/>
        <family val="1"/>
      </rPr>
      <t>)</t>
    </r>
  </si>
  <si>
    <r>
      <t>Earth Fault Loop Impedance (Z</t>
    </r>
    <r>
      <rPr>
        <vertAlign val="subscript"/>
        <sz val="12"/>
        <rFont val="Times New Roman"/>
        <family val="1"/>
      </rPr>
      <t>s</t>
    </r>
    <r>
      <rPr>
        <sz val="12"/>
        <rFont val="Times New Roman"/>
        <family val="1"/>
      </rPr>
      <t>)</t>
    </r>
  </si>
  <si>
    <t>Copper</t>
  </si>
  <si>
    <t>Initial</t>
  </si>
  <si>
    <t>Aluminium</t>
  </si>
  <si>
    <t>Final</t>
  </si>
  <si>
    <r>
      <t>Single-Core, Non-Armoured,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</si>
  <si>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A</t>
  </si>
  <si>
    <t>B</t>
  </si>
  <si>
    <t>D</t>
  </si>
  <si>
    <t>E</t>
  </si>
  <si>
    <t>F</t>
  </si>
  <si>
    <t>G</t>
  </si>
  <si>
    <t>Reference Method ( A, B, C, etc. )</t>
  </si>
  <si>
    <t>Reference Methods</t>
  </si>
  <si>
    <t>Number of Cables ( 2 or 3 or 4 )</t>
  </si>
  <si>
    <t>3 or 4</t>
  </si>
  <si>
    <t>2 or 3</t>
  </si>
  <si>
    <t>Touching or Spaced ( T or S )</t>
  </si>
  <si>
    <t>Touching</t>
  </si>
  <si>
    <t>Spaced</t>
  </si>
  <si>
    <t>Flat or Trefoil ( F or T )</t>
  </si>
  <si>
    <t>Flat</t>
  </si>
  <si>
    <t>Horizontal or Vertical  ( H or V )</t>
  </si>
  <si>
    <t>Vertical</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</si>
  <si>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</si>
  <si>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</si>
  <si>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</si>
  <si>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Trefoil</t>
  </si>
  <si>
    <t>Horizontal</t>
  </si>
  <si>
    <t>DC</t>
  </si>
  <si>
    <t>4D4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</si>
  <si>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</si>
  <si>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4D5</t>
  </si>
  <si>
    <r>
      <t>Sheathed, Flat Cable, With Protective Conductor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</si>
  <si>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4E1</t>
  </si>
  <si>
    <r>
      <t>Single-Core, Non-Armoured,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</si>
  <si>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4E2</t>
  </si>
  <si>
    <r>
      <t>Multi-Core, Thermoplastic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</si>
  <si>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4E3</t>
  </si>
  <si>
    <r>
      <t>Single-Core, 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</si>
  <si>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</si>
  <si>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</si>
  <si>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4F1</t>
  </si>
  <si>
    <r>
      <t>60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60</t>
    </r>
    <r>
      <rPr>
        <b/>
        <vertAlign val="superscript"/>
        <sz val="12"/>
        <rFont val="Times New Roman"/>
        <family val="1"/>
      </rPr>
      <t>0</t>
    </r>
    <r>
      <rPr>
        <b/>
        <sz val="12"/>
        <rFont val="Times New Roman"/>
        <family val="1"/>
      </rPr>
      <t>C</t>
    </r>
  </si>
  <si>
    <t>3 or4or 5</t>
  </si>
  <si>
    <t>Single-Core or Multi-Core</t>
  </si>
  <si>
    <t>Multi</t>
  </si>
  <si>
    <t>Single</t>
  </si>
  <si>
    <t>4F2</t>
  </si>
  <si>
    <r>
      <t>90</t>
    </r>
    <r>
      <rPr>
        <b/>
        <vertAlign val="superscript"/>
        <sz val="12"/>
        <rFont val="Times New Roman"/>
        <family val="1"/>
      </rPr>
      <t xml:space="preserve">0 </t>
    </r>
    <r>
      <rPr>
        <b/>
        <sz val="12"/>
        <rFont val="Times New Roman"/>
        <family val="1"/>
      </rPr>
      <t>/180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</si>
  <si>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4F3</t>
  </si>
  <si>
    <t>Non-Armoured</t>
  </si>
  <si>
    <t>1-Phase</t>
  </si>
  <si>
    <t>4G1</t>
  </si>
  <si>
    <r>
      <t>Sheathed, Thermoplastic Covered or Bare and Exposed to Touch                                                                                    Ambient Temperature: 30</t>
    </r>
    <r>
      <rPr>
        <b/>
        <vertAlign val="superscript"/>
        <sz val="12"/>
        <rFont val="Times New Roman"/>
        <family val="1"/>
      </rPr>
      <t>0</t>
    </r>
    <r>
      <rPr>
        <b/>
        <sz val="12"/>
        <rFont val="Times New Roman"/>
        <family val="1"/>
      </rPr>
      <t>C                                                 Sheath Operating Temperature: 70</t>
    </r>
    <r>
      <rPr>
        <b/>
        <vertAlign val="superscript"/>
        <sz val="12"/>
        <rFont val="Times New Roman"/>
        <family val="1"/>
      </rPr>
      <t>0</t>
    </r>
    <r>
      <rPr>
        <b/>
        <sz val="12"/>
        <rFont val="Times New Roman"/>
        <family val="1"/>
      </rPr>
      <t>C</t>
    </r>
  </si>
  <si>
    <t>E, F, G</t>
  </si>
  <si>
    <t>4G2</t>
  </si>
  <si>
    <r>
      <t>Bare, Not Exposed to Touch, Not in Contact with Combustible Material                                                                               Ambient Temperature: 30</t>
    </r>
    <r>
      <rPr>
        <b/>
        <vertAlign val="superscript"/>
        <sz val="12"/>
        <rFont val="Times New Roman"/>
        <family val="1"/>
      </rPr>
      <t>0</t>
    </r>
    <r>
      <rPr>
        <b/>
        <sz val="12"/>
        <rFont val="Times New Roman"/>
        <family val="1"/>
      </rPr>
      <t>C                                                 Sheath Operating Temperature: 105</t>
    </r>
    <r>
      <rPr>
        <b/>
        <vertAlign val="superscript"/>
        <sz val="12"/>
        <rFont val="Times New Roman"/>
        <family val="1"/>
      </rPr>
      <t>0</t>
    </r>
    <r>
      <rPr>
        <b/>
        <sz val="12"/>
        <rFont val="Times New Roman"/>
        <family val="1"/>
      </rPr>
      <t>C</t>
    </r>
  </si>
  <si>
    <t>4H1</t>
  </si>
  <si>
    <t>4H2</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</si>
  <si>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</si>
  <si>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</si>
  <si>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</si>
  <si>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4H4</t>
  </si>
  <si>
    <t>4J1</t>
  </si>
  <si>
    <t>4J2</t>
  </si>
  <si>
    <t>4J3</t>
  </si>
  <si>
    <t>4J4</t>
  </si>
  <si>
    <t>Jinko JKM555M-72HL4-V - 555 Watts Solar Panel</t>
  </si>
  <si>
    <t>Auto</t>
  </si>
  <si>
    <t>Manual</t>
  </si>
  <si>
    <t>Patricia Tuffuor</t>
  </si>
  <si>
    <t>Abokobi Borga Town</t>
  </si>
  <si>
    <t>0540115573</t>
  </si>
  <si>
    <t>sabek2g@gmail.com</t>
  </si>
  <si>
    <t>0203642964</t>
  </si>
  <si>
    <t>Battery</t>
  </si>
  <si>
    <t>Phoenix</t>
  </si>
  <si>
    <t>Phase</t>
  </si>
  <si>
    <t>System Voltage</t>
  </si>
  <si>
    <t>Grid-Tied</t>
  </si>
  <si>
    <t>Multiplus</t>
  </si>
  <si>
    <t>Quattro</t>
  </si>
  <si>
    <t>EasySolar</t>
  </si>
  <si>
    <t>type</t>
  </si>
  <si>
    <t>Deye</t>
  </si>
  <si>
    <t>Huawei</t>
  </si>
  <si>
    <t>Galvo</t>
  </si>
  <si>
    <t>Primo</t>
  </si>
  <si>
    <t>Symo</t>
  </si>
  <si>
    <t>Eco</t>
  </si>
  <si>
    <t>Tauro</t>
  </si>
  <si>
    <t>Battery List</t>
  </si>
  <si>
    <t>BYD_Lithium</t>
  </si>
  <si>
    <t>Jinko_Lithium</t>
  </si>
  <si>
    <t>Huawei_Lithium</t>
  </si>
  <si>
    <t>Victron_AGM</t>
  </si>
  <si>
    <t>Victron_Gel</t>
  </si>
  <si>
    <t>Hoppecke_OPzV</t>
  </si>
  <si>
    <t>Hoppecke_Lead_Acid</t>
  </si>
  <si>
    <t>12/250</t>
  </si>
  <si>
    <t>12/375</t>
  </si>
  <si>
    <t>12/500</t>
  </si>
  <si>
    <t>12/800</t>
  </si>
  <si>
    <t>12/1200</t>
  </si>
  <si>
    <t>24/250</t>
  </si>
  <si>
    <t>24/375</t>
  </si>
  <si>
    <t>24/500</t>
  </si>
  <si>
    <t>24/800</t>
  </si>
  <si>
    <t>24/1200</t>
  </si>
  <si>
    <t>48/250</t>
  </si>
  <si>
    <t>48/375</t>
  </si>
  <si>
    <t>48/500</t>
  </si>
  <si>
    <t>48/800</t>
  </si>
  <si>
    <t>48/1200</t>
  </si>
  <si>
    <t>12/1600</t>
  </si>
  <si>
    <t>24/2000</t>
  </si>
  <si>
    <t>24/1600</t>
  </si>
  <si>
    <t>12/2000</t>
  </si>
  <si>
    <t>12V/8Ah</t>
  </si>
  <si>
    <t>12V/14Ah</t>
  </si>
  <si>
    <t>12V/22Ah</t>
  </si>
  <si>
    <t>12V/38Ah</t>
  </si>
  <si>
    <t>12V/60Ah</t>
  </si>
  <si>
    <t>12V/90Ah</t>
  </si>
  <si>
    <t>12V/110Ah</t>
  </si>
  <si>
    <t>12V/220Ah</t>
  </si>
  <si>
    <t>12V/100Ah</t>
  </si>
  <si>
    <t>12V/200Ah</t>
  </si>
  <si>
    <t>Hoppecke 2-Volts 26.30kwh/ 48V 7 Sun Opzv VRL 620</t>
  </si>
  <si>
    <t>48V/620Ah</t>
  </si>
  <si>
    <t>12V/150Ah</t>
  </si>
  <si>
    <t>6V/250Ah</t>
  </si>
  <si>
    <t>24/3000</t>
  </si>
  <si>
    <t>24/5000</t>
  </si>
  <si>
    <t>48/1600</t>
  </si>
  <si>
    <t>48/2000</t>
  </si>
  <si>
    <t>48/3000</t>
  </si>
  <si>
    <t>48/5000</t>
  </si>
  <si>
    <t>48/6000</t>
  </si>
  <si>
    <t>48/8000</t>
  </si>
  <si>
    <t>48/10000</t>
  </si>
  <si>
    <t>48/15000</t>
  </si>
  <si>
    <t>Multiplus_II</t>
  </si>
  <si>
    <t>Multiplus_II_GX</t>
  </si>
  <si>
    <t>EasySolar_II</t>
  </si>
  <si>
    <t>Phocos_H</t>
  </si>
  <si>
    <t>Phocos_B</t>
  </si>
  <si>
    <t>48/16000</t>
  </si>
  <si>
    <t>48/12000</t>
  </si>
  <si>
    <t>48/20000</t>
  </si>
  <si>
    <t>48/30000</t>
  </si>
  <si>
    <t>48/40000</t>
  </si>
  <si>
    <t>48/50000</t>
  </si>
  <si>
    <t>Gen_24_Primo</t>
  </si>
  <si>
    <t>Gen_24_Symo</t>
  </si>
  <si>
    <t>3kW Grid-Tied</t>
  </si>
  <si>
    <t>5kW Grid-Tied</t>
  </si>
  <si>
    <t>8.2kW Grid-Tied</t>
  </si>
  <si>
    <t>6kW Grid-Tied</t>
  </si>
  <si>
    <t>10kW Grid-Tied</t>
  </si>
  <si>
    <t>15kW Grid-Tied</t>
  </si>
  <si>
    <t>20kW Grid-Tied</t>
  </si>
  <si>
    <t>25kW Grid-Tied</t>
  </si>
  <si>
    <t>27kW Grid-Tied</t>
  </si>
  <si>
    <t>50kW Grid-Tied</t>
  </si>
  <si>
    <t>100kW Grid-Tied</t>
  </si>
  <si>
    <t>48V/3kW</t>
  </si>
  <si>
    <t>48V/5kW</t>
  </si>
  <si>
    <t>48V/6kW</t>
  </si>
  <si>
    <t>48V/4kW</t>
  </si>
  <si>
    <t>48V/8kW</t>
  </si>
  <si>
    <t>48V/10kW</t>
  </si>
  <si>
    <t>5kWh</t>
  </si>
  <si>
    <t>4kWh</t>
  </si>
  <si>
    <t>15.4kWh</t>
  </si>
  <si>
    <t>2.56kWh</t>
  </si>
  <si>
    <t>4.8kWh</t>
  </si>
  <si>
    <t>Sharp - NUJC415 Mono 415Wp Solar Panel</t>
  </si>
  <si>
    <t>Sharp_Solar_Panel</t>
  </si>
  <si>
    <t>JA_Solar_Panel</t>
  </si>
  <si>
    <t>Jinko_Solar_Panel</t>
  </si>
  <si>
    <t>Victron_Solar_Panel</t>
  </si>
  <si>
    <t>530W Mono</t>
  </si>
  <si>
    <t>545W Mono</t>
  </si>
  <si>
    <t>555W Mono</t>
  </si>
  <si>
    <t>415W Mono</t>
  </si>
  <si>
    <t>115W Poly</t>
  </si>
  <si>
    <t>270W Poly</t>
  </si>
  <si>
    <t>305W Mono</t>
  </si>
  <si>
    <t>BYD_Solar_Panel</t>
  </si>
  <si>
    <t>Solar Panel List</t>
  </si>
  <si>
    <t>Inverter List</t>
  </si>
  <si>
    <t>24/3000/70-50</t>
  </si>
  <si>
    <t>48/3000/35-16</t>
  </si>
  <si>
    <t>48/3000/35-50</t>
  </si>
  <si>
    <t>12/1200 VE.Direct</t>
  </si>
  <si>
    <t>kW</t>
  </si>
  <si>
    <t>Voc</t>
  </si>
  <si>
    <t>V Mppt</t>
  </si>
  <si>
    <t>V System</t>
  </si>
  <si>
    <t>Emmanuel Atsu</t>
  </si>
  <si>
    <t>0547141736</t>
  </si>
  <si>
    <t>fiahagbeatsuemmanuel@gmail.com</t>
  </si>
  <si>
    <t>Teledata</t>
  </si>
  <si>
    <t>McCathy Hills</t>
  </si>
  <si>
    <t>0205035150/ 
0544315993</t>
  </si>
  <si>
    <t>St. Ignatius Catholic Church - Church Building</t>
  </si>
  <si>
    <t>St. Ignatius Catholic Church - School Building</t>
  </si>
  <si>
    <t>Battery Rack for up to 2 Batteries - Lithium Batteries</t>
  </si>
  <si>
    <t>Bismark</t>
  </si>
  <si>
    <t>0543942501</t>
  </si>
  <si>
    <t>Alex Kyei - Afram Plains</t>
  </si>
  <si>
    <t>Chris Agyeman</t>
  </si>
  <si>
    <t>0541151835</t>
  </si>
  <si>
    <t>Melissa Boateng</t>
  </si>
  <si>
    <t>Assin Akrofuom</t>
  </si>
  <si>
    <t>0572666376</t>
  </si>
  <si>
    <t>melissa.boateng@solidaridadnetwork.org</t>
  </si>
  <si>
    <t>Huawei SUN 2000-2KTL-L1</t>
  </si>
  <si>
    <t>Huawei SUN 2000-3KTL-L1</t>
  </si>
  <si>
    <t>Huawei SUN 2000-5KTL-L1</t>
  </si>
  <si>
    <t>Huawei SUN 2000-5KTL-M1</t>
  </si>
  <si>
    <t>Huawei SUN 2000-10KTL-M1</t>
  </si>
  <si>
    <t>Huawei SUN2000-20KTL-M5</t>
  </si>
  <si>
    <t>Huawei SUN2000-30KTL-M3</t>
  </si>
  <si>
    <t>Huawei SUN2000-40KTL-M3</t>
  </si>
  <si>
    <t>Huawei SUN 2000-50KTL-M3</t>
  </si>
  <si>
    <t>Huawei Function Module, Smart Dongle-WLAN-FE, SDongleA-05, WLAN-FE Wireless Module, EQ-10N</t>
  </si>
  <si>
    <t>Huawei Function Module, Inverter external 4G dongle, Supporting the communication for 10 devices at most</t>
  </si>
  <si>
    <t>Huawei SmartLogger 3000A01GL</t>
  </si>
  <si>
    <t>Huawei DTSU666-H 250A/50mA 3-Phase Smart Power Sensor</t>
  </si>
  <si>
    <t>Huawei DDSU666-H</t>
  </si>
  <si>
    <t>Huawei IOT outdoor 4G module</t>
  </si>
  <si>
    <t>0208178946</t>
  </si>
  <si>
    <t>Alfred Gyasi</t>
  </si>
  <si>
    <t>Mpere</t>
  </si>
  <si>
    <t>Adukrom</t>
  </si>
  <si>
    <t>0554762025</t>
  </si>
  <si>
    <t>Emmanuel Abewini</t>
  </si>
  <si>
    <t>0503139703</t>
  </si>
  <si>
    <t>Ato Brown</t>
  </si>
  <si>
    <t>Aseseeso</t>
  </si>
  <si>
    <t>0542357821</t>
  </si>
  <si>
    <t>ECOLIGO GHA ASSETS ONE LTD</t>
  </si>
  <si>
    <t>+233594031521</t>
  </si>
  <si>
    <t>Regus Office, 7th Floor, Atlantic Towers, Airport, Liberation Road</t>
  </si>
  <si>
    <t>Johnny</t>
  </si>
  <si>
    <t>0554550781</t>
  </si>
  <si>
    <t>Dr. Bernard Aryee</t>
  </si>
  <si>
    <t>Amrahia - Greenfields Estates</t>
  </si>
  <si>
    <t>0209058841</t>
  </si>
  <si>
    <t>Romeo Bugyei</t>
  </si>
  <si>
    <t>Thomas Okai</t>
  </si>
  <si>
    <t>0205409179</t>
  </si>
  <si>
    <t>Francis Aboagye</t>
  </si>
  <si>
    <t>Paul Vegas</t>
  </si>
  <si>
    <t>Lakeside-Kumasi</t>
  </si>
  <si>
    <t>0243840512</t>
  </si>
  <si>
    <t>Tim</t>
  </si>
  <si>
    <t>Cal Bank</t>
  </si>
  <si>
    <t>Bank Name: CAL BANK GHANA LIMITED</t>
  </si>
  <si>
    <t>Account No: 1400007916096 (GHS)</t>
  </si>
  <si>
    <t>Account No: 14000079000234 (USD)</t>
  </si>
  <si>
    <t>Swift Code: ACCCGHACXXX</t>
  </si>
  <si>
    <t>Sort Code: 140101</t>
  </si>
  <si>
    <t>Bank Branch: Independence Avenue</t>
  </si>
  <si>
    <t>Kay</t>
  </si>
  <si>
    <t>+1 (720) 642-8998</t>
  </si>
  <si>
    <t>Ama Thompson</t>
  </si>
  <si>
    <t>KNIGHTS A.S. GHANA LIMITED</t>
  </si>
  <si>
    <t>205 ASERE AYITEY STREET KANESHIE, NORTH KANESHIE</t>
  </si>
  <si>
    <t>EL Studios</t>
  </si>
  <si>
    <t>Kwame Adzudzor</t>
  </si>
  <si>
    <t>0243338896</t>
  </si>
  <si>
    <t>Ing. Isaac Kweku Boakye</t>
  </si>
  <si>
    <t>0243567620</t>
  </si>
  <si>
    <t>Paul Ajomah</t>
  </si>
  <si>
    <t>0244651542</t>
  </si>
  <si>
    <t>Mr. Eric</t>
  </si>
  <si>
    <t>0244886798</t>
  </si>
  <si>
    <t>Kweku Sekyi Aidoo</t>
  </si>
  <si>
    <t>0244370818</t>
  </si>
  <si>
    <t>Mr. Arnold Parker</t>
  </si>
  <si>
    <t>NMS Infrastructure - Fomena Hospital</t>
  </si>
  <si>
    <t>NMS Infrastructure - Kumawu Hospital</t>
  </si>
  <si>
    <t>6th Floor, One Airport Square, 
215 Liberation Road, 
Airport City</t>
  </si>
  <si>
    <t>Elsie Yaokumah - Afienya</t>
  </si>
  <si>
    <t>Albert Awuku Young</t>
  </si>
  <si>
    <t>0506588446</t>
  </si>
  <si>
    <t>Emmanuel - Kwabenya</t>
  </si>
  <si>
    <t>0549202500</t>
  </si>
  <si>
    <t>Elder Benjamin Yeboah</t>
  </si>
  <si>
    <t>0208557074</t>
  </si>
  <si>
    <t>Ebow Philips</t>
  </si>
  <si>
    <t>0246827533</t>
  </si>
  <si>
    <t>Kojo</t>
  </si>
  <si>
    <t>0243954766</t>
  </si>
  <si>
    <t>Abdella Salia - Adjringanor</t>
  </si>
  <si>
    <t>Abdella Salia - Ridge</t>
  </si>
  <si>
    <t>Haruna</t>
  </si>
  <si>
    <t>0267485834</t>
  </si>
  <si>
    <t>Daniel Justice Akpalu</t>
  </si>
  <si>
    <t>0540113133</t>
  </si>
  <si>
    <t>Philip Mumuni</t>
  </si>
  <si>
    <t>0205794112</t>
  </si>
  <si>
    <t>0501668998</t>
  </si>
  <si>
    <t>Tim - Van</t>
  </si>
  <si>
    <t>Frank - Tema</t>
  </si>
  <si>
    <t>0242746880</t>
  </si>
  <si>
    <t>Ben Nkrumah</t>
  </si>
  <si>
    <t>0243102412</t>
  </si>
  <si>
    <t>Solar Enablers / Prof. Peter Quartey</t>
  </si>
  <si>
    <t>Samuel</t>
  </si>
  <si>
    <t>+23278104818</t>
  </si>
  <si>
    <t xml:space="preserve">PURC Regional Headoffice </t>
  </si>
  <si>
    <t>Amex Healthcare</t>
  </si>
  <si>
    <t>0505359149</t>
  </si>
  <si>
    <t>Emmanuel -</t>
  </si>
  <si>
    <t>Moif - North</t>
  </si>
  <si>
    <t>Madam Augustina</t>
  </si>
  <si>
    <t>0501867503</t>
  </si>
  <si>
    <t>KT</t>
  </si>
  <si>
    <t>0508408949</t>
  </si>
  <si>
    <t>Mr. John</t>
  </si>
  <si>
    <t>0243314251</t>
  </si>
  <si>
    <t>Alex Yeboah</t>
  </si>
  <si>
    <t>0244677997</t>
  </si>
  <si>
    <t>Madam Florence</t>
  </si>
  <si>
    <t>0532114347</t>
  </si>
  <si>
    <t>St. Mark Methodist Church</t>
  </si>
  <si>
    <t>Rev. Kojo</t>
  </si>
  <si>
    <t>0546670946</t>
  </si>
  <si>
    <t>Darkuman</t>
  </si>
  <si>
    <t>0261323558</t>
  </si>
  <si>
    <t>Prof. Akua Britwum</t>
  </si>
  <si>
    <t>Claudia</t>
  </si>
  <si>
    <t>0549127233 / 0508194122</t>
  </si>
  <si>
    <t>Inverter Brand:</t>
  </si>
  <si>
    <t xml:space="preserve">System Type: </t>
  </si>
  <si>
    <t>Mini-Grid</t>
  </si>
  <si>
    <t>Hybrid</t>
  </si>
  <si>
    <t>Backup</t>
  </si>
  <si>
    <t>System Type</t>
  </si>
  <si>
    <t>Inverter Brand</t>
  </si>
  <si>
    <t>Battery Brand</t>
  </si>
  <si>
    <t>BYD</t>
  </si>
  <si>
    <t>Jinko</t>
  </si>
  <si>
    <t>Battery Type</t>
  </si>
  <si>
    <t>Inverter Quantity:</t>
  </si>
  <si>
    <t>System Voltage:</t>
  </si>
  <si>
    <t>Solar Panel Brand</t>
  </si>
  <si>
    <t>Solar Panel Brand:</t>
  </si>
  <si>
    <t>Solar Panel Capacity (kWp)</t>
  </si>
  <si>
    <t>JA Solar</t>
  </si>
  <si>
    <t>Sharp</t>
  </si>
  <si>
    <t>Number of Phases</t>
  </si>
  <si>
    <t>MANUAL</t>
  </si>
  <si>
    <t>Solar Panel to Inverter (MPPT) Length</t>
  </si>
  <si>
    <t>Inverter to Tie-in point Length</t>
  </si>
  <si>
    <t>Chint 320A 4-Pole AC MCCB</t>
  </si>
  <si>
    <t>Chint 400A 4-Pole AC MCCB</t>
  </si>
  <si>
    <t>Saeed Adnan</t>
  </si>
  <si>
    <t>Mr. Frank Amoah</t>
  </si>
  <si>
    <t>No. 3 Oyster Gulf, Pool Side Road, Gulf City</t>
  </si>
  <si>
    <t>Ghana National Credit Unions Training Center</t>
  </si>
  <si>
    <t>Voltage Drop V/A/m</t>
  </si>
  <si>
    <t>Number of Panels per String:</t>
  </si>
  <si>
    <t>%Drop</t>
  </si>
  <si>
    <t>Mr. Ghartey</t>
  </si>
  <si>
    <t>0242981694</t>
  </si>
  <si>
    <t>Remote Monitoring</t>
  </si>
  <si>
    <t>Yes</t>
  </si>
  <si>
    <t>No</t>
  </si>
  <si>
    <t>Roof Mount</t>
  </si>
  <si>
    <t>Mounting Structure:</t>
  </si>
  <si>
    <t>Ground Mount</t>
  </si>
  <si>
    <t>Carport</t>
  </si>
  <si>
    <t>Victoria</t>
  </si>
  <si>
    <t>0246781494</t>
  </si>
  <si>
    <t>TINO SOLUTIONS INVOICE PREPARATION QUESTIONNAIRE</t>
  </si>
  <si>
    <t>TOTAL COST</t>
  </si>
  <si>
    <t>CLIENT NAME</t>
  </si>
  <si>
    <t>TOWN</t>
  </si>
  <si>
    <t>CITY/REGION</t>
  </si>
  <si>
    <t>PHONE NUMBER</t>
  </si>
  <si>
    <t>CODE</t>
  </si>
  <si>
    <t>CONTACT PEERSON</t>
  </si>
  <si>
    <t>EMAIL ADDRESS</t>
  </si>
  <si>
    <t>Recommended (kWp)</t>
  </si>
  <si>
    <t>Recommended (Pcs)</t>
  </si>
  <si>
    <t>shardico@yahoo.com</t>
  </si>
  <si>
    <t>0249176864</t>
  </si>
  <si>
    <t>Shadrach Owusu</t>
  </si>
  <si>
    <t>Mr. Samson</t>
  </si>
  <si>
    <t>0244206728</t>
  </si>
  <si>
    <t>Elkhart</t>
  </si>
  <si>
    <t>Barnabas</t>
  </si>
  <si>
    <t>0266361785</t>
  </si>
  <si>
    <t>Jeff Aniwa</t>
  </si>
  <si>
    <t>Mr. Theophilus</t>
  </si>
  <si>
    <t>0244997752</t>
  </si>
  <si>
    <t>Mr. Freddy Engman</t>
  </si>
  <si>
    <t>Kpone Bawaleshie</t>
  </si>
  <si>
    <t>0591954335</t>
  </si>
  <si>
    <t>theoadu@gmail.com</t>
  </si>
  <si>
    <t>Fiifi</t>
  </si>
  <si>
    <t>0202055517</t>
  </si>
  <si>
    <t>Mr. Kaleb</t>
  </si>
  <si>
    <t>0202674019</t>
  </si>
  <si>
    <t>Elliot</t>
  </si>
  <si>
    <t>0241095746</t>
  </si>
  <si>
    <t>Toyota Ghana Limited</t>
  </si>
  <si>
    <t>0246432239</t>
  </si>
  <si>
    <t>Herman</t>
  </si>
  <si>
    <t>0244059109</t>
  </si>
  <si>
    <t xml:space="preserve">Madam Charlotte </t>
  </si>
  <si>
    <t>Mr. Adjaso Solomon / GMM Solutions</t>
  </si>
  <si>
    <t>Mr. Lawrence</t>
  </si>
  <si>
    <t>0243922636</t>
  </si>
  <si>
    <t>Obed Ashie</t>
  </si>
  <si>
    <t>0244037856</t>
  </si>
  <si>
    <t>Mr. Bonful</t>
  </si>
  <si>
    <t>0244978493</t>
  </si>
  <si>
    <t>0244475607</t>
  </si>
  <si>
    <t>Aurelius Awuku</t>
  </si>
  <si>
    <t>Fairview Community, Ankonam Junction,  Oyarifa</t>
  </si>
  <si>
    <t>marcusadkam@gmail.com</t>
  </si>
  <si>
    <t>0244650750</t>
  </si>
  <si>
    <t>Hadisu Alhassan</t>
  </si>
  <si>
    <t>0552512985</t>
  </si>
  <si>
    <t>hadisu2@yahoo.com</t>
  </si>
  <si>
    <t>Redtop, New Bortianor</t>
  </si>
  <si>
    <t>Gabriel Amegbanu</t>
  </si>
  <si>
    <t>gabriel.amegbanu@gmail.com</t>
  </si>
  <si>
    <t>0249396338</t>
  </si>
  <si>
    <t>SYLVESTER ABAANE</t>
  </si>
  <si>
    <t>0245160782</t>
  </si>
  <si>
    <t>abaane.sylvester@yahoo.com</t>
  </si>
  <si>
    <t>SIKAMAN- OYIBI</t>
  </si>
  <si>
    <t>Hashim Ibrahim</t>
  </si>
  <si>
    <t>0244384958</t>
  </si>
  <si>
    <t>William Ghanney</t>
  </si>
  <si>
    <t>0202009321</t>
  </si>
  <si>
    <t>Collins</t>
  </si>
  <si>
    <t>0203747508</t>
  </si>
  <si>
    <t>Ezekiel Bruce</t>
  </si>
  <si>
    <t>Daniel Ofosuhene</t>
  </si>
  <si>
    <t>0261346988</t>
  </si>
  <si>
    <t>Madam Angela</t>
  </si>
  <si>
    <t>0277718563</t>
  </si>
  <si>
    <t>Mr. Jones</t>
  </si>
  <si>
    <t>0592500142</t>
  </si>
  <si>
    <t>Wood Processing Company</t>
  </si>
  <si>
    <t>Mr. Kojo Fynn</t>
  </si>
  <si>
    <t>0244328889</t>
  </si>
  <si>
    <t>Kindern Zukunft geben - Ghana e.V</t>
  </si>
  <si>
    <t>Roger Addico</t>
  </si>
  <si>
    <t>Anyaa- Ablekuma</t>
  </si>
  <si>
    <t>0544349594</t>
  </si>
  <si>
    <t>Madam Karin</t>
  </si>
  <si>
    <t>0557492640</t>
  </si>
  <si>
    <t>Bank Name: ABSA BANK GHANA LIMITED</t>
  </si>
  <si>
    <t>Account No: 0000001075713 (GHS)</t>
  </si>
  <si>
    <t>Account No: 0000001504475 (USD)</t>
  </si>
  <si>
    <t>Swift Code: BARCGHACXXX</t>
  </si>
  <si>
    <t>Bank Branch: Ring Road Central</t>
  </si>
  <si>
    <t>Sort Code: 030114</t>
  </si>
  <si>
    <t>Otinibi</t>
  </si>
  <si>
    <t>0244528754</t>
  </si>
  <si>
    <t>Selorm Dovie</t>
  </si>
  <si>
    <t>bsdovie@gmai.com</t>
  </si>
  <si>
    <t>Small AC Cable</t>
  </si>
  <si>
    <t>4mm PV Cable</t>
  </si>
  <si>
    <t>6mm PV Cable</t>
  </si>
  <si>
    <t>10mm PV Cable</t>
  </si>
  <si>
    <t>16mm PV Cable</t>
  </si>
  <si>
    <t>Inverter Battery Cable</t>
  </si>
  <si>
    <t>Main AC Cable</t>
  </si>
  <si>
    <t>Hon. Andrew Asiamah Amoako</t>
  </si>
  <si>
    <t>Alfred Agbley</t>
  </si>
  <si>
    <t>50A 4-Pole AC Circuit Breaker</t>
  </si>
  <si>
    <t>50A 2-Pole AC Circuit Breaker</t>
  </si>
  <si>
    <t>320A 2-Pole AC Circuit Breaker</t>
  </si>
  <si>
    <t>Top Cable AC solar cable 1x185mm2 RV-K 0.6/1KV</t>
  </si>
  <si>
    <t>Top Cable AC solar cable 1x400mm2 RV-K 0.6/1KV</t>
  </si>
  <si>
    <t>Top Cable AC solar cable 1x500mm2 RV-K 0.6/1KV</t>
  </si>
  <si>
    <t>rahimcrewe@gmail.com</t>
  </si>
  <si>
    <t>Adenta, Housing Down</t>
  </si>
  <si>
    <t>0201734735</t>
  </si>
  <si>
    <t>Abdul Rahim</t>
  </si>
  <si>
    <t>Samuel Opoku Sarkodie</t>
  </si>
  <si>
    <t>0558454707</t>
  </si>
  <si>
    <t>Sarkcuss@gmail.com</t>
  </si>
  <si>
    <t>125A 4-Pole AC Circuit Breaker</t>
  </si>
  <si>
    <t>125A 2-Pole AC Circuit Breaker</t>
  </si>
  <si>
    <t>Mr. Ameyaw</t>
  </si>
  <si>
    <t>0200241125</t>
  </si>
  <si>
    <t>Payment: 100% Payment with order</t>
  </si>
  <si>
    <t>Mr. Joseph</t>
  </si>
  <si>
    <t>0541670040</t>
  </si>
  <si>
    <t>Delta Engineering Limited</t>
  </si>
  <si>
    <t>0242140000</t>
  </si>
  <si>
    <t>dannyshaar@yahoo.com</t>
  </si>
  <si>
    <t>Danny Chaar</t>
  </si>
  <si>
    <t>Chint solid core current transformer 2000/5A</t>
  </si>
  <si>
    <t>Paul Badger</t>
  </si>
  <si>
    <t>0241367363</t>
  </si>
  <si>
    <t>Fafa Degbor</t>
  </si>
  <si>
    <t>John</t>
  </si>
  <si>
    <t>0261404219</t>
  </si>
  <si>
    <t>Mr. Bossman Hammond</t>
  </si>
  <si>
    <t>Saltpond</t>
  </si>
  <si>
    <t>0505527415</t>
  </si>
  <si>
    <t>Sylvester Ehwiah</t>
  </si>
  <si>
    <t>0248028589</t>
  </si>
  <si>
    <t>Dr. Dominic Obeng-Andoh</t>
  </si>
  <si>
    <t>0244373986</t>
  </si>
  <si>
    <t>Elatech</t>
  </si>
  <si>
    <t>Michael Yeboah</t>
  </si>
  <si>
    <t>0244494138</t>
  </si>
  <si>
    <t>800A 4-Pole AC MCCB</t>
  </si>
  <si>
    <t>Mr. Ebenezer Ashie</t>
  </si>
  <si>
    <t>Frederick</t>
  </si>
  <si>
    <t>0240364274</t>
  </si>
  <si>
    <t>David Yeboah</t>
  </si>
  <si>
    <t>0544048467</t>
  </si>
  <si>
    <t>Grace</t>
  </si>
  <si>
    <t>0200046499/ 0549181502</t>
  </si>
  <si>
    <t>Nyameye</t>
  </si>
  <si>
    <t>0501055752</t>
  </si>
  <si>
    <t>Number or Generators</t>
  </si>
  <si>
    <t>Mankoadze - Winneba</t>
  </si>
  <si>
    <t>Kent International School - Academic Block</t>
  </si>
  <si>
    <t>JA Solar JAM72-S30 565 Watts Solar Panel</t>
  </si>
  <si>
    <t>Kwame Owusu Asiedu</t>
  </si>
  <si>
    <t>0553480080/ 0207732790</t>
  </si>
  <si>
    <t>565W Mono</t>
  </si>
  <si>
    <t>Charles Kofigah</t>
  </si>
  <si>
    <t>0241387078/ 0553725366</t>
  </si>
  <si>
    <t>Kow Sam</t>
  </si>
  <si>
    <t>0244619735</t>
  </si>
  <si>
    <t>Solar Panel Rating</t>
  </si>
  <si>
    <t>Solar Panel Rating (Wp):</t>
  </si>
  <si>
    <t>2nd Inverter Rating</t>
  </si>
  <si>
    <t>1st Inverter Rating</t>
  </si>
  <si>
    <t>Dr. Apambire</t>
  </si>
  <si>
    <t>0244763326</t>
  </si>
  <si>
    <t>George</t>
  </si>
  <si>
    <t>Fronius</t>
  </si>
  <si>
    <t>Battery Brand &amp; per unit capacity</t>
  </si>
  <si>
    <t>Battery Quantity:</t>
  </si>
  <si>
    <t xml:space="preserve">, </t>
  </si>
  <si>
    <t>Daniel Aggrey</t>
  </si>
  <si>
    <t>Prime Infrra</t>
  </si>
  <si>
    <t>0244961757</t>
  </si>
  <si>
    <t>Ekow Gyasi Aggrey</t>
  </si>
  <si>
    <t>Adjein Kotoku off the Nsawam Road</t>
  </si>
  <si>
    <t>Fabian</t>
  </si>
  <si>
    <t>series</t>
  </si>
  <si>
    <t>parallel</t>
  </si>
  <si>
    <t>250V</t>
  </si>
  <si>
    <t>450V</t>
  </si>
  <si>
    <t>150V</t>
  </si>
  <si>
    <t>2/1</t>
  </si>
  <si>
    <t>3/1</t>
  </si>
  <si>
    <t>4/1</t>
  </si>
  <si>
    <t>Type</t>
  </si>
  <si>
    <t>Combiner</t>
  </si>
  <si>
    <t>0249815479</t>
  </si>
  <si>
    <t>Michael Mac-Carthy</t>
  </si>
  <si>
    <t>Modulus</t>
  </si>
  <si>
    <t>150V MPPT</t>
  </si>
  <si>
    <t>250V MPPT</t>
  </si>
  <si>
    <t>LAST NON EMPTY COLUMN</t>
  </si>
  <si>
    <t>LEFT OVER PANELS</t>
  </si>
  <si>
    <t>COMBINER TYPE</t>
  </si>
  <si>
    <t>COMBINER MAXIMUM PV GENERATE</t>
  </si>
  <si>
    <t>100V MPPT</t>
  </si>
  <si>
    <t>Number of Strings (Non-Victron MPPT):</t>
  </si>
  <si>
    <t>Number of Strings (Total):</t>
  </si>
  <si>
    <t>Mini-Grid 6mm PV Cable</t>
  </si>
  <si>
    <t>Mini-Grid 4mm PV Cable</t>
  </si>
  <si>
    <t>Richmond</t>
  </si>
  <si>
    <t>+233 59 536 4717</t>
  </si>
  <si>
    <t>Mr. Patrick</t>
  </si>
  <si>
    <t>Mr. Joe</t>
  </si>
  <si>
    <t>Mr. David</t>
  </si>
  <si>
    <t>Trasacco North</t>
  </si>
  <si>
    <t>Mr. Calvin</t>
  </si>
  <si>
    <t>Victron Type</t>
  </si>
  <si>
    <t>Victron MultiPlus 24/3000/35-50 230V VE.Bus</t>
  </si>
  <si>
    <t>Victron MultiPlus-II 24/3000/35-32 230V</t>
  </si>
  <si>
    <t>Victron MultiPlus-II 24/5000/70-50 230V</t>
  </si>
  <si>
    <t>Victron MultiPlus-II 48/10000/140-100 230V</t>
  </si>
  <si>
    <t>Victron MultiPlus-II 48/15000/200-100 230V</t>
  </si>
  <si>
    <t>Victron Quattro-II 48/5000/70-50/50 230V VE.Bus</t>
  </si>
  <si>
    <t>Fronius Primo 6kw light</t>
  </si>
  <si>
    <t>Fronius Verto 30.0 SPD 1+2</t>
  </si>
  <si>
    <t>Fronius Verto 30.0 SPD 2</t>
  </si>
  <si>
    <t>Fronius Verto 33.3 SPD 1+2</t>
  </si>
  <si>
    <t>Fronius Verto 33.3 SPD 2</t>
  </si>
  <si>
    <t>Hobut solid core current transformer 300/5A</t>
  </si>
  <si>
    <t>Hobut solid core current transformer 400/5A</t>
  </si>
  <si>
    <t>Fronius smart meter 50A-3</t>
  </si>
  <si>
    <t>Fronius smart meter 63A-1</t>
  </si>
  <si>
    <t>Fronius smart meter TS 5kA-3</t>
  </si>
  <si>
    <t>Fronius smart meter TS 65-3</t>
  </si>
  <si>
    <t>Citel DC Surge Protection Device DS240S-130DC</t>
  </si>
  <si>
    <t>Citel DC Surge Protection Device DPVN40CVGS-21Y-1200</t>
  </si>
  <si>
    <t>Victron Cerbo GX MK2</t>
  </si>
  <si>
    <t>Victron Cerbo-S GX</t>
  </si>
  <si>
    <t>Victron GX Touch 70 protection cover</t>
  </si>
  <si>
    <t>Victron Ekrano GX</t>
  </si>
  <si>
    <t>Victron CCGX WiFi module long range (Netgear AC1200)</t>
  </si>
  <si>
    <t>Victron Energy Meter EM540 - 3 phase - max 65A/phase</t>
  </si>
  <si>
    <t>Victron Energy Meter VM-3P75CT</t>
  </si>
  <si>
    <t>Victron Interface MK2.2b (VE.Bus to RS232)</t>
  </si>
  <si>
    <t>Victron CANUSB interface</t>
  </si>
  <si>
    <t>Victron Interface MK3-USB-C (VE.Bus to USB-C)</t>
  </si>
  <si>
    <t>Victron VE.Direct to BMV60xS Cable 3m</t>
  </si>
  <si>
    <t>Victron VE.Direct to USB-C interface</t>
  </si>
  <si>
    <t>Victron SmartSolar MPPT 150/60-MC4</t>
  </si>
  <si>
    <t>Victron SmartSolar MPPT 250/60-MC4</t>
  </si>
  <si>
    <t>Victron Solar Panel 330W-24V Poly 1980x1002x40mm series 4b</t>
  </si>
  <si>
    <t>Victron Solar Panel 305W-20V Mono 1658x1002x35mm series 4b</t>
  </si>
  <si>
    <t>Victron Solar Panel 115W-12V Poly 1030x668x30mm series 4b</t>
  </si>
  <si>
    <t>330W Mono</t>
  </si>
  <si>
    <t>Mounting Structure for Ground/Flat Roof (per set of 10 panels of 565W)</t>
  </si>
  <si>
    <t>Victron Busbar to connect 5 CIP100200100</t>
  </si>
  <si>
    <t>Victron Busbar to connect 6 CIP100200100</t>
  </si>
  <si>
    <t>Victron ANL-fuse 400A/80V for 48V products (package of 5 pcs)</t>
  </si>
  <si>
    <t>Victron ANL-fuse 300A/80V for 48V products (package of 5 pcs)</t>
  </si>
  <si>
    <t>Victron MEGA-fuse 80A/80V (package of 5 pcs)</t>
  </si>
  <si>
    <t>Victron MEGA-fuse 500A/80V (package of 5 pcs)</t>
  </si>
  <si>
    <t>Victron Lynx Distributor (M10)</t>
  </si>
  <si>
    <t>Victron Solar Busbar 150A 2P with 10 screws +cover</t>
  </si>
  <si>
    <t>Victron Solar Busbar 150A 2P with 20 screws +cover</t>
  </si>
  <si>
    <t>Victron Solar Busbar 150A 4P +cover</t>
  </si>
  <si>
    <t>Victron Solar Busbar 250A 2P with 6 screws +cover</t>
  </si>
  <si>
    <t>Victron Solar Busbar 250A 2P with 12 screws +cover</t>
  </si>
  <si>
    <t>Victron Solar Busbar 250A 4P +cover</t>
  </si>
  <si>
    <t>Victron Solar Busbar 250A 6P +cover</t>
  </si>
  <si>
    <t>Victron MIDI-fuse 100A/58V for 48V products (1 pc)</t>
  </si>
  <si>
    <t>Fronius Symo Advanced 10.0-3-M 10kw light</t>
  </si>
  <si>
    <t>Fronius Symo Advanced 15.0-3-M 15kw light</t>
  </si>
  <si>
    <t>Fronius Symo Advanced 20.0-3-M 20kw light</t>
  </si>
  <si>
    <t>Mr. Michel</t>
  </si>
  <si>
    <t>ARQ Engineering</t>
  </si>
  <si>
    <t>Gabriel</t>
  </si>
  <si>
    <t>0244665620</t>
  </si>
  <si>
    <t>30kW Grid-Tied</t>
  </si>
  <si>
    <t>33.3kW Grid-Tied</t>
  </si>
  <si>
    <t>Verto</t>
  </si>
  <si>
    <t>BYD LV 5.0KWH Lithium Battery</t>
  </si>
  <si>
    <t>Validity: 2 weeks from date of invoice</t>
  </si>
  <si>
    <t>Mr. Lamin</t>
  </si>
  <si>
    <t>0248469911</t>
  </si>
  <si>
    <t>INITIAL MPPT VOLTAGE</t>
  </si>
  <si>
    <t>FINAL MPPT VOLTAGE</t>
  </si>
  <si>
    <t>Jennifer Mills</t>
  </si>
  <si>
    <t>0244267125</t>
  </si>
  <si>
    <t>Shalom Premier Guest House</t>
  </si>
  <si>
    <t>Saboba</t>
  </si>
  <si>
    <t>Northern Region</t>
  </si>
  <si>
    <t>Emmanuel - Sunyani Technical University</t>
  </si>
  <si>
    <t>0558655268</t>
  </si>
  <si>
    <t>Prosper Success</t>
  </si>
  <si>
    <t>0555139583</t>
  </si>
  <si>
    <t>Bremen Energy</t>
  </si>
  <si>
    <t>0531033985</t>
  </si>
  <si>
    <t>Joyce Mateko Apotsi</t>
  </si>
  <si>
    <t>joyce.apotsi@bremenenergie.com</t>
  </si>
  <si>
    <t>Pasico Ghana Limited</t>
  </si>
  <si>
    <t>Plot No. B6, 2nd Hannah Lane, Community 5</t>
  </si>
  <si>
    <t>0244 112105</t>
  </si>
  <si>
    <t>Dominic ACOLATSE</t>
  </si>
  <si>
    <t>Physical address: 38 Amrahia-Katamanso Road, Opposite East-Amarahia, off the Adenta-Dodowa Road, Accra, Ghana ; Email: info@tinosolutions.com</t>
  </si>
  <si>
    <t>Tax Identification Number (TIN): C0003648001</t>
  </si>
  <si>
    <t>Aboagye</t>
  </si>
  <si>
    <t>0541262794</t>
  </si>
  <si>
    <t>Potentia Engineering Limited</t>
  </si>
  <si>
    <t>Awutu Bereku</t>
  </si>
  <si>
    <t>+447572991797</t>
  </si>
  <si>
    <t>Sammy</t>
  </si>
  <si>
    <t>0277860203</t>
  </si>
  <si>
    <t>Francis - Don Bosco Institute</t>
  </si>
  <si>
    <t>0546515918</t>
  </si>
  <si>
    <t>Mr. Blason</t>
  </si>
  <si>
    <t>Mr. Nurifa</t>
  </si>
  <si>
    <t>0544338229</t>
  </si>
  <si>
    <t>Ahmed Bedwei - Takoradi</t>
  </si>
  <si>
    <t>Mr. Ruben</t>
  </si>
  <si>
    <t>0534188330</t>
  </si>
  <si>
    <t>Andrew Vormawor</t>
  </si>
  <si>
    <t>Trede</t>
  </si>
  <si>
    <t>0249225797</t>
  </si>
  <si>
    <t>Prima Medical Center</t>
  </si>
  <si>
    <t>Mr. Andrew Vormawor</t>
  </si>
  <si>
    <t>Ariel Ammah</t>
  </si>
  <si>
    <t>0202007786</t>
  </si>
  <si>
    <t>John Banda</t>
  </si>
  <si>
    <t>0244234277</t>
  </si>
  <si>
    <t>Albert</t>
  </si>
  <si>
    <t>Aburi-Nsawam Road</t>
  </si>
  <si>
    <t>0507712477</t>
  </si>
  <si>
    <t>Delft Imaging</t>
  </si>
  <si>
    <t>0501535999</t>
  </si>
  <si>
    <t>John - Energy Commission</t>
  </si>
  <si>
    <t>Richard - Amasaman</t>
  </si>
  <si>
    <t>AUTOMATE</t>
  </si>
  <si>
    <t>Abdullai</t>
  </si>
  <si>
    <t>Warranty: 10 years for battery, 5 years for inverter and accessories, 10 years for solar panels</t>
  </si>
  <si>
    <t>Scope: Solar to cater for all gadgets in facility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</si>
</sst>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quot;$&quot;* #,##0.00_);_(&quot;$&quot;* \(#,##0.00\);_(&quot;$&quot;* &quot;-&quot;??_);_(@_)"/>
    <numFmt numFmtId="165" formatCode="_-* #,##0.00_-;\-* #,##0.00_-;_-* &quot;-&quot;??_-;_-@_-"/>
    <numFmt numFmtId="166" formatCode="dd/mm/yyyy;@"/>
    <numFmt numFmtId="167" formatCode="_(* #,##0_);_(* \(#,##0\);_(* &quot;-&quot;??_);_(@_)"/>
    <numFmt numFmtId="168" formatCode="[$-F800]dddd\,\ mmmm\ dd\,\ yyyy"/>
    <numFmt numFmtId="169" formatCode="h:mm;@"/>
    <numFmt numFmtId="170" formatCode="0.0%"/>
  </numFmts>
  <fonts count="57">
    <font>
      <sz val="11"/>
      <color theme="1"/>
      <name val="Calibri"/>
      <family val="2"/>
      <scheme val="minor"/>
    </font>
    <font>
      <sz val="12"/>
      <color theme="1"/>
      <name val="Calibri"/>
      <family val="2"/>
      <scheme val="minor"/>
    </font>
    <font>
      <sz val="12"/>
      <color theme="1"/>
      <name val="Calibri"/>
      <family val="2"/>
      <scheme val="minor"/>
    </font>
    <font>
      <sz val="10"/>
      <name val="Arial"/>
      <family val="2"/>
    </font>
    <font>
      <b/>
      <sz val="14"/>
      <color indexed="17"/>
      <name val="Trebuchet MS"/>
      <family val="2"/>
    </font>
    <font>
      <b/>
      <sz val="12"/>
      <color indexed="17"/>
      <name val="Trebuchet MS"/>
      <family val="2"/>
    </font>
    <font>
      <sz val="12"/>
      <name val="Trebuchet MS"/>
      <family val="2"/>
    </font>
    <font>
      <i/>
      <sz val="10"/>
      <name val="Arial"/>
      <family val="2"/>
    </font>
    <font>
      <b/>
      <sz val="10"/>
      <name val="Arial"/>
      <family val="2"/>
    </font>
    <font>
      <b/>
      <sz val="10"/>
      <color indexed="10"/>
      <name val="System"/>
      <family val="2"/>
    </font>
    <font>
      <sz val="10"/>
      <name val="Trebuchet MS"/>
      <family val="2"/>
    </font>
    <font>
      <b/>
      <sz val="10"/>
      <color indexed="53"/>
      <name val="Arial"/>
      <family val="2"/>
    </font>
    <font>
      <b/>
      <sz val="10"/>
      <name val="Trebuchet MS"/>
      <family val="2"/>
    </font>
    <font>
      <b/>
      <u/>
      <sz val="10"/>
      <name val="Trebuchet MS"/>
      <family val="2"/>
    </font>
    <font>
      <b/>
      <sz val="10"/>
      <color rgb="FFFF0000"/>
      <name val="Arial"/>
      <family val="2"/>
    </font>
    <font>
      <b/>
      <sz val="10"/>
      <color rgb="FFFF0000"/>
      <name val="Trebuchet MS"/>
      <family val="2"/>
    </font>
    <font>
      <b/>
      <sz val="10"/>
      <color indexed="8"/>
      <name val="Trebuchet MS"/>
      <family val="2"/>
    </font>
    <font>
      <i/>
      <sz val="10"/>
      <name val="Trebuchet MS"/>
      <family val="2"/>
    </font>
    <font>
      <b/>
      <sz val="10"/>
      <color indexed="17"/>
      <name val="Trebuchet MS"/>
      <family val="2"/>
    </font>
    <font>
      <b/>
      <i/>
      <u/>
      <sz val="10"/>
      <name val="Trebuchet MS"/>
      <family val="2"/>
    </font>
    <font>
      <b/>
      <sz val="12"/>
      <color theme="1"/>
      <name val="Times New Roman"/>
      <family val="1"/>
    </font>
    <font>
      <sz val="11"/>
      <color theme="1"/>
      <name val="Times New Roman"/>
      <family val="1"/>
    </font>
    <font>
      <sz val="12"/>
      <color theme="1"/>
      <name val="Times New Roman"/>
      <family val="1"/>
    </font>
    <font>
      <b/>
      <sz val="12"/>
      <color theme="0"/>
      <name val="Times New Roman"/>
      <family val="1"/>
    </font>
    <font>
      <sz val="8"/>
      <name val="Calibri"/>
      <family val="2"/>
      <scheme val="minor"/>
    </font>
    <font>
      <sz val="12"/>
      <color theme="1"/>
      <name val="Calibri"/>
      <family val="2"/>
      <scheme val="minor"/>
    </font>
    <font>
      <sz val="11"/>
      <color indexed="8"/>
      <name val="Calibri"/>
      <family val="2"/>
    </font>
    <font>
      <b/>
      <sz val="10"/>
      <color theme="0"/>
      <name val="Arial"/>
      <family val="2"/>
    </font>
    <font>
      <b/>
      <sz val="12"/>
      <color indexed="8"/>
      <name val="Trebuchet MS"/>
      <family val="2"/>
    </font>
    <font>
      <u/>
      <sz val="11"/>
      <color theme="10"/>
      <name val="Calibri"/>
      <family val="2"/>
      <scheme val="minor"/>
    </font>
    <font>
      <b/>
      <sz val="12"/>
      <name val="Times New Roman"/>
      <family val="1"/>
    </font>
    <font>
      <sz val="19"/>
      <color rgb="FF000000"/>
      <name val="Arial"/>
      <family val="2"/>
    </font>
    <font>
      <sz val="12"/>
      <name val="Times New Roman"/>
      <family val="1"/>
    </font>
    <font>
      <sz val="11"/>
      <color rgb="FF000000"/>
      <name val="Calibri"/>
      <family val="2"/>
      <scheme val="minor"/>
    </font>
    <font>
      <sz val="12"/>
      <color rgb="FF000000"/>
      <name val="Times New Roman"/>
      <family val="1"/>
    </font>
    <font>
      <sz val="11"/>
      <color theme="1"/>
      <name val="Calibri"/>
      <family val="2"/>
      <scheme val="minor"/>
    </font>
    <font>
      <b/>
      <i/>
      <sz val="10"/>
      <color theme="0"/>
      <name val="Weibei SC Bold"/>
    </font>
    <font>
      <b/>
      <i/>
      <sz val="12"/>
      <color theme="1"/>
      <name val="Times New Roman"/>
      <family val="1"/>
    </font>
    <font>
      <sz val="12"/>
      <color theme="1"/>
      <name val="Helvetica"/>
      <family val="2"/>
    </font>
    <font>
      <b/>
      <sz val="12"/>
      <color rgb="FFFF0000"/>
      <name val="Times New Roman"/>
      <family val="1"/>
    </font>
    <font>
      <b/>
      <u/>
      <sz val="12"/>
      <name val="Times New Roman"/>
      <family val="1"/>
    </font>
    <font>
      <sz val="12"/>
      <color theme="4"/>
      <name val="Times New Roman"/>
      <family val="1"/>
    </font>
    <font>
      <vertAlign val="subscript"/>
      <sz val="12"/>
      <name val="Times New Roman"/>
      <family val="1"/>
    </font>
    <font>
      <b/>
      <vertAlign val="superscript"/>
      <sz val="12"/>
      <name val="Times New Roman"/>
      <family val="1"/>
    </font>
    <font>
      <b/>
      <sz val="12"/>
      <color indexed="81"/>
      <name val="Times New Roman"/>
      <family val="1"/>
    </font>
    <font>
      <b/>
      <sz val="12"/>
      <color rgb="FF000000"/>
      <name val="Times New Roman"/>
      <family val="1"/>
    </font>
    <font>
      <b/>
      <sz val="12"/>
      <color rgb="FF000000"/>
      <name val="Tahoma"/>
      <family val="2"/>
    </font>
    <font>
      <sz val="12"/>
      <color rgb="FF454545"/>
      <name val="Times New Roman"/>
      <family val="1"/>
    </font>
    <font>
      <sz val="10"/>
      <color rgb="FF0C0D0E"/>
      <name val="Var(--ff-mono)"/>
    </font>
    <font>
      <b/>
      <sz val="14"/>
      <color theme="1"/>
      <name val="Times New Roman"/>
      <family val="1"/>
    </font>
    <font>
      <b/>
      <sz val="11"/>
      <color theme="1"/>
      <name val="Times New Roman"/>
      <family val="1"/>
    </font>
    <font>
      <b/>
      <sz val="11"/>
      <color rgb="FF000000"/>
      <name val="Times New Roman"/>
      <family val="1"/>
    </font>
    <font>
      <sz val="11"/>
      <color rgb="FFFF0000"/>
      <name val="Times New Roman"/>
      <family val="1"/>
    </font>
    <font>
      <u/>
      <sz val="12"/>
      <color theme="1"/>
      <name val="Times New Roman"/>
      <family val="1"/>
    </font>
    <font>
      <i/>
      <sz val="11"/>
      <color theme="1"/>
      <name val="Times New Roman"/>
      <family val="1"/>
    </font>
    <font>
      <sz val="11"/>
      <name val="Times New Roman"/>
      <family val="1"/>
    </font>
    <font>
      <b/>
      <sz val="10"/>
      <color rgb="FF002060"/>
      <name val="Trebuchet MS"/>
      <family val="2"/>
    </font>
  </fonts>
  <fills count="21">
    <fill>
      <patternFill patternType="none"/>
    </fill>
    <fill>
      <patternFill patternType="gray125"/>
    </fill>
    <fill>
      <patternFill patternType="solid">
        <fgColor indexed="58"/>
        <bgColor indexed="64"/>
      </patternFill>
    </fill>
    <fill>
      <patternFill patternType="solid">
        <fgColor indexed="9"/>
        <bgColor indexed="64"/>
      </patternFill>
    </fill>
    <fill>
      <patternFill patternType="mediumGray">
        <fgColor indexed="9"/>
        <bgColor indexed="9"/>
      </patternFill>
    </fill>
    <fill>
      <patternFill patternType="solid">
        <fgColor rgb="FF92D05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0000"/>
        <bgColor indexed="64"/>
      </patternFill>
    </fill>
    <fill>
      <patternFill patternType="solid">
        <fgColor theme="0" tint="-0.14999847407452621"/>
        <bgColor theme="0" tint="-0.14999847407452621"/>
      </patternFill>
    </fill>
    <fill>
      <patternFill patternType="solid">
        <fgColor theme="0"/>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59996337778862885"/>
        <bgColor indexed="64"/>
      </patternFill>
    </fill>
    <fill>
      <patternFill patternType="solid">
        <fgColor theme="6" tint="0.39997558519241921"/>
        <bgColor indexed="64"/>
      </patternFill>
    </fill>
  </fills>
  <borders count="61">
    <border>
      <left/>
      <right/>
      <top/>
      <bottom/>
      <diagonal/>
    </border>
    <border>
      <left/>
      <right/>
      <top style="thick">
        <color indexed="54"/>
      </top>
      <bottom style="hair">
        <color indexed="37"/>
      </bottom>
      <diagonal/>
    </border>
    <border>
      <left/>
      <right/>
      <top/>
      <bottom style="hair">
        <color indexed="37"/>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hair">
        <color indexed="64"/>
      </right>
      <top style="medium">
        <color indexed="64"/>
      </top>
      <bottom/>
      <diagonal/>
    </border>
    <border>
      <left style="medium">
        <color indexed="64"/>
      </left>
      <right style="hair">
        <color indexed="64"/>
      </right>
      <top style="medium">
        <color indexed="64"/>
      </top>
      <bottom/>
      <diagonal/>
    </border>
    <border>
      <left/>
      <right style="hair">
        <color indexed="64"/>
      </right>
      <top/>
      <bottom/>
      <diagonal/>
    </border>
    <border>
      <left/>
      <right/>
      <top/>
      <bottom style="hair">
        <color indexed="22"/>
      </bottom>
      <diagonal/>
    </border>
    <border>
      <left/>
      <right style="hair">
        <color indexed="64"/>
      </right>
      <top/>
      <bottom style="hair">
        <color indexed="22"/>
      </bottom>
      <diagonal/>
    </border>
    <border>
      <left/>
      <right/>
      <top style="hair">
        <color indexed="22"/>
      </top>
      <bottom style="hair">
        <color indexed="22"/>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indexed="64"/>
      </left>
      <right style="hair">
        <color indexed="64"/>
      </right>
      <top/>
      <bottom/>
      <diagonal/>
    </border>
    <border>
      <left style="hair">
        <color indexed="64"/>
      </left>
      <right/>
      <top/>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
      <left/>
      <right/>
      <top style="thick">
        <color auto="1"/>
      </top>
      <bottom/>
      <diagonal/>
    </border>
    <border>
      <left/>
      <right style="thin">
        <color indexed="64"/>
      </right>
      <top/>
      <bottom/>
      <diagonal/>
    </border>
    <border>
      <left/>
      <right/>
      <top style="thin">
        <color theme="1"/>
      </top>
      <bottom style="thin">
        <color theme="1"/>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auto="1"/>
      </left>
      <right/>
      <top style="thin">
        <color auto="1"/>
      </top>
      <bottom/>
      <diagonal/>
    </border>
    <border>
      <left/>
      <right style="thin">
        <color theme="0"/>
      </right>
      <top style="thin">
        <color theme="0"/>
      </top>
      <bottom style="thin">
        <color theme="0"/>
      </bottom>
      <diagonal/>
    </border>
    <border>
      <left style="thick">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bottom/>
      <diagonal/>
    </border>
    <border>
      <left style="thin">
        <color indexed="64"/>
      </left>
      <right style="thick">
        <color indexed="64"/>
      </right>
      <top/>
      <bottom/>
      <diagonal/>
    </border>
    <border>
      <left style="thick">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thin">
        <color indexed="64"/>
      </left>
      <right style="thin">
        <color indexed="64"/>
      </right>
      <top style="thick">
        <color indexed="64"/>
      </top>
      <bottom/>
      <diagonal/>
    </border>
    <border>
      <left/>
      <right style="thin">
        <color indexed="64"/>
      </right>
      <top style="thin">
        <color indexed="64"/>
      </top>
      <bottom style="thin">
        <color indexed="64"/>
      </bottom>
      <diagonal/>
    </border>
    <border>
      <left/>
      <right/>
      <top style="thick">
        <color indexed="54"/>
      </top>
      <bottom style="hair">
        <color indexed="37"/>
      </bottom>
      <diagonal/>
    </border>
    <border>
      <left/>
      <right/>
      <top/>
      <bottom style="thick">
        <color indexed="54"/>
      </bottom>
      <diagonal/>
    </border>
    <border>
      <left style="hair">
        <color indexed="64"/>
      </left>
      <right style="hair">
        <color indexed="64"/>
      </right>
      <top style="hair">
        <color indexed="64"/>
      </top>
      <bottom/>
      <diagonal/>
    </border>
  </borders>
  <cellStyleXfs count="6">
    <xf numFmtId="0" fontId="0" fillId="0" borderId="0"/>
    <xf numFmtId="0" fontId="3" fillId="0" borderId="0"/>
    <xf numFmtId="164" fontId="3" fillId="0" borderId="0" applyFont="0" applyFill="0" applyBorder="0" applyAlignment="0" applyProtection="0"/>
    <xf numFmtId="0" fontId="29" fillId="0" borderId="0" applyNumberFormat="0" applyFill="0" applyBorder="0" applyAlignment="0" applyProtection="0"/>
    <xf numFmtId="43" fontId="35" fillId="0" borderId="0" applyFont="0" applyFill="0" applyBorder="0" applyAlignment="0" applyProtection="0"/>
    <xf numFmtId="9" fontId="35" fillId="0" borderId="0" applyFont="0" applyFill="0" applyBorder="0" applyAlignment="0" applyProtection="0"/>
  </cellStyleXfs>
  <cellXfs count="402">
    <xf numFmtId="0" fontId="0" fillId="0" borderId="0" xfId="0"/>
    <xf numFmtId="0" fontId="3" fillId="3" borderId="0" xfId="1" applyFill="1"/>
    <xf numFmtId="0" fontId="3" fillId="2" borderId="0" xfId="1" applyFill="1"/>
    <xf numFmtId="0" fontId="7" fillId="3" borderId="0" xfId="1" applyFont="1" applyFill="1" applyAlignment="1" applyProtection="1">
      <alignment horizontal="left" vertical="center" wrapText="1"/>
      <protection locked="0"/>
    </xf>
    <xf numFmtId="0" fontId="8" fillId="3" borderId="0" xfId="1" applyFont="1" applyFill="1"/>
    <xf numFmtId="0" fontId="9" fillId="3" borderId="0" xfId="1" applyFont="1" applyFill="1" applyProtection="1">
      <protection locked="0"/>
    </xf>
    <xf numFmtId="1" fontId="9" fillId="3" borderId="0" xfId="1" applyNumberFormat="1" applyFont="1" applyFill="1"/>
    <xf numFmtId="0" fontId="3" fillId="0" borderId="0" xfId="1"/>
    <xf numFmtId="0" fontId="11" fillId="3" borderId="0" xfId="1" applyFont="1" applyFill="1"/>
    <xf numFmtId="0" fontId="3" fillId="3" borderId="1" xfId="1" applyFill="1" applyBorder="1"/>
    <xf numFmtId="0" fontId="3" fillId="3" borderId="2" xfId="1" applyFill="1" applyBorder="1"/>
    <xf numFmtId="0" fontId="12" fillId="3" borderId="3" xfId="1" applyFont="1" applyFill="1" applyBorder="1"/>
    <xf numFmtId="0" fontId="10" fillId="3" borderId="4" xfId="1" applyFont="1" applyFill="1" applyBorder="1"/>
    <xf numFmtId="0" fontId="10" fillId="3" borderId="0" xfId="1" applyFont="1" applyFill="1"/>
    <xf numFmtId="0" fontId="10" fillId="3" borderId="7" xfId="1" applyFont="1" applyFill="1" applyBorder="1"/>
    <xf numFmtId="0" fontId="10" fillId="3" borderId="8" xfId="1" applyFont="1" applyFill="1" applyBorder="1"/>
    <xf numFmtId="0" fontId="10" fillId="3" borderId="10" xfId="1" applyFont="1" applyFill="1" applyBorder="1" applyAlignment="1" applyProtection="1">
      <alignment horizontal="left"/>
      <protection locked="0"/>
    </xf>
    <xf numFmtId="0" fontId="12" fillId="3" borderId="0" xfId="1" applyFont="1" applyFill="1"/>
    <xf numFmtId="0" fontId="12" fillId="3" borderId="12" xfId="1" applyFont="1" applyFill="1" applyBorder="1" applyAlignment="1">
      <alignment horizontal="center"/>
    </xf>
    <xf numFmtId="0" fontId="12" fillId="3" borderId="15" xfId="1" applyFont="1" applyFill="1" applyBorder="1" applyAlignment="1">
      <alignment horizontal="center"/>
    </xf>
    <xf numFmtId="0" fontId="8" fillId="2" borderId="0" xfId="1" applyFont="1" applyFill="1"/>
    <xf numFmtId="0" fontId="14" fillId="3" borderId="0" xfId="1" applyFont="1" applyFill="1"/>
    <xf numFmtId="0" fontId="15" fillId="3" borderId="19" xfId="1" applyFont="1" applyFill="1" applyBorder="1" applyAlignment="1" applyProtection="1">
      <alignment horizontal="center"/>
      <protection locked="0"/>
    </xf>
    <xf numFmtId="0" fontId="14" fillId="2" borderId="0" xfId="1" applyFont="1" applyFill="1"/>
    <xf numFmtId="0" fontId="10" fillId="3" borderId="21" xfId="1" applyFont="1" applyFill="1" applyBorder="1" applyAlignment="1" applyProtection="1">
      <alignment horizontal="center"/>
      <protection locked="0"/>
    </xf>
    <xf numFmtId="0" fontId="10" fillId="3" borderId="0" xfId="1" quotePrefix="1" applyFont="1" applyFill="1" applyAlignment="1">
      <alignment horizontal="right"/>
    </xf>
    <xf numFmtId="0" fontId="12" fillId="3" borderId="0" xfId="1" quotePrefix="1" applyFont="1" applyFill="1" applyAlignment="1">
      <alignment horizontal="right"/>
    </xf>
    <xf numFmtId="0" fontId="10" fillId="3" borderId="0" xfId="1" quotePrefix="1" applyFont="1" applyFill="1"/>
    <xf numFmtId="0" fontId="10" fillId="3" borderId="1" xfId="1" applyFont="1" applyFill="1" applyBorder="1"/>
    <xf numFmtId="49" fontId="17" fillId="3" borderId="0" xfId="1" applyNumberFormat="1" applyFont="1" applyFill="1" applyAlignment="1" applyProtection="1">
      <alignment horizontal="left"/>
      <protection locked="0"/>
    </xf>
    <xf numFmtId="49" fontId="17" fillId="3" borderId="20" xfId="1" applyNumberFormat="1" applyFont="1" applyFill="1" applyBorder="1" applyAlignment="1" applyProtection="1">
      <alignment horizontal="left"/>
      <protection locked="0"/>
    </xf>
    <xf numFmtId="49" fontId="17" fillId="3" borderId="8" xfId="1" applyNumberFormat="1" applyFont="1" applyFill="1" applyBorder="1" applyAlignment="1" applyProtection="1">
      <alignment horizontal="left"/>
      <protection locked="0"/>
    </xf>
    <xf numFmtId="49" fontId="19" fillId="3" borderId="20" xfId="1" applyNumberFormat="1" applyFont="1" applyFill="1" applyBorder="1" applyAlignment="1" applyProtection="1">
      <alignment horizontal="left"/>
      <protection locked="0"/>
    </xf>
    <xf numFmtId="0" fontId="12" fillId="3" borderId="0" xfId="1" applyFont="1" applyFill="1" applyProtection="1">
      <protection locked="0"/>
    </xf>
    <xf numFmtId="49" fontId="12" fillId="3" borderId="0" xfId="1" applyNumberFormat="1" applyFont="1" applyFill="1" applyProtection="1">
      <protection locked="0"/>
    </xf>
    <xf numFmtId="17" fontId="12" fillId="3" borderId="0" xfId="1" applyNumberFormat="1" applyFont="1" applyFill="1" applyProtection="1">
      <protection locked="0"/>
    </xf>
    <xf numFmtId="0" fontId="17" fillId="3" borderId="0" xfId="1" applyFont="1" applyFill="1" applyAlignment="1" applyProtection="1">
      <alignment vertical="center" wrapText="1"/>
      <protection locked="0"/>
    </xf>
    <xf numFmtId="0" fontId="12" fillId="3" borderId="0" xfId="1" applyFont="1" applyFill="1" applyAlignment="1" applyProtection="1">
      <alignment vertical="center"/>
      <protection locked="0"/>
    </xf>
    <xf numFmtId="49" fontId="17" fillId="3" borderId="0" xfId="1" applyNumberFormat="1" applyFont="1" applyFill="1" applyProtection="1">
      <protection locked="0"/>
    </xf>
    <xf numFmtId="49" fontId="17" fillId="3" borderId="8" xfId="1" applyNumberFormat="1" applyFont="1" applyFill="1" applyBorder="1" applyProtection="1">
      <protection locked="0"/>
    </xf>
    <xf numFmtId="166" fontId="10" fillId="3" borderId="10" xfId="1" applyNumberFormat="1" applyFont="1" applyFill="1" applyBorder="1" applyAlignment="1" applyProtection="1">
      <alignment horizontal="left"/>
      <protection locked="0"/>
    </xf>
    <xf numFmtId="9" fontId="10" fillId="3" borderId="0" xfId="1" quotePrefix="1" applyNumberFormat="1" applyFont="1" applyFill="1" applyAlignment="1">
      <alignment horizontal="right"/>
    </xf>
    <xf numFmtId="0" fontId="25" fillId="0" borderId="0" xfId="0" applyFont="1"/>
    <xf numFmtId="49" fontId="10" fillId="3" borderId="23" xfId="1" applyNumberFormat="1" applyFont="1" applyFill="1" applyBorder="1" applyProtection="1">
      <protection locked="0"/>
    </xf>
    <xf numFmtId="49" fontId="10" fillId="3" borderId="24" xfId="1" applyNumberFormat="1" applyFont="1" applyFill="1" applyBorder="1" applyProtection="1">
      <protection locked="0"/>
    </xf>
    <xf numFmtId="0" fontId="12" fillId="3" borderId="11" xfId="1" applyFont="1" applyFill="1" applyBorder="1" applyProtection="1">
      <protection locked="0"/>
    </xf>
    <xf numFmtId="0" fontId="12" fillId="3" borderId="9" xfId="1" applyFont="1" applyFill="1" applyBorder="1" applyProtection="1">
      <protection locked="0"/>
    </xf>
    <xf numFmtId="0" fontId="10" fillId="3" borderId="22" xfId="1" applyFont="1" applyFill="1" applyBorder="1" applyProtection="1">
      <protection locked="0"/>
    </xf>
    <xf numFmtId="0" fontId="8" fillId="0" borderId="0" xfId="1" applyFont="1"/>
    <xf numFmtId="0" fontId="8" fillId="2" borderId="26" xfId="1" applyFont="1" applyFill="1" applyBorder="1"/>
    <xf numFmtId="43" fontId="8" fillId="0" borderId="0" xfId="1" applyNumberFormat="1" applyFont="1"/>
    <xf numFmtId="0" fontId="21" fillId="17" borderId="0" xfId="0" applyFont="1" applyFill="1"/>
    <xf numFmtId="0" fontId="21" fillId="17" borderId="0" xfId="0" applyFont="1" applyFill="1" applyAlignment="1">
      <alignment horizontal="right" vertical="center"/>
    </xf>
    <xf numFmtId="0" fontId="50" fillId="17" borderId="0" xfId="0" applyFont="1" applyFill="1"/>
    <xf numFmtId="0" fontId="51" fillId="17" borderId="0" xfId="0" applyFont="1" applyFill="1" applyAlignment="1">
      <alignment horizontal="right" vertical="center"/>
    </xf>
    <xf numFmtId="0" fontId="21" fillId="17" borderId="0" xfId="0" applyFont="1" applyFill="1" applyAlignment="1">
      <alignment horizontal="left" vertical="center"/>
    </xf>
    <xf numFmtId="0" fontId="21" fillId="17" borderId="0" xfId="0" applyFont="1" applyFill="1" applyAlignment="1">
      <alignment horizontal="left"/>
    </xf>
    <xf numFmtId="0" fontId="21" fillId="17" borderId="43" xfId="0" applyFont="1" applyFill="1" applyBorder="1"/>
    <xf numFmtId="0" fontId="21" fillId="17" borderId="37" xfId="0" applyFont="1" applyFill="1" applyBorder="1" applyAlignment="1">
      <alignment horizontal="right" vertical="center"/>
    </xf>
    <xf numFmtId="0" fontId="21" fillId="17" borderId="37" xfId="0" applyFont="1" applyFill="1" applyBorder="1"/>
    <xf numFmtId="0" fontId="21" fillId="17" borderId="31" xfId="0" applyFont="1" applyFill="1" applyBorder="1"/>
    <xf numFmtId="0" fontId="21" fillId="17" borderId="34" xfId="0" applyFont="1" applyFill="1" applyBorder="1"/>
    <xf numFmtId="0" fontId="21" fillId="17" borderId="26" xfId="0" applyFont="1" applyFill="1" applyBorder="1"/>
    <xf numFmtId="0" fontId="21" fillId="17" borderId="38" xfId="0" applyFont="1" applyFill="1" applyBorder="1"/>
    <xf numFmtId="0" fontId="21" fillId="17" borderId="28" xfId="0" applyFont="1" applyFill="1" applyBorder="1" applyAlignment="1">
      <alignment horizontal="right" vertical="center"/>
    </xf>
    <xf numFmtId="0" fontId="21" fillId="17" borderId="28" xfId="0" applyFont="1" applyFill="1" applyBorder="1"/>
    <xf numFmtId="0" fontId="21" fillId="17" borderId="39" xfId="0" applyFont="1" applyFill="1" applyBorder="1"/>
    <xf numFmtId="0" fontId="49" fillId="17" borderId="25" xfId="0" applyFont="1" applyFill="1" applyBorder="1" applyAlignment="1">
      <alignment horizontal="center" vertical="center"/>
    </xf>
    <xf numFmtId="0" fontId="21" fillId="17" borderId="43" xfId="0" applyFont="1" applyFill="1" applyBorder="1" applyAlignment="1">
      <alignment horizontal="left" vertical="center"/>
    </xf>
    <xf numFmtId="0" fontId="21" fillId="17" borderId="37" xfId="0" applyFont="1" applyFill="1" applyBorder="1" applyAlignment="1">
      <alignment horizontal="left" vertical="center"/>
    </xf>
    <xf numFmtId="0" fontId="21" fillId="17" borderId="34" xfId="0" applyFont="1" applyFill="1" applyBorder="1" applyAlignment="1">
      <alignment horizontal="left" vertical="center"/>
    </xf>
    <xf numFmtId="0" fontId="21" fillId="17" borderId="38" xfId="0" applyFont="1" applyFill="1" applyBorder="1" applyAlignment="1">
      <alignment horizontal="left" vertical="center"/>
    </xf>
    <xf numFmtId="0" fontId="21" fillId="17" borderId="28" xfId="0" applyFont="1" applyFill="1" applyBorder="1" applyAlignment="1">
      <alignment horizontal="left"/>
    </xf>
    <xf numFmtId="0" fontId="21" fillId="17" borderId="28" xfId="0" applyFont="1" applyFill="1" applyBorder="1" applyAlignment="1">
      <alignment horizontal="left" vertical="center"/>
    </xf>
    <xf numFmtId="0" fontId="21" fillId="17" borderId="38" xfId="0" applyFont="1" applyFill="1" applyBorder="1" applyAlignment="1">
      <alignment horizontal="right" vertical="center"/>
    </xf>
    <xf numFmtId="0" fontId="54" fillId="17" borderId="28" xfId="0" applyFont="1" applyFill="1" applyBorder="1" applyAlignment="1">
      <alignment horizontal="left" vertical="center"/>
    </xf>
    <xf numFmtId="0" fontId="8" fillId="14" borderId="0" xfId="1" applyFont="1" applyFill="1"/>
    <xf numFmtId="0" fontId="0" fillId="14" borderId="0" xfId="0" applyFill="1"/>
    <xf numFmtId="0" fontId="14" fillId="14" borderId="0" xfId="1" applyFont="1" applyFill="1"/>
    <xf numFmtId="0" fontId="12" fillId="14" borderId="16" xfId="1" applyFont="1" applyFill="1" applyBorder="1" applyAlignment="1">
      <alignment horizontal="center"/>
    </xf>
    <xf numFmtId="165" fontId="8" fillId="14" borderId="0" xfId="1" applyNumberFormat="1" applyFont="1" applyFill="1"/>
    <xf numFmtId="165" fontId="26" fillId="14" borderId="0" xfId="1" applyNumberFormat="1" applyFont="1" applyFill="1"/>
    <xf numFmtId="0" fontId="8" fillId="14" borderId="0" xfId="1" applyFont="1" applyFill="1" applyAlignment="1">
      <alignment wrapText="1"/>
    </xf>
    <xf numFmtId="0" fontId="27" fillId="12" borderId="42" xfId="1" applyFont="1" applyFill="1" applyBorder="1"/>
    <xf numFmtId="0" fontId="8" fillId="7" borderId="32" xfId="1" applyFont="1" applyFill="1" applyBorder="1"/>
    <xf numFmtId="0" fontId="8" fillId="7" borderId="29" xfId="1" applyFont="1" applyFill="1" applyBorder="1"/>
    <xf numFmtId="0" fontId="8" fillId="7" borderId="33" xfId="1" applyFont="1" applyFill="1" applyBorder="1"/>
    <xf numFmtId="0" fontId="27" fillId="7" borderId="45" xfId="1" applyFont="1" applyFill="1" applyBorder="1"/>
    <xf numFmtId="0" fontId="27" fillId="7" borderId="46" xfId="1" applyFont="1" applyFill="1" applyBorder="1"/>
    <xf numFmtId="0" fontId="8" fillId="7" borderId="47" xfId="1" applyFont="1" applyFill="1" applyBorder="1"/>
    <xf numFmtId="0" fontId="8" fillId="7" borderId="48" xfId="1" applyFont="1" applyFill="1" applyBorder="1"/>
    <xf numFmtId="0" fontId="27" fillId="7" borderId="49" xfId="1" applyFont="1" applyFill="1" applyBorder="1"/>
    <xf numFmtId="0" fontId="8" fillId="7" borderId="50" xfId="1" applyFont="1" applyFill="1" applyBorder="1"/>
    <xf numFmtId="0" fontId="8" fillId="7" borderId="49" xfId="1" applyFont="1" applyFill="1" applyBorder="1"/>
    <xf numFmtId="0" fontId="27" fillId="7" borderId="51" xfId="1" applyFont="1" applyFill="1" applyBorder="1"/>
    <xf numFmtId="0" fontId="27" fillId="7" borderId="52" xfId="1" applyFont="1" applyFill="1" applyBorder="1"/>
    <xf numFmtId="0" fontId="27" fillId="7" borderId="50" xfId="1" applyFont="1" applyFill="1" applyBorder="1"/>
    <xf numFmtId="0" fontId="27" fillId="7" borderId="47" xfId="1" applyFont="1" applyFill="1" applyBorder="1"/>
    <xf numFmtId="0" fontId="27" fillId="7" borderId="48" xfId="1" applyFont="1" applyFill="1" applyBorder="1"/>
    <xf numFmtId="0" fontId="8" fillId="7" borderId="51" xfId="1" applyFont="1" applyFill="1" applyBorder="1"/>
    <xf numFmtId="0" fontId="8" fillId="7" borderId="52" xfId="1" applyFont="1" applyFill="1" applyBorder="1"/>
    <xf numFmtId="0" fontId="36" fillId="7" borderId="47" xfId="1" applyFont="1" applyFill="1" applyBorder="1"/>
    <xf numFmtId="0" fontId="27" fillId="7" borderId="33" xfId="1" applyFont="1" applyFill="1" applyBorder="1" applyAlignment="1">
      <alignment horizontal="left"/>
    </xf>
    <xf numFmtId="0" fontId="27" fillId="7" borderId="33" xfId="1" applyFont="1" applyFill="1" applyBorder="1" applyAlignment="1">
      <alignment horizontal="right"/>
    </xf>
    <xf numFmtId="165" fontId="8" fillId="7" borderId="53" xfId="1" applyNumberFormat="1" applyFont="1" applyFill="1" applyBorder="1"/>
    <xf numFmtId="165" fontId="26" fillId="7" borderId="54" xfId="1" applyNumberFormat="1" applyFont="1" applyFill="1" applyBorder="1"/>
    <xf numFmtId="0" fontId="8" fillId="7" borderId="55" xfId="1" applyFont="1" applyFill="1" applyBorder="1"/>
    <xf numFmtId="0" fontId="0" fillId="0" borderId="0" xfId="0" applyProtection="1">
      <protection hidden="1"/>
    </xf>
    <xf numFmtId="0" fontId="22" fillId="0" borderId="0" xfId="0" applyFont="1" applyProtection="1">
      <protection hidden="1"/>
    </xf>
    <xf numFmtId="0" fontId="20" fillId="0" borderId="0" xfId="0" applyFont="1" applyProtection="1">
      <protection hidden="1"/>
    </xf>
    <xf numFmtId="0" fontId="32" fillId="0" borderId="0" xfId="1" applyFont="1" applyAlignment="1" applyProtection="1">
      <alignment horizontal="center" vertical="center"/>
      <protection hidden="1"/>
    </xf>
    <xf numFmtId="0" fontId="32" fillId="0" borderId="0" xfId="1" applyFont="1" applyAlignment="1" applyProtection="1">
      <alignment horizontal="left" vertical="center"/>
      <protection hidden="1"/>
    </xf>
    <xf numFmtId="0" fontId="3" fillId="0" borderId="0" xfId="1" applyAlignment="1" applyProtection="1">
      <alignment horizontal="center"/>
      <protection hidden="1"/>
    </xf>
    <xf numFmtId="0" fontId="32" fillId="0" borderId="0" xfId="1" applyFont="1" applyAlignment="1" applyProtection="1">
      <alignment horizontal="center" vertical="center" wrapText="1"/>
      <protection hidden="1"/>
    </xf>
    <xf numFmtId="0" fontId="32" fillId="0" borderId="27" xfId="1" applyFont="1" applyBorder="1" applyAlignment="1" applyProtection="1">
      <alignment horizontal="center" vertical="center" wrapText="1"/>
      <protection hidden="1"/>
    </xf>
    <xf numFmtId="0" fontId="32" fillId="13" borderId="0" xfId="1" applyFont="1" applyFill="1" applyAlignment="1" applyProtection="1">
      <alignment horizontal="center" vertical="center"/>
      <protection hidden="1"/>
    </xf>
    <xf numFmtId="0" fontId="32" fillId="0" borderId="28" xfId="1" applyFont="1" applyBorder="1" applyAlignment="1" applyProtection="1">
      <alignment horizontal="center" vertical="center"/>
      <protection hidden="1"/>
    </xf>
    <xf numFmtId="0" fontId="3" fillId="14" borderId="0" xfId="1" applyFill="1" applyProtection="1">
      <protection hidden="1"/>
    </xf>
    <xf numFmtId="0" fontId="3" fillId="15" borderId="0" xfId="1" applyFill="1" applyAlignment="1" applyProtection="1">
      <alignment horizontal="right"/>
      <protection hidden="1"/>
    </xf>
    <xf numFmtId="0" fontId="3" fillId="14" borderId="0" xfId="1" applyFill="1" applyAlignment="1" applyProtection="1">
      <alignment horizontal="center"/>
      <protection hidden="1"/>
    </xf>
    <xf numFmtId="0" fontId="3" fillId="6" borderId="0" xfId="1" applyFill="1" applyAlignment="1" applyProtection="1">
      <alignment horizontal="right"/>
      <protection hidden="1"/>
    </xf>
    <xf numFmtId="168" fontId="22" fillId="14" borderId="0" xfId="1" applyNumberFormat="1" applyFont="1" applyFill="1" applyAlignment="1" applyProtection="1">
      <alignment wrapText="1"/>
      <protection hidden="1"/>
    </xf>
    <xf numFmtId="168" fontId="22" fillId="14" borderId="0" xfId="1" applyNumberFormat="1" applyFont="1" applyFill="1" applyAlignment="1" applyProtection="1">
      <alignment horizontal="center" wrapText="1"/>
      <protection hidden="1"/>
    </xf>
    <xf numFmtId="169" fontId="22" fillId="14" borderId="0" xfId="1" applyNumberFormat="1" applyFont="1" applyFill="1" applyAlignment="1" applyProtection="1">
      <alignment horizontal="center" vertical="center"/>
      <protection hidden="1"/>
    </xf>
    <xf numFmtId="0" fontId="39" fillId="14" borderId="0" xfId="1" applyFont="1" applyFill="1" applyProtection="1">
      <protection hidden="1"/>
    </xf>
    <xf numFmtId="0" fontId="22" fillId="14" borderId="0" xfId="1" applyFont="1" applyFill="1" applyProtection="1">
      <protection hidden="1"/>
    </xf>
    <xf numFmtId="0" fontId="22" fillId="14" borderId="0" xfId="1" applyFont="1" applyFill="1" applyAlignment="1" applyProtection="1">
      <alignment horizontal="center" vertical="center"/>
      <protection hidden="1"/>
    </xf>
    <xf numFmtId="0" fontId="40" fillId="14" borderId="0" xfId="1" applyFont="1" applyFill="1" applyProtection="1">
      <protection hidden="1"/>
    </xf>
    <xf numFmtId="0" fontId="32" fillId="14" borderId="0" xfId="1" applyFont="1" applyFill="1" applyAlignment="1" applyProtection="1">
      <alignment horizontal="center" vertical="center"/>
      <protection hidden="1"/>
    </xf>
    <xf numFmtId="0" fontId="32" fillId="14" borderId="0" xfId="1" applyFont="1" applyFill="1" applyProtection="1">
      <protection hidden="1"/>
    </xf>
    <xf numFmtId="0" fontId="32" fillId="14" borderId="0" xfId="1" applyFont="1" applyFill="1" applyAlignment="1" applyProtection="1">
      <alignment horizontal="center"/>
      <protection hidden="1"/>
    </xf>
    <xf numFmtId="0" fontId="41" fillId="14" borderId="0" xfId="1" applyFont="1" applyFill="1" applyAlignment="1" applyProtection="1">
      <alignment horizontal="center" vertical="center"/>
      <protection hidden="1"/>
    </xf>
    <xf numFmtId="0" fontId="32" fillId="6" borderId="29" xfId="1" applyFont="1" applyFill="1" applyBorder="1" applyProtection="1">
      <protection hidden="1"/>
    </xf>
    <xf numFmtId="0" fontId="32" fillId="6" borderId="29" xfId="1" applyFont="1" applyFill="1" applyBorder="1" applyAlignment="1" applyProtection="1">
      <alignment horizontal="center"/>
      <protection hidden="1"/>
    </xf>
    <xf numFmtId="0" fontId="32" fillId="6" borderId="29" xfId="1" applyFont="1" applyFill="1" applyBorder="1" applyAlignment="1" applyProtection="1">
      <alignment horizontal="center" vertical="center"/>
      <protection hidden="1"/>
    </xf>
    <xf numFmtId="0" fontId="22" fillId="16" borderId="30" xfId="1" applyFont="1" applyFill="1" applyBorder="1" applyAlignment="1" applyProtection="1">
      <alignment wrapText="1"/>
      <protection hidden="1"/>
    </xf>
    <xf numFmtId="0" fontId="32" fillId="6" borderId="30" xfId="1" applyFont="1" applyFill="1" applyBorder="1" applyAlignment="1" applyProtection="1">
      <alignment horizontal="center"/>
      <protection hidden="1"/>
    </xf>
    <xf numFmtId="0" fontId="32" fillId="6" borderId="31" xfId="1" applyFont="1" applyFill="1" applyBorder="1" applyAlignment="1" applyProtection="1">
      <alignment horizontal="center"/>
      <protection hidden="1"/>
    </xf>
    <xf numFmtId="0" fontId="22" fillId="6" borderId="29" xfId="1" applyFont="1" applyFill="1" applyBorder="1" applyAlignment="1" applyProtection="1">
      <alignment horizontal="center" wrapText="1"/>
      <protection hidden="1"/>
    </xf>
    <xf numFmtId="0" fontId="32" fillId="6" borderId="32" xfId="1" applyFont="1" applyFill="1" applyBorder="1" applyProtection="1">
      <protection hidden="1"/>
    </xf>
    <xf numFmtId="0" fontId="32" fillId="6" borderId="32" xfId="1" applyFont="1" applyFill="1" applyBorder="1" applyAlignment="1" applyProtection="1">
      <alignment horizontal="center"/>
      <protection hidden="1"/>
    </xf>
    <xf numFmtId="0" fontId="32" fillId="6" borderId="32" xfId="1" applyFont="1" applyFill="1" applyBorder="1" applyAlignment="1" applyProtection="1">
      <alignment horizontal="center" vertical="center"/>
      <protection hidden="1"/>
    </xf>
    <xf numFmtId="0" fontId="32" fillId="16" borderId="32" xfId="1" applyFont="1" applyFill="1" applyBorder="1" applyAlignment="1" applyProtection="1">
      <alignment horizontal="center" vertical="center" wrapText="1"/>
      <protection hidden="1"/>
    </xf>
    <xf numFmtId="0" fontId="3" fillId="6" borderId="32" xfId="1" applyFill="1" applyBorder="1" applyAlignment="1" applyProtection="1">
      <alignment horizontal="center"/>
      <protection hidden="1"/>
    </xf>
    <xf numFmtId="0" fontId="32" fillId="16" borderId="33" xfId="1" applyFont="1" applyFill="1" applyBorder="1" applyProtection="1">
      <protection hidden="1"/>
    </xf>
    <xf numFmtId="0" fontId="32" fillId="16" borderId="33" xfId="1" applyFont="1" applyFill="1" applyBorder="1" applyAlignment="1" applyProtection="1">
      <alignment horizontal="center" vertical="center"/>
      <protection hidden="1"/>
    </xf>
    <xf numFmtId="0" fontId="3" fillId="6" borderId="29" xfId="1" applyFill="1" applyBorder="1" applyProtection="1">
      <protection hidden="1"/>
    </xf>
    <xf numFmtId="0" fontId="30" fillId="6" borderId="33" xfId="1" applyFont="1" applyFill="1" applyBorder="1" applyAlignment="1" applyProtection="1">
      <alignment horizontal="center"/>
      <protection hidden="1"/>
    </xf>
    <xf numFmtId="0" fontId="32" fillId="6" borderId="33" xfId="1" applyFont="1" applyFill="1" applyBorder="1" applyAlignment="1" applyProtection="1">
      <alignment horizontal="center"/>
      <protection hidden="1"/>
    </xf>
    <xf numFmtId="0" fontId="3" fillId="6" borderId="33" xfId="1" applyFill="1" applyBorder="1" applyProtection="1">
      <protection hidden="1"/>
    </xf>
    <xf numFmtId="0" fontId="30" fillId="6" borderId="32" xfId="1" applyFont="1" applyFill="1" applyBorder="1" applyAlignment="1" applyProtection="1">
      <alignment horizontal="center"/>
      <protection hidden="1"/>
    </xf>
    <xf numFmtId="0" fontId="30" fillId="6" borderId="33" xfId="1" applyFont="1" applyFill="1" applyBorder="1" applyAlignment="1" applyProtection="1">
      <alignment horizontal="center" vertical="center"/>
      <protection hidden="1"/>
    </xf>
    <xf numFmtId="0" fontId="30" fillId="14" borderId="0" xfId="1" applyFont="1" applyFill="1" applyAlignment="1" applyProtection="1">
      <alignment horizontal="center"/>
      <protection hidden="1"/>
    </xf>
    <xf numFmtId="0" fontId="32" fillId="6" borderId="30" xfId="1" applyFont="1" applyFill="1" applyBorder="1" applyProtection="1">
      <protection hidden="1"/>
    </xf>
    <xf numFmtId="0" fontId="30" fillId="6" borderId="36" xfId="1" applyFont="1" applyFill="1" applyBorder="1" applyAlignment="1" applyProtection="1">
      <alignment horizontal="center" vertical="center"/>
      <protection hidden="1"/>
    </xf>
    <xf numFmtId="0" fontId="30" fillId="6" borderId="30" xfId="1" applyFont="1" applyFill="1" applyBorder="1" applyAlignment="1" applyProtection="1">
      <alignment horizontal="center" vertical="center"/>
      <protection hidden="1"/>
    </xf>
    <xf numFmtId="0" fontId="32" fillId="6" borderId="33" xfId="1" applyFont="1" applyFill="1" applyBorder="1" applyProtection="1">
      <protection hidden="1"/>
    </xf>
    <xf numFmtId="0" fontId="32" fillId="6" borderId="33" xfId="1" applyFont="1" applyFill="1" applyBorder="1" applyAlignment="1" applyProtection="1">
      <alignment horizontal="center" vertical="center"/>
      <protection hidden="1"/>
    </xf>
    <xf numFmtId="0" fontId="3" fillId="6" borderId="33" xfId="1" applyFill="1" applyBorder="1" applyAlignment="1" applyProtection="1">
      <alignment horizontal="center"/>
      <protection hidden="1"/>
    </xf>
    <xf numFmtId="0" fontId="32" fillId="6" borderId="34" xfId="1" applyFont="1" applyFill="1" applyBorder="1" applyAlignment="1" applyProtection="1">
      <alignment horizontal="center" vertical="center"/>
      <protection hidden="1"/>
    </xf>
    <xf numFmtId="0" fontId="30" fillId="6" borderId="34"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0" fillId="6" borderId="29" xfId="1" applyFont="1" applyFill="1" applyBorder="1" applyAlignment="1" applyProtection="1">
      <alignment horizontal="center"/>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 fillId="6" borderId="32" xfId="1" applyFill="1" applyBorder="1" applyProtection="1">
      <protection hidden="1"/>
    </xf>
    <xf numFmtId="0" fontId="32" fillId="6" borderId="33" xfId="1" applyFont="1" applyFill="1" applyBorder="1" applyAlignment="1" applyProtection="1">
      <alignment horizontal="center" wrapText="1"/>
      <protection hidden="1"/>
    </xf>
    <xf numFmtId="0" fontId="32" fillId="12" borderId="33" xfId="1" applyFont="1" applyFill="1" applyBorder="1" applyAlignment="1" applyProtection="1">
      <alignment horizontal="center" vertical="center"/>
      <protection hidden="1"/>
    </xf>
    <xf numFmtId="0" fontId="32" fillId="6" borderId="33" xfId="1" quotePrefix="1" applyFont="1" applyFill="1" applyBorder="1" applyAlignment="1" applyProtection="1">
      <alignment horizontal="center" wrapText="1"/>
      <protection hidden="1"/>
    </xf>
    <xf numFmtId="0" fontId="32" fillId="12"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left" vertical="center" wrapText="1"/>
      <protection hidden="1"/>
    </xf>
    <xf numFmtId="0" fontId="32" fillId="14" borderId="0" xfId="1" applyFont="1" applyFill="1" applyAlignment="1" applyProtection="1">
      <alignment horizontal="center" vertical="center" wrapText="1"/>
      <protection hidden="1"/>
    </xf>
    <xf numFmtId="0" fontId="32" fillId="6" borderId="32" xfId="1" applyFont="1" applyFill="1" applyBorder="1" applyAlignment="1" applyProtection="1">
      <alignment horizontal="center" vertical="center" textRotation="255" shrinkToFit="1"/>
      <protection hidden="1"/>
    </xf>
    <xf numFmtId="0" fontId="32" fillId="6" borderId="32" xfId="1" applyFont="1" applyFill="1" applyBorder="1" applyAlignment="1" applyProtection="1">
      <alignment horizontal="left" vertical="center" wrapText="1"/>
      <protection hidden="1"/>
    </xf>
    <xf numFmtId="0" fontId="32" fillId="14" borderId="0" xfId="1" applyFont="1" applyFill="1" applyAlignment="1" applyProtection="1">
      <alignment horizontal="left" vertical="center" wrapText="1"/>
      <protection hidden="1"/>
    </xf>
    <xf numFmtId="0" fontId="32" fillId="16" borderId="29" xfId="1" applyFont="1" applyFill="1" applyBorder="1" applyAlignment="1" applyProtection="1">
      <alignment horizontal="center"/>
      <protection hidden="1"/>
    </xf>
    <xf numFmtId="49" fontId="32" fillId="16" borderId="29" xfId="1" applyNumberFormat="1" applyFont="1" applyFill="1" applyBorder="1" applyAlignment="1" applyProtection="1">
      <alignment horizontal="center"/>
      <protection hidden="1"/>
    </xf>
    <xf numFmtId="49" fontId="32" fillId="6" borderId="29" xfId="1" applyNumberFormat="1" applyFont="1" applyFill="1" applyBorder="1" applyAlignment="1" applyProtection="1">
      <alignment horizontal="center"/>
      <protection hidden="1"/>
    </xf>
    <xf numFmtId="0" fontId="32" fillId="16" borderId="33" xfId="1" applyFont="1" applyFill="1" applyBorder="1" applyAlignment="1" applyProtection="1">
      <alignment horizontal="center"/>
      <protection hidden="1"/>
    </xf>
    <xf numFmtId="0" fontId="32" fillId="6" borderId="29" xfId="1" applyFont="1" applyFill="1" applyBorder="1" applyAlignment="1" applyProtection="1">
      <alignment horizontal="left" vertical="center"/>
      <protection hidden="1"/>
    </xf>
    <xf numFmtId="0" fontId="32" fillId="1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left" vertical="center"/>
      <protection hidden="1"/>
    </xf>
    <xf numFmtId="0" fontId="22" fillId="16" borderId="33" xfId="1" applyFont="1" applyFill="1" applyBorder="1" applyProtection="1">
      <protection hidden="1"/>
    </xf>
    <xf numFmtId="0" fontId="32" fillId="1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left" vertical="center" wrapText="1"/>
      <protection hidden="1"/>
    </xf>
    <xf numFmtId="0" fontId="32" fillId="1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left" vertical="center"/>
      <protection hidden="1"/>
    </xf>
    <xf numFmtId="0" fontId="32" fillId="6" borderId="30" xfId="1" applyFont="1" applyFill="1" applyBorder="1" applyAlignment="1" applyProtection="1">
      <alignment horizontal="center" vertical="center"/>
      <protection hidden="1"/>
    </xf>
    <xf numFmtId="0" fontId="32" fillId="6" borderId="30" xfId="1" applyFont="1" applyFill="1" applyBorder="1" applyAlignment="1" applyProtection="1">
      <alignment horizontal="left" vertical="center"/>
      <protection hidden="1"/>
    </xf>
    <xf numFmtId="0" fontId="32" fillId="14" borderId="0" xfId="1" applyFont="1" applyFill="1" applyAlignment="1" applyProtection="1">
      <alignment horizontal="left" vertical="center"/>
      <protection hidden="1"/>
    </xf>
    <xf numFmtId="0" fontId="32" fillId="6" borderId="29" xfId="1" applyFont="1" applyFill="1" applyBorder="1" applyAlignment="1" applyProtection="1">
      <alignment vertical="center"/>
      <protection hidden="1"/>
    </xf>
    <xf numFmtId="0" fontId="32" fillId="6" borderId="33" xfId="1" applyFont="1" applyFill="1" applyBorder="1" applyAlignment="1" applyProtection="1">
      <alignment vertical="center"/>
      <protection hidden="1"/>
    </xf>
    <xf numFmtId="0" fontId="32" fillId="6" borderId="32" xfId="1" applyFont="1" applyFill="1" applyBorder="1" applyAlignment="1" applyProtection="1">
      <alignment vertical="center"/>
      <protection hidden="1"/>
    </xf>
    <xf numFmtId="0" fontId="32" fillId="14" borderId="34" xfId="1" applyFont="1" applyFill="1" applyBorder="1" applyAlignment="1" applyProtection="1">
      <alignment horizontal="center" vertical="center" wrapText="1"/>
      <protection hidden="1"/>
    </xf>
    <xf numFmtId="0" fontId="32" fillId="14" borderId="37" xfId="1" applyFont="1" applyFill="1" applyBorder="1" applyAlignment="1" applyProtection="1">
      <alignment horizontal="center" vertical="center"/>
      <protection hidden="1"/>
    </xf>
    <xf numFmtId="0" fontId="32" fillId="14" borderId="37" xfId="1" applyFont="1" applyFill="1" applyBorder="1" applyAlignment="1" applyProtection="1">
      <alignment horizontal="left" vertical="center" wrapText="1"/>
      <protection hidden="1"/>
    </xf>
    <xf numFmtId="0" fontId="32" fillId="14" borderId="37" xfId="1" applyFont="1" applyFill="1" applyBorder="1" applyAlignment="1" applyProtection="1">
      <alignment horizontal="center" vertical="center" wrapText="1"/>
      <protection hidden="1"/>
    </xf>
    <xf numFmtId="170" fontId="32" fillId="14" borderId="37" xfId="5" applyNumberFormat="1" applyFont="1" applyFill="1" applyBorder="1" applyAlignment="1" applyProtection="1">
      <alignment horizontal="center" vertical="center" wrapText="1"/>
      <protection hidden="1"/>
    </xf>
    <xf numFmtId="0" fontId="30" fillId="6" borderId="30" xfId="1" applyFont="1" applyFill="1" applyBorder="1" applyAlignment="1" applyProtection="1">
      <alignment wrapText="1"/>
      <protection hidden="1"/>
    </xf>
    <xf numFmtId="0" fontId="32" fillId="14" borderId="30" xfId="1" applyFont="1" applyFill="1" applyBorder="1" applyAlignment="1" applyProtection="1">
      <alignment horizontal="center" vertical="center"/>
      <protection hidden="1"/>
    </xf>
    <xf numFmtId="0" fontId="32" fillId="14" borderId="38" xfId="1" applyFont="1" applyFill="1" applyBorder="1" applyAlignment="1" applyProtection="1">
      <alignment horizontal="center" vertical="center"/>
      <protection hidden="1"/>
    </xf>
    <xf numFmtId="0" fontId="32" fillId="14" borderId="28" xfId="1" applyFont="1" applyFill="1" applyBorder="1" applyAlignment="1" applyProtection="1">
      <alignment horizontal="center" vertical="center"/>
      <protection hidden="1"/>
    </xf>
    <xf numFmtId="0" fontId="32" fillId="14" borderId="28" xfId="1" applyFont="1" applyFill="1" applyBorder="1" applyProtection="1">
      <protection hidden="1"/>
    </xf>
    <xf numFmtId="0" fontId="32" fillId="14" borderId="28" xfId="1" applyFont="1" applyFill="1" applyBorder="1" applyAlignment="1" applyProtection="1">
      <alignment horizontal="center"/>
      <protection hidden="1"/>
    </xf>
    <xf numFmtId="0" fontId="32" fillId="14" borderId="39" xfId="1" applyFont="1" applyFill="1" applyBorder="1" applyAlignment="1" applyProtection="1">
      <alignment horizontal="center"/>
      <protection hidden="1"/>
    </xf>
    <xf numFmtId="49" fontId="32" fillId="14" borderId="0" xfId="1" applyNumberFormat="1" applyFont="1" applyFill="1" applyAlignment="1" applyProtection="1">
      <alignment horizontal="center" vertical="center"/>
      <protection hidden="1"/>
    </xf>
    <xf numFmtId="49" fontId="32" fillId="14" borderId="0" xfId="1" applyNumberFormat="1" applyFont="1" applyFill="1" applyProtection="1">
      <protection hidden="1"/>
    </xf>
    <xf numFmtId="0" fontId="32" fillId="14" borderId="34" xfId="1" applyFont="1" applyFill="1" applyBorder="1" applyAlignment="1" applyProtection="1">
      <alignment horizontal="center" vertical="center"/>
      <protection hidden="1"/>
    </xf>
    <xf numFmtId="0" fontId="22" fillId="0" borderId="0" xfId="0" applyFont="1" applyAlignment="1" applyProtection="1">
      <alignment horizontal="center" vertical="center" wrapText="1"/>
      <protection hidden="1"/>
    </xf>
    <xf numFmtId="0" fontId="22" fillId="0" borderId="0" xfId="0" applyFont="1" applyAlignment="1" applyProtection="1">
      <alignment vertical="center" wrapText="1"/>
      <protection locked="0"/>
    </xf>
    <xf numFmtId="0" fontId="22" fillId="0" borderId="0" xfId="0" applyFont="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Protection="1">
      <protection locked="0"/>
    </xf>
    <xf numFmtId="0" fontId="22" fillId="0" borderId="0" xfId="0" quotePrefix="1" applyFont="1" applyAlignment="1" applyProtection="1">
      <alignment horizontal="center" vertical="center" wrapText="1"/>
      <protection locked="0"/>
    </xf>
    <xf numFmtId="0" fontId="29" fillId="0" borderId="0" xfId="3" applyAlignment="1" applyProtection="1">
      <alignment horizontal="left" vertical="center"/>
      <protection locked="0"/>
    </xf>
    <xf numFmtId="0" fontId="0" fillId="0" borderId="0" xfId="0" applyAlignment="1" applyProtection="1">
      <alignment vertical="center"/>
      <protection locked="0"/>
    </xf>
    <xf numFmtId="0" fontId="33" fillId="0" borderId="0" xfId="0" applyFont="1" applyProtection="1">
      <protection locked="0"/>
    </xf>
    <xf numFmtId="0" fontId="34" fillId="0" borderId="0" xfId="0" applyFont="1" applyAlignment="1" applyProtection="1">
      <alignment vertical="center" wrapText="1"/>
      <protection locked="0"/>
    </xf>
    <xf numFmtId="0" fontId="34" fillId="0" borderId="0" xfId="0" applyFont="1" applyAlignment="1" applyProtection="1">
      <alignment horizontal="center" vertical="center" wrapText="1"/>
      <protection locked="0"/>
    </xf>
    <xf numFmtId="0" fontId="34" fillId="0" borderId="0" xfId="0" quotePrefix="1" applyFont="1" applyAlignment="1" applyProtection="1">
      <alignment horizontal="center" vertical="center" wrapText="1"/>
      <protection locked="0"/>
    </xf>
    <xf numFmtId="0" fontId="22" fillId="0" borderId="0" xfId="0" applyFont="1" applyAlignment="1" applyProtection="1">
      <alignment horizontal="left" vertical="center" wrapText="1"/>
      <protection locked="0"/>
    </xf>
    <xf numFmtId="0" fontId="33" fillId="0" borderId="0" xfId="0" applyFont="1" applyAlignment="1" applyProtection="1">
      <alignment horizontal="left" vertical="center"/>
      <protection locked="0"/>
    </xf>
    <xf numFmtId="0" fontId="29" fillId="0" borderId="0" xfId="3" applyProtection="1">
      <protection locked="0"/>
    </xf>
    <xf numFmtId="0" fontId="38" fillId="0" borderId="0" xfId="0" quotePrefix="1" applyFont="1" applyProtection="1">
      <protection locked="0"/>
    </xf>
    <xf numFmtId="0" fontId="21" fillId="0" borderId="0" xfId="0" applyFont="1" applyAlignment="1" applyProtection="1">
      <alignment vertical="center" wrapText="1"/>
      <protection locked="0"/>
    </xf>
    <xf numFmtId="0" fontId="21" fillId="0" borderId="0" xfId="0" applyFont="1" applyAlignment="1" applyProtection="1">
      <alignment horizontal="center" vertical="center" wrapText="1"/>
      <protection locked="0"/>
    </xf>
    <xf numFmtId="0" fontId="21" fillId="0" borderId="0" xfId="0" quotePrefix="1" applyFont="1" applyAlignment="1" applyProtection="1">
      <alignment horizontal="center" vertical="center" wrapText="1"/>
      <protection locked="0"/>
    </xf>
    <xf numFmtId="2" fontId="22" fillId="0" borderId="0" xfId="0" applyNumberFormat="1" applyFont="1" applyProtection="1">
      <protection hidden="1"/>
    </xf>
    <xf numFmtId="0" fontId="22" fillId="0" borderId="0" xfId="0" applyFont="1" applyAlignment="1" applyProtection="1">
      <alignment horizontal="right"/>
      <protection hidden="1"/>
    </xf>
    <xf numFmtId="0" fontId="22" fillId="0" borderId="0" xfId="0" applyFont="1" applyAlignment="1" applyProtection="1">
      <alignment horizontal="left"/>
      <protection hidden="1"/>
    </xf>
    <xf numFmtId="0" fontId="22" fillId="0" borderId="0" xfId="0" applyFont="1" applyAlignment="1" applyProtection="1">
      <alignment horizontal="center" vertical="center"/>
      <protection hidden="1"/>
    </xf>
    <xf numFmtId="0" fontId="23" fillId="0" borderId="0" xfId="0" applyFont="1" applyProtection="1">
      <protection hidden="1"/>
    </xf>
    <xf numFmtId="2" fontId="30" fillId="0" borderId="0" xfId="0" applyNumberFormat="1" applyFont="1" applyProtection="1">
      <protection hidden="1"/>
    </xf>
    <xf numFmtId="2" fontId="20" fillId="0" borderId="0" xfId="0" applyNumberFormat="1" applyFont="1" applyProtection="1">
      <protection hidden="1"/>
    </xf>
    <xf numFmtId="1" fontId="22" fillId="0" borderId="0" xfId="0" applyNumberFormat="1" applyFont="1" applyProtection="1">
      <protection hidden="1"/>
    </xf>
    <xf numFmtId="0" fontId="37" fillId="12" borderId="0" xfId="0" applyFont="1" applyFill="1" applyProtection="1">
      <protection hidden="1"/>
    </xf>
    <xf numFmtId="2" fontId="20" fillId="12" borderId="0" xfId="0" applyNumberFormat="1" applyFont="1" applyFill="1" applyProtection="1">
      <protection hidden="1"/>
    </xf>
    <xf numFmtId="2" fontId="22" fillId="12" borderId="0" xfId="0" applyNumberFormat="1" applyFont="1" applyFill="1" applyProtection="1">
      <protection hidden="1"/>
    </xf>
    <xf numFmtId="0" fontId="22" fillId="12" borderId="0" xfId="0" applyFont="1" applyFill="1" applyProtection="1">
      <protection hidden="1"/>
    </xf>
    <xf numFmtId="2" fontId="22" fillId="0" borderId="0" xfId="0" quotePrefix="1" applyNumberFormat="1" applyFont="1" applyProtection="1">
      <protection hidden="1"/>
    </xf>
    <xf numFmtId="0" fontId="22" fillId="7" borderId="0" xfId="0" applyFont="1" applyFill="1" applyProtection="1">
      <protection hidden="1"/>
    </xf>
    <xf numFmtId="2" fontId="22" fillId="7" borderId="0" xfId="0" applyNumberFormat="1" applyFont="1" applyFill="1" applyProtection="1">
      <protection hidden="1"/>
    </xf>
    <xf numFmtId="0" fontId="34" fillId="0" borderId="0" xfId="0" applyFont="1" applyProtection="1">
      <protection hidden="1"/>
    </xf>
    <xf numFmtId="0" fontId="47" fillId="0" borderId="0" xfId="0" applyFont="1" applyAlignment="1" applyProtection="1">
      <alignment horizontal="left"/>
      <protection hidden="1"/>
    </xf>
    <xf numFmtId="17" fontId="22" fillId="0" borderId="0" xfId="0" quotePrefix="1" applyNumberFormat="1" applyFont="1" applyProtection="1">
      <protection hidden="1"/>
    </xf>
    <xf numFmtId="0" fontId="22" fillId="0" borderId="0" xfId="0" quotePrefix="1" applyFont="1" applyProtection="1">
      <protection hidden="1"/>
    </xf>
    <xf numFmtId="0" fontId="22" fillId="7" borderId="0" xfId="0" applyFont="1" applyFill="1" applyAlignment="1" applyProtection="1">
      <alignment horizontal="left"/>
      <protection hidden="1"/>
    </xf>
    <xf numFmtId="0" fontId="22" fillId="9" borderId="0" xfId="0" applyFont="1" applyFill="1" applyAlignment="1" applyProtection="1">
      <alignment horizontal="left"/>
      <protection hidden="1"/>
    </xf>
    <xf numFmtId="2" fontId="22" fillId="9" borderId="0" xfId="0" applyNumberFormat="1" applyFont="1" applyFill="1" applyProtection="1">
      <protection hidden="1"/>
    </xf>
    <xf numFmtId="0" fontId="37" fillId="12" borderId="0" xfId="0" applyFont="1" applyFill="1" applyAlignment="1" applyProtection="1">
      <alignment horizontal="left"/>
      <protection hidden="1"/>
    </xf>
    <xf numFmtId="0" fontId="22" fillId="0" borderId="0" xfId="0" applyFont="1" applyAlignment="1" applyProtection="1">
      <alignment wrapText="1"/>
      <protection hidden="1"/>
    </xf>
    <xf numFmtId="0" fontId="22" fillId="8" borderId="0" xfId="0" applyFont="1" applyFill="1" applyAlignment="1" applyProtection="1">
      <alignment horizontal="left"/>
      <protection hidden="1"/>
    </xf>
    <xf numFmtId="2" fontId="22" fillId="8" borderId="0" xfId="0" applyNumberFormat="1" applyFont="1" applyFill="1" applyProtection="1">
      <protection hidden="1"/>
    </xf>
    <xf numFmtId="0" fontId="22" fillId="8" borderId="0" xfId="0" applyFont="1" applyFill="1" applyProtection="1">
      <protection hidden="1"/>
    </xf>
    <xf numFmtId="0" fontId="22" fillId="9" borderId="0" xfId="0" applyFont="1" applyFill="1" applyProtection="1">
      <protection hidden="1"/>
    </xf>
    <xf numFmtId="2" fontId="22" fillId="12" borderId="0" xfId="0" applyNumberFormat="1" applyFont="1" applyFill="1" applyAlignment="1" applyProtection="1">
      <alignment horizontal="right"/>
      <protection hidden="1"/>
    </xf>
    <xf numFmtId="0" fontId="22" fillId="6" borderId="0" xfId="0" applyFont="1" applyFill="1" applyProtection="1">
      <protection hidden="1"/>
    </xf>
    <xf numFmtId="2" fontId="22" fillId="6" borderId="0" xfId="0" applyNumberFormat="1" applyFont="1" applyFill="1" applyAlignment="1" applyProtection="1">
      <alignment horizontal="right"/>
      <protection hidden="1"/>
    </xf>
    <xf numFmtId="2" fontId="22" fillId="6" borderId="0" xfId="0" applyNumberFormat="1" applyFont="1" applyFill="1" applyProtection="1">
      <protection hidden="1"/>
    </xf>
    <xf numFmtId="2" fontId="22" fillId="0" borderId="0" xfId="0" applyNumberFormat="1" applyFont="1" applyAlignment="1" applyProtection="1">
      <alignment horizontal="right"/>
      <protection hidden="1"/>
    </xf>
    <xf numFmtId="0" fontId="22" fillId="6" borderId="0" xfId="0" applyFont="1" applyFill="1" applyAlignment="1" applyProtection="1">
      <alignment horizontal="left"/>
      <protection hidden="1"/>
    </xf>
    <xf numFmtId="2" fontId="22" fillId="9" borderId="0" xfId="0" applyNumberFormat="1" applyFont="1" applyFill="1" applyAlignment="1" applyProtection="1">
      <alignment horizontal="right"/>
      <protection hidden="1"/>
    </xf>
    <xf numFmtId="0" fontId="22" fillId="5" borderId="0" xfId="0" applyFont="1" applyFill="1" applyProtection="1">
      <protection hidden="1"/>
    </xf>
    <xf numFmtId="2" fontId="22" fillId="5" borderId="0" xfId="0" applyNumberFormat="1" applyFont="1" applyFill="1" applyProtection="1">
      <protection hidden="1"/>
    </xf>
    <xf numFmtId="2" fontId="22" fillId="8" borderId="0" xfId="0" applyNumberFormat="1" applyFont="1" applyFill="1" applyAlignment="1" applyProtection="1">
      <alignment horizontal="right"/>
      <protection hidden="1"/>
    </xf>
    <xf numFmtId="0" fontId="22" fillId="10" borderId="0" xfId="0" applyFont="1" applyFill="1" applyProtection="1">
      <protection hidden="1"/>
    </xf>
    <xf numFmtId="2" fontId="22" fillId="10" borderId="0" xfId="0" applyNumberFormat="1" applyFont="1" applyFill="1" applyProtection="1">
      <protection hidden="1"/>
    </xf>
    <xf numFmtId="2" fontId="22" fillId="7" borderId="0" xfId="0" applyNumberFormat="1" applyFont="1" applyFill="1" applyAlignment="1" applyProtection="1">
      <alignment horizontal="right"/>
      <protection hidden="1"/>
    </xf>
    <xf numFmtId="0" fontId="22" fillId="11" borderId="0" xfId="0" applyFont="1" applyFill="1" applyProtection="1">
      <protection hidden="1"/>
    </xf>
    <xf numFmtId="2" fontId="22" fillId="11" borderId="0" xfId="0" applyNumberFormat="1" applyFont="1" applyFill="1" applyProtection="1">
      <protection hidden="1"/>
    </xf>
    <xf numFmtId="2" fontId="32" fillId="7" borderId="0" xfId="0" applyNumberFormat="1" applyFont="1" applyFill="1" applyProtection="1">
      <protection hidden="1"/>
    </xf>
    <xf numFmtId="2" fontId="22" fillId="8" borderId="0" xfId="0" quotePrefix="1" applyNumberFormat="1" applyFont="1" applyFill="1" applyProtection="1">
      <protection hidden="1"/>
    </xf>
    <xf numFmtId="0" fontId="48" fillId="0" borderId="0" xfId="0" applyFont="1" applyProtection="1">
      <protection hidden="1"/>
    </xf>
    <xf numFmtId="0" fontId="22" fillId="0" borderId="0" xfId="0" applyFont="1" applyAlignment="1" applyProtection="1">
      <alignment horizontal="center"/>
      <protection locked="0"/>
    </xf>
    <xf numFmtId="0" fontId="53" fillId="0" borderId="0" xfId="0" applyFont="1" applyAlignment="1" applyProtection="1">
      <alignment horizontal="center"/>
      <protection locked="0"/>
    </xf>
    <xf numFmtId="4" fontId="52" fillId="17" borderId="0" xfId="0" applyNumberFormat="1" applyFont="1" applyFill="1" applyAlignment="1" applyProtection="1">
      <alignment horizontal="left" vertical="center"/>
      <protection hidden="1"/>
    </xf>
    <xf numFmtId="0" fontId="21" fillId="17" borderId="0" xfId="0" applyFont="1" applyFill="1" applyProtection="1">
      <protection hidden="1"/>
    </xf>
    <xf numFmtId="0" fontId="21" fillId="18" borderId="30" xfId="0" applyFont="1" applyFill="1" applyBorder="1" applyAlignment="1" applyProtection="1">
      <alignment horizontal="left" vertical="center"/>
      <protection locked="0"/>
    </xf>
    <xf numFmtId="0" fontId="21" fillId="18" borderId="30" xfId="0" applyFont="1" applyFill="1" applyBorder="1" applyAlignment="1" applyProtection="1">
      <alignment horizontal="left"/>
      <protection locked="0"/>
    </xf>
    <xf numFmtId="0" fontId="21" fillId="0" borderId="30" xfId="0" applyFont="1" applyBorder="1" applyAlignment="1" applyProtection="1">
      <alignment horizontal="left" vertical="center"/>
      <protection locked="0"/>
    </xf>
    <xf numFmtId="0" fontId="21" fillId="17" borderId="30" xfId="0" applyFont="1" applyFill="1" applyBorder="1" applyAlignment="1" applyProtection="1">
      <alignment horizontal="left" vertical="center"/>
      <protection locked="0"/>
    </xf>
    <xf numFmtId="43" fontId="12" fillId="14" borderId="19" xfId="2" applyNumberFormat="1" applyFont="1" applyFill="1" applyBorder="1" applyProtection="1">
      <protection hidden="1"/>
    </xf>
    <xf numFmtId="0" fontId="2" fillId="0" borderId="20" xfId="0" applyFont="1" applyBorder="1" applyAlignment="1" applyProtection="1">
      <alignment horizontal="left"/>
      <protection hidden="1"/>
    </xf>
    <xf numFmtId="0" fontId="25" fillId="0" borderId="0" xfId="0" applyFont="1" applyProtection="1">
      <protection hidden="1"/>
    </xf>
    <xf numFmtId="0" fontId="31" fillId="0" borderId="0" xfId="0" applyFont="1" applyProtection="1">
      <protection hidden="1"/>
    </xf>
    <xf numFmtId="43" fontId="10" fillId="3" borderId="8" xfId="2" applyNumberFormat="1" applyFont="1" applyFill="1" applyBorder="1" applyProtection="1">
      <protection hidden="1"/>
    </xf>
    <xf numFmtId="0" fontId="1" fillId="0" borderId="0" xfId="0" applyFont="1" applyProtection="1">
      <protection hidden="1"/>
    </xf>
    <xf numFmtId="0" fontId="25" fillId="0" borderId="0" xfId="0" applyFont="1" applyAlignment="1" applyProtection="1">
      <alignment horizontal="left"/>
      <protection hidden="1"/>
    </xf>
    <xf numFmtId="43" fontId="10" fillId="3" borderId="19" xfId="2" applyNumberFormat="1" applyFont="1" applyFill="1" applyBorder="1" applyProtection="1">
      <protection locked="0" hidden="1"/>
    </xf>
    <xf numFmtId="43" fontId="15" fillId="3" borderId="19" xfId="2" applyNumberFormat="1" applyFont="1" applyFill="1" applyBorder="1" applyProtection="1">
      <protection locked="0" hidden="1"/>
    </xf>
    <xf numFmtId="164" fontId="10" fillId="3" borderId="21" xfId="2" applyFont="1" applyFill="1" applyBorder="1" applyProtection="1">
      <protection locked="0" hidden="1"/>
    </xf>
    <xf numFmtId="4" fontId="16" fillId="3" borderId="15" xfId="2" applyNumberFormat="1" applyFont="1" applyFill="1" applyBorder="1" applyProtection="1">
      <protection hidden="1"/>
    </xf>
    <xf numFmtId="4" fontId="28" fillId="3" borderId="15" xfId="2" applyNumberFormat="1" applyFont="1" applyFill="1" applyBorder="1" applyAlignment="1" applyProtection="1">
      <alignment horizontal="right"/>
      <protection hidden="1"/>
    </xf>
    <xf numFmtId="0" fontId="27" fillId="7" borderId="29" xfId="1" applyFont="1" applyFill="1" applyBorder="1" applyProtection="1">
      <protection hidden="1"/>
    </xf>
    <xf numFmtId="0" fontId="27" fillId="7" borderId="33" xfId="1" applyFont="1" applyFill="1" applyBorder="1" applyProtection="1">
      <protection hidden="1"/>
    </xf>
    <xf numFmtId="0" fontId="27" fillId="7" borderId="32" xfId="1" applyFont="1" applyFill="1" applyBorder="1" applyProtection="1">
      <protection hidden="1"/>
    </xf>
    <xf numFmtId="0" fontId="7" fillId="0" borderId="0" xfId="1" applyFont="1" applyProtection="1">
      <protection locked="0"/>
    </xf>
    <xf numFmtId="0" fontId="12" fillId="3" borderId="20" xfId="1" applyFont="1" applyFill="1" applyBorder="1" applyAlignment="1" applyProtection="1">
      <alignment horizontal="center"/>
      <protection locked="0" hidden="1"/>
    </xf>
    <xf numFmtId="0" fontId="12" fillId="3" borderId="20" xfId="1" applyFont="1" applyFill="1" applyBorder="1" applyAlignment="1" applyProtection="1">
      <alignment horizontal="center"/>
      <protection locked="0"/>
    </xf>
    <xf numFmtId="0" fontId="27" fillId="7" borderId="33" xfId="1" applyFont="1" applyFill="1" applyBorder="1" applyProtection="1">
      <protection locked="0"/>
    </xf>
    <xf numFmtId="0" fontId="27" fillId="7" borderId="49" xfId="1" applyFont="1" applyFill="1" applyBorder="1" applyProtection="1">
      <protection locked="0"/>
    </xf>
    <xf numFmtId="0" fontId="8" fillId="0" borderId="50" xfId="1" applyFont="1" applyBorder="1" applyProtection="1">
      <protection locked="0"/>
    </xf>
    <xf numFmtId="0" fontId="8" fillId="0" borderId="56" xfId="1" applyFont="1" applyBorder="1" applyProtection="1">
      <protection locked="0"/>
    </xf>
    <xf numFmtId="0" fontId="10" fillId="3" borderId="5" xfId="1" applyFont="1" applyFill="1" applyBorder="1"/>
    <xf numFmtId="0" fontId="10" fillId="3" borderId="6" xfId="1" applyFont="1" applyFill="1" applyBorder="1"/>
    <xf numFmtId="49" fontId="12" fillId="3" borderId="9" xfId="1" applyNumberFormat="1" applyFont="1" applyFill="1" applyBorder="1"/>
    <xf numFmtId="0" fontId="12" fillId="3" borderId="11" xfId="1" applyFont="1" applyFill="1" applyBorder="1"/>
    <xf numFmtId="0" fontId="12" fillId="3" borderId="9" xfId="1" applyFont="1" applyFill="1" applyBorder="1"/>
    <xf numFmtId="0" fontId="21" fillId="17" borderId="0" xfId="0" applyFont="1" applyFill="1" applyAlignment="1">
      <alignment horizontal="right"/>
    </xf>
    <xf numFmtId="0" fontId="21" fillId="17" borderId="0" xfId="0" applyFont="1" applyFill="1" applyAlignment="1">
      <alignment horizontal="center"/>
    </xf>
    <xf numFmtId="0" fontId="21" fillId="19" borderId="30" xfId="0" applyFont="1" applyFill="1" applyBorder="1" applyAlignment="1" applyProtection="1">
      <alignment horizontal="left" vertical="center"/>
      <protection locked="0"/>
    </xf>
    <xf numFmtId="0" fontId="55" fillId="18" borderId="44" xfId="0" applyFont="1" applyFill="1" applyBorder="1" applyProtection="1">
      <protection hidden="1"/>
    </xf>
    <xf numFmtId="2" fontId="0" fillId="0" borderId="0" xfId="0" applyNumberFormat="1" applyProtection="1">
      <protection locked="0"/>
    </xf>
    <xf numFmtId="16" fontId="0" fillId="0" borderId="0" xfId="0" quotePrefix="1" applyNumberFormat="1" applyProtection="1">
      <protection locked="0"/>
    </xf>
    <xf numFmtId="0" fontId="0" fillId="0" borderId="0" xfId="0" quotePrefix="1" applyProtection="1">
      <protection locked="0"/>
    </xf>
    <xf numFmtId="0" fontId="0" fillId="0" borderId="0" xfId="0" applyAlignment="1" applyProtection="1">
      <alignment wrapText="1"/>
      <protection locked="0"/>
    </xf>
    <xf numFmtId="0" fontId="22" fillId="0" borderId="0" xfId="0" quotePrefix="1" applyFont="1" applyAlignment="1" applyProtection="1">
      <alignment horizontal="right"/>
      <protection hidden="1"/>
    </xf>
    <xf numFmtId="0" fontId="21" fillId="17" borderId="26" xfId="0" applyFont="1" applyFill="1" applyBorder="1" applyAlignment="1">
      <alignment horizontal="left"/>
    </xf>
    <xf numFmtId="0" fontId="21" fillId="0" borderId="30" xfId="0" applyFont="1" applyBorder="1" applyProtection="1">
      <protection locked="0"/>
    </xf>
    <xf numFmtId="0" fontId="21" fillId="18" borderId="30" xfId="0" applyFont="1" applyFill="1" applyBorder="1" applyAlignment="1" applyProtection="1">
      <alignment horizontal="center"/>
      <protection locked="0"/>
    </xf>
    <xf numFmtId="0" fontId="21" fillId="19" borderId="57" xfId="0" applyFont="1" applyFill="1" applyBorder="1" applyAlignment="1" applyProtection="1">
      <alignment horizontal="left" vertical="center"/>
      <protection locked="0"/>
    </xf>
    <xf numFmtId="0" fontId="21" fillId="0" borderId="57" xfId="0" applyFont="1" applyBorder="1" applyAlignment="1" applyProtection="1">
      <alignment horizontal="left" vertical="center"/>
      <protection locked="0"/>
    </xf>
    <xf numFmtId="2" fontId="32" fillId="0" borderId="0" xfId="0" applyNumberFormat="1" applyFont="1" applyProtection="1">
      <protection hidden="1"/>
    </xf>
    <xf numFmtId="2" fontId="32" fillId="12" borderId="0" xfId="0" applyNumberFormat="1" applyFont="1" applyFill="1" applyProtection="1">
      <protection hidden="1"/>
    </xf>
    <xf numFmtId="2" fontId="32" fillId="8" borderId="0" xfId="0" applyNumberFormat="1" applyFont="1" applyFill="1" applyProtection="1">
      <protection hidden="1"/>
    </xf>
    <xf numFmtId="2" fontId="32" fillId="12" borderId="0" xfId="0" applyNumberFormat="1" applyFont="1" applyFill="1" applyAlignment="1" applyProtection="1">
      <alignment horizontal="right"/>
      <protection hidden="1"/>
    </xf>
    <xf numFmtId="2" fontId="32" fillId="6" borderId="0" xfId="0" applyNumberFormat="1" applyFont="1" applyFill="1" applyAlignment="1" applyProtection="1">
      <alignment horizontal="right"/>
      <protection hidden="1"/>
    </xf>
    <xf numFmtId="2" fontId="32" fillId="0" borderId="0" xfId="0" applyNumberFormat="1" applyFont="1" applyAlignment="1" applyProtection="1">
      <alignment horizontal="right"/>
      <protection hidden="1"/>
    </xf>
    <xf numFmtId="2" fontId="32" fillId="6" borderId="0" xfId="0" applyNumberFormat="1" applyFont="1" applyFill="1" applyProtection="1">
      <protection hidden="1"/>
    </xf>
    <xf numFmtId="2" fontId="32" fillId="9" borderId="0" xfId="0" applyNumberFormat="1" applyFont="1" applyFill="1" applyAlignment="1" applyProtection="1">
      <alignment horizontal="right"/>
      <protection hidden="1"/>
    </xf>
    <xf numFmtId="2" fontId="32" fillId="5" borderId="0" xfId="0" applyNumberFormat="1" applyFont="1" applyFill="1" applyProtection="1">
      <protection hidden="1"/>
    </xf>
    <xf numFmtId="2" fontId="32" fillId="9" borderId="0" xfId="0" applyNumberFormat="1" applyFont="1" applyFill="1" applyProtection="1">
      <protection hidden="1"/>
    </xf>
    <xf numFmtId="2" fontId="32" fillId="8" borderId="0" xfId="0" applyNumberFormat="1" applyFont="1" applyFill="1" applyAlignment="1" applyProtection="1">
      <alignment horizontal="right"/>
      <protection hidden="1"/>
    </xf>
    <xf numFmtId="2" fontId="32" fillId="10" borderId="0" xfId="0" applyNumberFormat="1" applyFont="1" applyFill="1" applyProtection="1">
      <protection hidden="1"/>
    </xf>
    <xf numFmtId="2" fontId="32" fillId="7" borderId="0" xfId="0" applyNumberFormat="1" applyFont="1" applyFill="1" applyAlignment="1" applyProtection="1">
      <alignment horizontal="right"/>
      <protection hidden="1"/>
    </xf>
    <xf numFmtId="2" fontId="32" fillId="11" borderId="0" xfId="0" applyNumberFormat="1" applyFont="1" applyFill="1" applyProtection="1">
      <protection hidden="1"/>
    </xf>
    <xf numFmtId="2" fontId="32" fillId="8" borderId="0" xfId="0" quotePrefix="1" applyNumberFormat="1" applyFont="1" applyFill="1" applyProtection="1">
      <protection hidden="1"/>
    </xf>
    <xf numFmtId="0" fontId="8" fillId="0" borderId="0" xfId="1" applyFont="1" applyAlignment="1">
      <alignment horizontal="right"/>
    </xf>
    <xf numFmtId="167" fontId="8" fillId="0" borderId="0" xfId="4" applyNumberFormat="1" applyFont="1" applyFill="1"/>
    <xf numFmtId="43" fontId="8" fillId="0" borderId="0" xfId="4" applyFont="1" applyFill="1"/>
    <xf numFmtId="9" fontId="8" fillId="0" borderId="0" xfId="1" applyNumberFormat="1" applyFont="1"/>
    <xf numFmtId="14" fontId="8" fillId="0" borderId="0" xfId="1" applyNumberFormat="1" applyFont="1"/>
    <xf numFmtId="167" fontId="8" fillId="0" borderId="0" xfId="1" applyNumberFormat="1" applyFont="1"/>
    <xf numFmtId="4" fontId="8" fillId="0" borderId="0" xfId="1" applyNumberFormat="1" applyFont="1"/>
    <xf numFmtId="0" fontId="27" fillId="0" borderId="0" xfId="1" applyFont="1"/>
    <xf numFmtId="14" fontId="27" fillId="0" borderId="0" xfId="1" applyNumberFormat="1" applyFont="1"/>
    <xf numFmtId="0" fontId="21" fillId="17" borderId="34" xfId="0" applyFont="1" applyFill="1" applyBorder="1" applyAlignment="1">
      <alignment horizontal="right" vertical="center"/>
    </xf>
    <xf numFmtId="165" fontId="3" fillId="14" borderId="0" xfId="1" applyNumberFormat="1" applyFill="1"/>
    <xf numFmtId="0" fontId="32" fillId="8" borderId="0" xfId="0" applyFont="1" applyFill="1" applyProtection="1">
      <protection hidden="1"/>
    </xf>
    <xf numFmtId="2" fontId="32" fillId="6" borderId="0" xfId="0" quotePrefix="1" applyNumberFormat="1" applyFont="1" applyFill="1" applyProtection="1">
      <protection hidden="1"/>
    </xf>
    <xf numFmtId="0" fontId="22" fillId="6" borderId="0" xfId="0" applyFont="1" applyFill="1" applyAlignment="1" applyProtection="1">
      <alignment wrapText="1"/>
      <protection hidden="1"/>
    </xf>
    <xf numFmtId="0" fontId="22" fillId="20" borderId="0" xfId="0" applyFont="1" applyFill="1" applyProtection="1">
      <protection hidden="1"/>
    </xf>
    <xf numFmtId="2" fontId="22" fillId="20" borderId="0" xfId="0" applyNumberFormat="1" applyFont="1" applyFill="1" applyProtection="1">
      <protection hidden="1"/>
    </xf>
    <xf numFmtId="0" fontId="22" fillId="10" borderId="0" xfId="0" applyFont="1" applyFill="1" applyAlignment="1" applyProtection="1">
      <alignment horizontal="left"/>
      <protection hidden="1"/>
    </xf>
    <xf numFmtId="0" fontId="22" fillId="10" borderId="0" xfId="0" applyFont="1" applyFill="1" applyAlignment="1" applyProtection="1">
      <alignment horizontal="left" wrapText="1"/>
      <protection hidden="1"/>
    </xf>
    <xf numFmtId="0" fontId="22" fillId="7" borderId="0" xfId="0" applyFont="1" applyFill="1" applyAlignment="1" applyProtection="1">
      <alignment wrapText="1"/>
      <protection hidden="1"/>
    </xf>
    <xf numFmtId="0" fontId="22" fillId="11" borderId="0" xfId="0" applyFont="1" applyFill="1" applyAlignment="1" applyProtection="1">
      <alignment horizontal="left"/>
      <protection hidden="1"/>
    </xf>
    <xf numFmtId="0" fontId="22" fillId="11" borderId="0" xfId="0" applyFont="1" applyFill="1" applyAlignment="1" applyProtection="1">
      <alignment horizontal="left" wrapText="1"/>
      <protection hidden="1"/>
    </xf>
    <xf numFmtId="0" fontId="0" fillId="0" borderId="0" xfId="0" applyAlignment="1" applyProtection="1">
      <alignment horizontal="center" wrapText="1"/>
      <protection locked="0"/>
    </xf>
    <xf numFmtId="0" fontId="56" fillId="3" borderId="59" xfId="1" applyFont="1" applyFill="1" applyBorder="1"/>
    <xf numFmtId="0" fontId="18" fillId="3" borderId="58" xfId="1" applyFont="1" applyFill="1" applyBorder="1"/>
    <xf numFmtId="43" fontId="12" fillId="14" borderId="60" xfId="2" applyNumberFormat="1" applyFont="1" applyFill="1" applyBorder="1" applyProtection="1">
      <protection locked="0" hidden="1"/>
    </xf>
    <xf numFmtId="0" fontId="13" fillId="14" borderId="17" xfId="1" applyFont="1" applyFill="1" applyBorder="1" applyAlignment="1" applyProtection="1">
      <alignment vertical="center"/>
      <protection locked="0" hidden="1"/>
    </xf>
    <xf numFmtId="0" fontId="17" fillId="3" borderId="17" xfId="1" applyFont="1" applyFill="1" applyBorder="1" applyAlignment="1" applyProtection="1">
      <alignment horizontal="center" vertical="center" wrapText="1"/>
      <protection locked="0"/>
    </xf>
    <xf numFmtId="0" fontId="17" fillId="3" borderId="0" xfId="1" applyFont="1" applyFill="1" applyAlignment="1" applyProtection="1">
      <alignment horizontal="center" vertical="center" wrapText="1"/>
      <protection locked="0"/>
    </xf>
    <xf numFmtId="0" fontId="10" fillId="4" borderId="16" xfId="1" applyFont="1" applyFill="1" applyBorder="1" applyAlignment="1" applyProtection="1">
      <alignment vertical="top" wrapText="1"/>
      <protection locked="0"/>
    </xf>
    <xf numFmtId="0" fontId="10" fillId="4" borderId="17" xfId="1" applyFont="1" applyFill="1" applyBorder="1" applyAlignment="1" applyProtection="1">
      <alignment vertical="top" wrapText="1"/>
      <protection locked="0"/>
    </xf>
    <xf numFmtId="0" fontId="10" fillId="4" borderId="18" xfId="1" applyFont="1" applyFill="1" applyBorder="1" applyAlignment="1" applyProtection="1">
      <alignment vertical="top" wrapText="1"/>
      <protection locked="0"/>
    </xf>
    <xf numFmtId="0" fontId="10" fillId="4" borderId="20" xfId="1" applyFont="1" applyFill="1" applyBorder="1" applyAlignment="1" applyProtection="1">
      <alignment vertical="top" wrapText="1"/>
      <protection locked="0"/>
    </xf>
    <xf numFmtId="0" fontId="10" fillId="4" borderId="0" xfId="1" applyFont="1" applyFill="1" applyAlignment="1" applyProtection="1">
      <alignment vertical="top" wrapText="1"/>
      <protection locked="0"/>
    </xf>
    <xf numFmtId="0" fontId="10" fillId="4" borderId="8" xfId="1" applyFont="1" applyFill="1" applyBorder="1" applyAlignment="1" applyProtection="1">
      <alignment vertical="top" wrapText="1"/>
      <protection locked="0"/>
    </xf>
    <xf numFmtId="0" fontId="10" fillId="4" borderId="22" xfId="1" applyFont="1" applyFill="1" applyBorder="1" applyAlignment="1" applyProtection="1">
      <alignment vertical="top" wrapText="1"/>
      <protection locked="0"/>
    </xf>
    <xf numFmtId="0" fontId="10" fillId="4" borderId="23" xfId="1" applyFont="1" applyFill="1" applyBorder="1" applyAlignment="1" applyProtection="1">
      <alignment vertical="top" wrapText="1"/>
      <protection locked="0"/>
    </xf>
    <xf numFmtId="0" fontId="10" fillId="4" borderId="24" xfId="1" applyFont="1" applyFill="1" applyBorder="1" applyAlignment="1" applyProtection="1">
      <alignment vertical="top" wrapText="1"/>
      <protection locked="0"/>
    </xf>
    <xf numFmtId="0" fontId="12" fillId="3" borderId="12" xfId="1" applyFont="1" applyFill="1" applyBorder="1" applyAlignment="1">
      <alignment horizontal="center"/>
    </xf>
    <xf numFmtId="0" fontId="12" fillId="3" borderId="13" xfId="1" applyFont="1" applyFill="1" applyBorder="1" applyAlignment="1">
      <alignment horizontal="center"/>
    </xf>
    <xf numFmtId="0" fontId="12" fillId="3" borderId="14" xfId="1" applyFont="1" applyFill="1" applyBorder="1" applyAlignment="1">
      <alignment horizontal="center"/>
    </xf>
    <xf numFmtId="0" fontId="4" fillId="3" borderId="0" xfId="1" applyFont="1" applyFill="1" applyAlignment="1" applyProtection="1">
      <alignment horizontal="left" vertical="top" wrapText="1"/>
      <protection locked="0"/>
    </xf>
    <xf numFmtId="0" fontId="49" fillId="17" borderId="40" xfId="0" applyFont="1" applyFill="1" applyBorder="1" applyAlignment="1">
      <alignment horizontal="center" vertical="center"/>
    </xf>
    <xf numFmtId="0" fontId="49" fillId="17" borderId="41" xfId="0" applyFont="1" applyFill="1" applyBorder="1" applyAlignment="1">
      <alignment horizontal="center" vertical="center"/>
    </xf>
    <xf numFmtId="0" fontId="49" fillId="17" borderId="42" xfId="0" applyFont="1" applyFill="1" applyBorder="1" applyAlignment="1">
      <alignment horizontal="center" vertical="center"/>
    </xf>
    <xf numFmtId="0" fontId="50" fillId="17" borderId="36" xfId="0" applyFont="1" applyFill="1" applyBorder="1" applyAlignment="1">
      <alignment horizontal="center" vertical="center" wrapText="1"/>
    </xf>
    <xf numFmtId="0" fontId="50" fillId="17" borderId="35" xfId="0" applyFont="1" applyFill="1" applyBorder="1" applyAlignment="1">
      <alignment horizontal="center" vertical="center" wrapText="1"/>
    </xf>
    <xf numFmtId="0" fontId="50" fillId="17" borderId="57" xfId="0" applyFont="1" applyFill="1" applyBorder="1" applyAlignment="1">
      <alignment horizontal="center" vertical="center" wrapText="1"/>
    </xf>
    <xf numFmtId="0" fontId="50" fillId="17" borderId="34" xfId="0" applyFont="1" applyFill="1" applyBorder="1" applyAlignment="1">
      <alignment horizontal="center" vertical="center" wrapText="1"/>
    </xf>
    <xf numFmtId="0" fontId="50" fillId="17" borderId="0" xfId="0" applyFont="1" applyFill="1" applyAlignment="1">
      <alignment horizontal="center" vertical="center" wrapText="1"/>
    </xf>
    <xf numFmtId="0" fontId="50" fillId="17" borderId="26" xfId="0" applyFont="1" applyFill="1" applyBorder="1" applyAlignment="1">
      <alignment horizontal="center" vertical="center" wrapText="1"/>
    </xf>
    <xf numFmtId="49" fontId="32" fillId="6" borderId="29" xfId="1" applyNumberFormat="1" applyFont="1" applyFill="1" applyBorder="1" applyAlignment="1" applyProtection="1">
      <alignment horizontal="center" vertical="center"/>
      <protection hidden="1"/>
    </xf>
    <xf numFmtId="49" fontId="32" fillId="6" borderId="33" xfId="1" applyNumberFormat="1" applyFont="1" applyFill="1" applyBorder="1" applyAlignment="1" applyProtection="1">
      <alignment horizontal="center" vertical="center"/>
      <protection hidden="1"/>
    </xf>
    <xf numFmtId="49" fontId="32" fillId="6" borderId="32" xfId="1" applyNumberFormat="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protection hidden="1"/>
    </xf>
    <xf numFmtId="0" fontId="32" fillId="6" borderId="32"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2" fillId="6" borderId="29" xfId="1" applyFont="1" applyFill="1" applyBorder="1" applyAlignment="1" applyProtection="1">
      <alignment horizontal="left" vertical="center" wrapText="1"/>
      <protection hidden="1"/>
    </xf>
    <xf numFmtId="0" fontId="32" fillId="6" borderId="33" xfId="1" applyFont="1" applyFill="1" applyBorder="1" applyAlignment="1" applyProtection="1">
      <alignment horizontal="left" vertical="center" wrapText="1"/>
      <protection hidden="1"/>
    </xf>
    <xf numFmtId="0" fontId="32" fillId="6" borderId="32" xfId="1" applyFont="1" applyFill="1" applyBorder="1" applyAlignment="1" applyProtection="1">
      <alignment horizontal="left" vertical="center" wrapText="1"/>
      <protection hidden="1"/>
    </xf>
    <xf numFmtId="43" fontId="13" fillId="14" borderId="16" xfId="1" applyNumberFormat="1" applyFont="1" applyFill="1" applyBorder="1" applyAlignment="1" applyProtection="1">
      <alignment vertical="center"/>
      <protection locked="0" hidden="1"/>
    </xf>
  </cellXfs>
  <cellStyles count="6">
    <cellStyle name="Comma" xfId="4" builtinId="3"/>
    <cellStyle name="Currency 2" xfId="2" xr:uid="{00000000-0005-0000-0000-000000000000}"/>
    <cellStyle name="Hyperlink" xfId="3" builtinId="8"/>
    <cellStyle name="Normal" xfId="0" builtinId="0"/>
    <cellStyle name="Normal 2" xfId="1" xr:uid="{00000000-0005-0000-0000-000003000000}"/>
    <cellStyle name="Per cent" xfId="5" builtinId="5"/>
  </cellStyles>
  <dxfs count="472">
    <dxf>
      <font>
        <color rgb="FF9C0006"/>
      </font>
      <fill>
        <patternFill>
          <bgColor rgb="FFFFC7CE"/>
        </patternFill>
      </fill>
    </dxf>
    <dxf>
      <numFmt numFmtId="171" formatCode=";;"/>
    </dxf>
    <dxf>
      <numFmt numFmtId="171" formatCode=";;"/>
    </dxf>
    <dxf>
      <numFmt numFmtId="171" formatCode=";;"/>
    </dxf>
    <dxf>
      <numFmt numFmtId="171" formatCode=";;"/>
    </dxf>
    <dxf>
      <numFmt numFmtId="171" formatCode=";;"/>
    </dxf>
    <dxf>
      <fill>
        <patternFill>
          <bgColor theme="0" tint="-0.14996795556505021"/>
        </patternFill>
      </fill>
    </dxf>
    <dxf>
      <numFmt numFmtId="171" formatCode=";;"/>
    </dxf>
    <dxf>
      <numFmt numFmtId="171" formatCode=";;"/>
    </dxf>
    <dxf>
      <numFmt numFmtId="171" formatCode=";;"/>
    </dxf>
    <dxf>
      <numFmt numFmtId="171" formatCode=";;"/>
    </dxf>
    <dxf>
      <font>
        <color theme="8" tint="0.59996337778862885"/>
      </font>
    </dxf>
    <dxf>
      <font>
        <color theme="8" tint="0.59996337778862885"/>
      </font>
    </dxf>
    <dxf>
      <font>
        <color theme="8" tint="0.59996337778862885"/>
      </font>
      <fill>
        <patternFill>
          <bgColor theme="8" tint="0.59996337778862885"/>
        </patternFill>
      </fill>
      <border>
        <right style="thin">
          <color auto="1"/>
        </right>
        <top/>
        <bottom/>
        <vertical/>
        <horizontal/>
      </border>
    </dxf>
    <dxf>
      <font>
        <color rgb="FF9C0006"/>
      </font>
      <fill>
        <patternFill>
          <bgColor rgb="FFFFC7CE"/>
        </patternFill>
      </fill>
    </dxf>
    <dxf>
      <font>
        <color theme="8" tint="0.59996337778862885"/>
      </font>
      <fill>
        <patternFill>
          <bgColor theme="8" tint="0.59996337778862885"/>
        </patternFill>
      </fill>
      <border>
        <left/>
        <right style="thin">
          <color auto="1"/>
        </right>
        <top/>
        <bottom/>
        <vertical/>
        <horizontal/>
      </border>
    </dxf>
    <dxf>
      <font>
        <color theme="8" tint="0.59996337778862885"/>
      </font>
      <fill>
        <patternFill>
          <bgColor theme="8" tint="0.59996337778862885"/>
        </patternFill>
      </fill>
      <border>
        <right style="thin">
          <color auto="1"/>
        </right>
        <top/>
        <bottom/>
      </border>
    </dxf>
    <dxf>
      <font>
        <color rgb="FF9C0006"/>
      </font>
      <fill>
        <patternFill>
          <bgColor rgb="FFFFC7CE"/>
        </patternFill>
      </fill>
    </dxf>
    <dxf>
      <font>
        <color theme="8" tint="0.59996337778862885"/>
      </font>
    </dxf>
    <dxf>
      <font>
        <color theme="8" tint="0.59996337778862885"/>
      </font>
    </dxf>
    <dxf>
      <font>
        <color theme="8" tint="0.59996337778862885"/>
      </font>
      <fill>
        <patternFill>
          <bgColor theme="8" tint="0.59996337778862885"/>
        </patternFill>
      </fill>
      <border>
        <left style="thin">
          <color auto="1"/>
        </left>
        <right/>
        <top/>
        <bottom/>
        <vertical/>
        <horizontal/>
      </border>
    </dxf>
    <dxf>
      <font>
        <color theme="9" tint="0.59996337778862885"/>
      </font>
      <fill>
        <patternFill>
          <bgColor theme="8" tint="0.59996337778862885"/>
        </patternFill>
      </fill>
      <border>
        <left style="thin">
          <color auto="1"/>
        </left>
        <right/>
        <top/>
        <bottom/>
      </border>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border>
        <right/>
        <top/>
        <bottom/>
      </border>
    </dxf>
    <dxf>
      <font>
        <color theme="8" tint="0.59996337778862885"/>
      </font>
      <fill>
        <patternFill>
          <bgColor theme="8" tint="0.59996337778862885"/>
        </patternFill>
      </fill>
      <border>
        <left/>
        <right/>
        <top/>
        <bottom style="thin">
          <color auto="1"/>
        </bottom>
        <vertical/>
        <horizontal/>
      </border>
    </dxf>
    <dxf>
      <font>
        <color rgb="FF9C5700"/>
      </font>
      <fill>
        <patternFill>
          <bgColor rgb="FFFFEB9C"/>
        </patternFill>
      </fill>
    </dxf>
    <dxf>
      <font>
        <color rgb="FF9C0006"/>
      </font>
      <fill>
        <patternFill>
          <bgColor rgb="FFFFC7CE"/>
        </patternFill>
      </fill>
    </dxf>
    <dxf>
      <font>
        <color theme="0"/>
      </font>
    </dxf>
    <dxf>
      <font>
        <color theme="8" tint="0.59996337778862885"/>
      </font>
    </dxf>
    <dxf>
      <font>
        <color rgb="FF9C0006"/>
      </font>
      <fill>
        <patternFill>
          <bgColor rgb="FFFFC7CE"/>
        </patternFill>
      </fill>
    </dxf>
    <dxf>
      <font>
        <color theme="8" tint="0.59996337778862885"/>
      </font>
      <fill>
        <patternFill>
          <bgColor theme="8" tint="0.59996337778862885"/>
        </patternFill>
      </fill>
    </dxf>
    <dxf>
      <font>
        <color rgb="FF9C0006"/>
      </font>
      <fill>
        <patternFill>
          <bgColor rgb="FFFFC7CE"/>
        </patternFill>
      </fill>
    </dxf>
    <dxf>
      <font>
        <color theme="0"/>
      </font>
    </dxf>
    <dxf>
      <font>
        <color theme="0"/>
      </font>
    </dxf>
    <dxf>
      <font>
        <color rgb="FF9C0006"/>
      </font>
      <fill>
        <patternFill>
          <bgColor rgb="FFFFC7CE"/>
        </patternFill>
      </fill>
    </dxf>
    <dxf>
      <font>
        <color theme="9" tint="0.59996337778862885"/>
      </font>
      <fill>
        <patternFill>
          <bgColor theme="9"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8" tint="0.59996337778862885"/>
      </font>
    </dxf>
    <dxf>
      <font>
        <color rgb="FF9C0006"/>
      </font>
      <fill>
        <patternFill>
          <bgColor rgb="FFFFC7CE"/>
        </patternFill>
      </fill>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font>
        <color rgb="FF9C0006"/>
      </font>
      <fill>
        <patternFill>
          <bgColor rgb="FFFFC7CE"/>
        </patternFill>
      </fill>
    </dxf>
    <dxf>
      <font>
        <color theme="0"/>
      </font>
      <fill>
        <patternFill>
          <fgColor theme="0"/>
          <bgColor theme="0"/>
        </patternFill>
      </fill>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hyperlink" Target="https://www.google.com.gh/imgres?imgurl=https://www.fronius.com/internet/img/logo_fronius_en.gif&amp;imgrefurl=https://www.fronius.com/&amp;docid=-TQ1YE_6B3SF2M&amp;tbnid=WuPudtPIE2N1PM:&amp;w=141&amp;h=55&amp;bih=612&amp;biw=1366&amp;ved=0ahUKEwjnm6L0w5vMAhUEiRoKHZalAlEQMwgrKAwwDA&amp;iact=mrc&amp;uact=8" TargetMode="External"/><Relationship Id="rId2" Type="http://schemas.openxmlformats.org/officeDocument/2006/relationships/image" Target="../media/image2.png"/><Relationship Id="rId1" Type="http://schemas.openxmlformats.org/officeDocument/2006/relationships/image" Target="../media/image1.jpeg"/><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10</xdr:col>
      <xdr:colOff>1000125</xdr:colOff>
      <xdr:row>5</xdr:row>
      <xdr:rowOff>142875</xdr:rowOff>
    </xdr:from>
    <xdr:to>
      <xdr:col>12</xdr:col>
      <xdr:colOff>13955</xdr:colOff>
      <xdr:row>8</xdr:row>
      <xdr:rowOff>4104</xdr:rowOff>
    </xdr:to>
    <xdr:pic>
      <xdr:nvPicPr>
        <xdr:cNvPr id="7" name="Picture 6" descr="ASEA Power Logo">
          <a:extLst>
            <a:ext uri="{FF2B5EF4-FFF2-40B4-BE49-F238E27FC236}">
              <a16:creationId xmlns:a16="http://schemas.microsoft.com/office/drawing/2014/main" id="{00000000-0008-0000-02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524750" y="1066800"/>
          <a:ext cx="12192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295275</xdr:colOff>
      <xdr:row>5</xdr:row>
      <xdr:rowOff>161925</xdr:rowOff>
    </xdr:from>
    <xdr:to>
      <xdr:col>10</xdr:col>
      <xdr:colOff>180975</xdr:colOff>
      <xdr:row>7</xdr:row>
      <xdr:rowOff>114300</xdr:rowOff>
    </xdr:to>
    <xdr:pic>
      <xdr:nvPicPr>
        <xdr:cNvPr id="8" name="Picture 1">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876925" y="1085850"/>
          <a:ext cx="1323975" cy="5905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10</xdr:col>
      <xdr:colOff>1000125</xdr:colOff>
      <xdr:row>2</xdr:row>
      <xdr:rowOff>152400</xdr:rowOff>
    </xdr:from>
    <xdr:to>
      <xdr:col>11</xdr:col>
      <xdr:colOff>1162050</xdr:colOff>
      <xdr:row>4</xdr:row>
      <xdr:rowOff>158750</xdr:rowOff>
    </xdr:to>
    <xdr:pic>
      <xdr:nvPicPr>
        <xdr:cNvPr id="9" name="Picture 10" descr="Image result for fronius logo">
          <a:hlinkClick xmlns:r="http://schemas.openxmlformats.org/officeDocument/2006/relationships" r:id="rId3"/>
          <a:extLst>
            <a:ext uri="{FF2B5EF4-FFF2-40B4-BE49-F238E27FC236}">
              <a16:creationId xmlns:a16="http://schemas.microsoft.com/office/drawing/2014/main" id="{00000000-0008-0000-0200-000009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8134350" y="476250"/>
          <a:ext cx="11811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57150</xdr:colOff>
      <xdr:row>1</xdr:row>
      <xdr:rowOff>152400</xdr:rowOff>
    </xdr:from>
    <xdr:to>
      <xdr:col>10</xdr:col>
      <xdr:colOff>485775</xdr:colOff>
      <xdr:row>4</xdr:row>
      <xdr:rowOff>69850</xdr:rowOff>
    </xdr:to>
    <xdr:pic>
      <xdr:nvPicPr>
        <xdr:cNvPr id="10" name="Picture 3">
          <a:extLst>
            <a:ext uri="{FF2B5EF4-FFF2-40B4-BE49-F238E27FC236}">
              <a16:creationId xmlns:a16="http://schemas.microsoft.com/office/drawing/2014/main" id="{00000000-0008-0000-0200-00000A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6248400" y="314325"/>
          <a:ext cx="1866900"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542925</xdr:colOff>
      <xdr:row>1</xdr:row>
      <xdr:rowOff>9525</xdr:rowOff>
    </xdr:from>
    <xdr:to>
      <xdr:col>7</xdr:col>
      <xdr:colOff>200025</xdr:colOff>
      <xdr:row>4</xdr:row>
      <xdr:rowOff>146050</xdr:rowOff>
    </xdr:to>
    <xdr:pic>
      <xdr:nvPicPr>
        <xdr:cNvPr id="11" name="Picture 4">
          <a:extLst>
            <a:ext uri="{FF2B5EF4-FFF2-40B4-BE49-F238E27FC236}">
              <a16:creationId xmlns:a16="http://schemas.microsoft.com/office/drawing/2014/main" id="{00000000-0008-0000-0200-00000B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4400550" y="171450"/>
          <a:ext cx="1400175" cy="819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2A9365-8DC2-A14D-BF04-9917FA5C0967}" name="Table13" displayName="Table13" ref="B32:J50" totalsRowShown="0" headerRowDxfId="471" dataDxfId="470">
  <autoFilter ref="B32:J50" xr:uid="{00000000-0009-0000-0100-000001000000}"/>
  <tableColumns count="9">
    <tableColumn id="1" xr3:uid="{A5A6DDE8-644E-B645-9B31-774C6797337A}" name="Ref A      1-Phase" dataDxfId="469"/>
    <tableColumn id="2" xr3:uid="{5D2C410F-BD87-9E49-95F1-4416B31F01CA}" name="Ref A      3-Phase" dataDxfId="468"/>
    <tableColumn id="3" xr3:uid="{DDA67CFB-0BF8-0D47-8177-27F0A393C879}" name="Ref B      1-Phase" dataDxfId="467"/>
    <tableColumn id="4" xr3:uid="{22F4E3A3-299A-B64D-8636-11BDF77B5419}" name="Ref B      3-Phase" dataDxfId="466"/>
    <tableColumn id="5" xr3:uid="{3E00CFF8-2195-5742-B8E3-25463BAD433E}" name="Ref C      1-Phase" dataDxfId="465"/>
    <tableColumn id="6" xr3:uid="{65AB633F-BECC-4E4A-9B00-006F478AFF70}" name="Ref C       3-Phase" dataDxfId="464"/>
    <tableColumn id="7" xr3:uid="{DBA997D8-96A1-1B47-A8CC-A9140FD62C59}" name="Ref E      1-Phase" dataDxfId="463"/>
    <tableColumn id="8" xr3:uid="{BC868A03-2C0B-7B4C-B087-A5E1350A5099}" name="Ref E       3-Phase" dataDxfId="462"/>
    <tableColumn id="9" xr3:uid="{56A9FE2A-81EE-7443-898C-C4DF0C51E914}" name="Cable Size" dataDxfId="46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B49B8C4-EFD0-0542-82A6-F20C2D7196F9}" name="Table132" displayName="Table132" ref="B5:M27" totalsRowShown="0" headerRowDxfId="460" dataDxfId="459">
  <autoFilter ref="B5:M27" xr:uid="{00000000-0009-0000-0100-000002000000}"/>
  <tableColumns count="12">
    <tableColumn id="1" xr3:uid="{5C06527D-77C9-B546-9AB2-6EC17F04B200}" name="Ref A      1-Phase" dataDxfId="458"/>
    <tableColumn id="2" xr3:uid="{9DB9C4F4-B5BE-3D42-9FA6-E719EA89B54D}" name="Ref A      3-Phase" dataDxfId="457"/>
    <tableColumn id="3" xr3:uid="{4F7686AF-D48B-C444-B41F-B9CE078C91ED}" name="Ref B      1-Phase" dataDxfId="456"/>
    <tableColumn id="4" xr3:uid="{C80BCB45-48A2-6649-91B7-EC4C30168FE6}" name="Ref B      3-Phase" dataDxfId="455"/>
    <tableColumn id="5" xr3:uid="{29B05CD9-1DBC-3649-BC36-854EE621D2B3}" name="Ref C      Touching 1-Phase Flat" dataDxfId="454"/>
    <tableColumn id="6" xr3:uid="{CEAECAB6-F10C-D144-89F6-D38D78A30974}" name="Ref C      Touching 3-Phase" dataDxfId="453"/>
    <tableColumn id="7" xr3:uid="{23A9B015-F0F1-A247-BB37-68A552781076}" name="Ref F      Touching 1-Phase Flat" dataDxfId="452"/>
    <tableColumn id="8" xr3:uid="{B1BF9084-22A0-2744-8735-C1271BF97214}" name="Ref F      Touching 3-Phase Flat" dataDxfId="451"/>
    <tableColumn id="9" xr3:uid="{C3645EAC-3AD3-1549-A27E-7BE1E6BE5E86}" name="Ref F      Touching 3-Phase Trefoil" dataDxfId="450"/>
    <tableColumn id="10" xr3:uid="{28F7DF2A-F36C-8B41-A5C4-947BA6644CCF}" name="Ref F      Spaced    Flat Horizontal" dataDxfId="449"/>
    <tableColumn id="11" xr3:uid="{314CF27A-AD57-7540-BE25-AA8988EA02CA}" name="Ref F      Spaced   Flat Vertical" dataDxfId="448"/>
    <tableColumn id="12" xr3:uid="{A2F6A710-73AF-6A4B-AD64-576FB8D4D121}" name="Cable Size" dataDxfId="447"/>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6C350C4-E0D6-F849-A62F-11509BC17E43}" name="Table1324" displayName="Table1324" ref="B55:M68" totalsRowShown="0" headerRowDxfId="446" dataDxfId="445">
  <autoFilter ref="B55:M68" xr:uid="{00000000-0009-0000-0100-000003000000}"/>
  <tableColumns count="12">
    <tableColumn id="1" xr3:uid="{8F56D565-4DBE-134B-A783-9E3202E43BD6}" name="Ref C      Touching 1-Phase Flat" dataDxfId="444"/>
    <tableColumn id="2" xr3:uid="{B4E810FA-0946-CE43-BAAC-9FFF8C869AB4}" name="Ref C      Touching 3-Phase Flat" dataDxfId="443"/>
    <tableColumn id="3" xr3:uid="{9505943B-4DB3-3249-B909-488D6AFB3261}" name="Ref F      Touching 1-Phase Flat" dataDxfId="442"/>
    <tableColumn id="4" xr3:uid="{9B4F775E-F876-AD47-B8B2-762C1787D834}" name="Ref F      Touching 3-Phase Flat" dataDxfId="441"/>
    <tableColumn id="5" xr3:uid="{70FD5798-BEAA-644A-ADA7-B483122AA72A}" name="Ref F      Touching 3-Phase Trefoil" dataDxfId="440"/>
    <tableColumn id="6" xr3:uid="{1D79B934-9CD2-C543-919C-9637F4CC509C}" name="Ref F      Spaced   D.C.   Horizontal" dataDxfId="439"/>
    <tableColumn id="7" xr3:uid="{AC056145-8E01-ED4F-91CC-4803354D17C8}" name="Ref F      Spaced   D.C.   Vertical" dataDxfId="438"/>
    <tableColumn id="8" xr3:uid="{4937B457-2102-FC42-B281-C6729DBFD3FD}" name="Ref F      Spaced     1-Phase   Horizontal" dataDxfId="437"/>
    <tableColumn id="9" xr3:uid="{D64FB8E3-0445-ED4C-B5F1-6B179D9D0B49}" name="Ref F      Spaced   1-Phase   Vertical" dataDxfId="436"/>
    <tableColumn id="10" xr3:uid="{61797ED1-B72E-DF4C-B81D-DBD99AD81D9B}" name="Ref F      Spaced     3-Phase   Horizontal" dataDxfId="435"/>
    <tableColumn id="11" xr3:uid="{D60525F3-3629-7C4C-B5D3-ED38803EC137}" name="Ref F      Spaced     3-Phase   Vertical" dataDxfId="434"/>
    <tableColumn id="12" xr3:uid="{CB42BC2B-CC8D-F04F-B50E-9AE44768EC45}" name="Cable Size" dataDxfId="433"/>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C9B628-60AF-2345-A4E9-3D7EBEA06941}" name="Table135" displayName="Table135" ref="B73:H90" totalsRowShown="0" headerRowDxfId="432" dataDxfId="431">
  <autoFilter ref="B73:H90" xr:uid="{00000000-0009-0000-0100-000004000000}"/>
  <tableColumns count="7">
    <tableColumn id="1" xr3:uid="{4CBC3141-7EF2-E44F-B44A-CB40591B5906}" name="Ref C      1-Phase" dataDxfId="430"/>
    <tableColumn id="2" xr3:uid="{6F6E3EF0-8496-2E4B-9178-A9144373A78B}" name="Ref C     3-Phase" dataDxfId="429"/>
    <tableColumn id="3" xr3:uid="{F65744A9-E645-1343-B427-E350DC2DD900}" name="Ref E      1-Phase" dataDxfId="428"/>
    <tableColumn id="4" xr3:uid="{33F323D5-AB20-C44C-82F9-4236AC584AC0}" name="Ref E      3-Phase" dataDxfId="427"/>
    <tableColumn id="5" xr3:uid="{6E88914E-E8DE-6B47-888E-54BDED9D9CCC}" name="Ref D      1-Phase2" dataDxfId="426"/>
    <tableColumn id="6" xr3:uid="{CC09EA98-FD58-A14E-BCBC-BE1963B4E391}" name="Ref D       3-Phase" dataDxfId="425"/>
    <tableColumn id="9" xr3:uid="{610C94DD-7FD7-7545-85B6-A79F566866FD}" name="Cable Size" dataDxfId="424"/>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F465581-BDAE-9D4C-97E6-E0012A25754C}" name="Table1326" displayName="Table1326" ref="B95:I102" totalsRowShown="0" headerRowDxfId="423" dataDxfId="422">
  <autoFilter ref="B95:I102" xr:uid="{00000000-0009-0000-0100-000005000000}"/>
  <tableColumns count="8">
    <tableColumn id="1" xr3:uid="{8FB351C3-C113-2946-A5C8-9C16DF222FA2}" name="Method 100" dataDxfId="421"/>
    <tableColumn id="2" xr3:uid="{5C732C79-2C0A-A745-895C-C450A0445D07}" name="Method 101" dataDxfId="420"/>
    <tableColumn id="3" xr3:uid="{28A94422-D28E-0A42-AEB1-81DA8253B205}" name="Method 102" dataDxfId="419"/>
    <tableColumn id="4" xr3:uid="{FA300742-14C1-C742-BAFA-0A05A3116FCC}" name="Method 103" dataDxfId="418"/>
    <tableColumn id="5" xr3:uid="{F42C8BC2-9646-D94F-9CFD-5F752EE81F6F}" name="Ref C      " dataDxfId="417"/>
    <tableColumn id="6" xr3:uid="{63CCA8E7-8F73-A74C-AC0D-1A595CF2066F}" name="Ref A" dataDxfId="416"/>
    <tableColumn id="11" xr3:uid="{19E2CE50-0627-2441-9B42-1CEBBAC201C0}" name="Voltage Drop" dataDxfId="415"/>
    <tableColumn id="12" xr3:uid="{DCFDE463-2F30-A745-83D6-50242C7B5E2E}" name="Cable Size" dataDxfId="414"/>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A87FDE-2788-FF44-BE23-F26D4376D1FE}" name="Table1327" displayName="Table1327" ref="B107:M129" totalsRowShown="0" headerRowDxfId="413" dataDxfId="412">
  <autoFilter ref="B107:M129" xr:uid="{00000000-0009-0000-0100-000006000000}"/>
  <tableColumns count="12">
    <tableColumn id="1" xr3:uid="{69876B71-738A-4843-B22F-4678EA2DFFBD}" name="Ref A      1-Phase" dataDxfId="411"/>
    <tableColumn id="2" xr3:uid="{0584E925-BABB-154B-909C-59D606F02965}" name="Ref A      3-Phase" dataDxfId="410"/>
    <tableColumn id="3" xr3:uid="{A3C314AC-AC7C-DE46-AD29-4C881941345E}" name="Ref B      1-Phase" dataDxfId="409"/>
    <tableColumn id="4" xr3:uid="{2027E9C0-B081-764A-92B9-3425DAB598FA}" name="Ref B      3-Phase" dataDxfId="408"/>
    <tableColumn id="5" xr3:uid="{881EC58B-27EC-C740-8104-21DB488464FA}" name="Ref C      Touching 1-Phase Flat" dataDxfId="407"/>
    <tableColumn id="6" xr3:uid="{1122F6BB-146A-4E42-B356-AE6DF575EADA}" name="Ref C      Touching 3-Phase" dataDxfId="406"/>
    <tableColumn id="7" xr3:uid="{F78FB527-5C4C-D849-B4C0-892CF0DBFFDF}" name="Ref F      Touching 1-Phase Flat" dataDxfId="405"/>
    <tableColumn id="8" xr3:uid="{BC97B3AE-77A7-C847-A15E-FD131691FD4A}" name="Ref F      Touching 3-Phase Flat" dataDxfId="404"/>
    <tableColumn id="9" xr3:uid="{FB8F73BA-6EF6-5147-BEF9-6B6069576E11}" name="Ref F      Touching 3-Phase Trefoil" dataDxfId="403"/>
    <tableColumn id="10" xr3:uid="{4A8C5A2F-1E67-2E43-9627-F1FF6A758159}" name="Ref F      Spaced   Flat Horizontal" dataDxfId="402"/>
    <tableColumn id="11" xr3:uid="{F7E9141A-6CDC-0147-9BB9-AA2C96EE1BFB}" name="Ref F      Spaced   Flat Vertical" dataDxfId="401"/>
    <tableColumn id="12" xr3:uid="{098BEAAB-704A-3047-896C-FCC18998BF4B}" name="Cable Size" dataDxfId="400"/>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392D7A4-0BC6-E64E-8C52-935425B4B60B}" name="Table138" displayName="Table138" ref="B134:J152" totalsRowShown="0" headerRowDxfId="399" dataDxfId="398">
  <autoFilter ref="B134:J152" xr:uid="{00000000-0009-0000-0100-000007000000}"/>
  <tableColumns count="9">
    <tableColumn id="1" xr3:uid="{F2AC4F0A-8F37-E640-BFDA-3E7ADBB12ABA}" name="Ref A      1-Phase" dataDxfId="397"/>
    <tableColumn id="2" xr3:uid="{7BC4515A-B88B-8947-99FB-F0D78629F4D7}" name="Ref A      3-Phase" dataDxfId="396"/>
    <tableColumn id="3" xr3:uid="{706E4CE4-FBDB-2443-839E-56841473F7EA}" name="Ref B      1-Phase" dataDxfId="395"/>
    <tableColumn id="4" xr3:uid="{F89297AC-B01A-C443-A753-0312BC5644F7}" name="Ref B      3-Phase" dataDxfId="394"/>
    <tableColumn id="5" xr3:uid="{2F640B1A-FC15-E541-8B29-98C16486B789}" name="Ref C      1-Phase" dataDxfId="393"/>
    <tableColumn id="6" xr3:uid="{2819E63D-1391-6346-8FD7-E6CDA6F3D277}" name="Ref C      3-Phase" dataDxfId="392"/>
    <tableColumn id="7" xr3:uid="{39EFFEAC-971D-124B-BE7D-1891681D8B09}" name="Ref E      1-Phase" dataDxfId="391"/>
    <tableColumn id="8" xr3:uid="{6BFA4C82-5B3E-F345-ACD2-80292358D991}" name="Ref E     3-Phase" dataDxfId="390"/>
    <tableColumn id="9" xr3:uid="{BFF7D58E-270E-6745-8DC1-E314C93EB662}" name="Cable Size" dataDxfId="389"/>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CC99B1-E5F0-CE4C-8291-519B5AC083FC}" name="Table13249" displayName="Table13249" ref="B157:M170" totalsRowShown="0" headerRowDxfId="388" dataDxfId="387">
  <autoFilter ref="B157:M170" xr:uid="{00000000-0009-0000-0100-000008000000}"/>
  <tableColumns count="12">
    <tableColumn id="1" xr3:uid="{82CEC370-C125-F940-A4D7-6254549BDD3D}" name="Ref C      Touching 1-Phase Flat" dataDxfId="386"/>
    <tableColumn id="2" xr3:uid="{068FCE23-09BF-514D-B68F-74CE7E133243}" name="Ref C      Touching 3-Phase Flat" dataDxfId="385"/>
    <tableColumn id="3" xr3:uid="{E8CCC19E-5185-DB4A-9357-6438BEA9BC0A}" name="Ref F      Touching 1-Phase Flat" dataDxfId="384"/>
    <tableColumn id="4" xr3:uid="{9A690EFF-14BB-104E-B006-BCD1FFD99761}" name="Ref F      Touching 3-Phase Flat" dataDxfId="383"/>
    <tableColumn id="5" xr3:uid="{0BAF8325-0E0C-2B4E-9EC5-31845BF42D8D}" name="Ref F      Touching 3-Phase Trefoil" dataDxfId="382"/>
    <tableColumn id="6" xr3:uid="{BBF3BFF1-A03F-164C-ACEE-61D71FD9B26A}" name="Ref F      Spaced   D.C.   Horizontal" dataDxfId="381"/>
    <tableColumn id="7" xr3:uid="{7A2369B8-A87E-204B-B36D-A203DC118AAF}" name="Ref F      Spaced   D.C.   Vertical" dataDxfId="380"/>
    <tableColumn id="8" xr3:uid="{9C855780-7BFC-4648-9469-EFB84E90B69A}" name="Ref F      Spaced     1-Phase   Horizontal" dataDxfId="379"/>
    <tableColumn id="9" xr3:uid="{602498A4-0F4B-214D-B336-00FCADEE478B}" name="Ref F      Spaced   1-Phase   Vertical" dataDxfId="378"/>
    <tableColumn id="10" xr3:uid="{FD44C38F-72DA-A54C-A720-E7E458934B10}" name="Ref F      Spaced     3-Phase   Horizontal" dataDxfId="377"/>
    <tableColumn id="11" xr3:uid="{525CA405-9E96-154B-A391-06539FFAA2CF}" name="Ref F      Spaced     3-Phase   Vertical" dataDxfId="376"/>
    <tableColumn id="12" xr3:uid="{0B90640E-86E9-E342-AA6E-9FF42D688682}" name="Cable Size" dataDxfId="375"/>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78ED5A-9728-9640-A3CE-87A100FBC308}" name="Table13510" displayName="Table13510" ref="B175:H192" totalsRowShown="0" headerRowDxfId="374" dataDxfId="373">
  <autoFilter ref="B175:H192" xr:uid="{00000000-0009-0000-0100-000009000000}"/>
  <tableColumns count="7">
    <tableColumn id="1" xr3:uid="{D4F598C6-F774-A245-9243-2B4B03CD40D2}" name="Ref C      1-Phase" dataDxfId="372"/>
    <tableColumn id="2" xr3:uid="{04C29071-6D86-8440-878B-F7B1BB6E2E27}" name="Ref C     3-Phase" dataDxfId="371"/>
    <tableColumn id="3" xr3:uid="{F21D7E28-3152-9A43-95F2-2B869937953F}" name="Ref E      1-Phase" dataDxfId="370"/>
    <tableColumn id="4" xr3:uid="{F98FC7C4-C27D-7642-8297-8E5EE5E4F817}" name="Ref E      3-Phase" dataDxfId="369"/>
    <tableColumn id="5" xr3:uid="{50D5D0E9-4216-D74E-83B0-7484886EB992}" name="Ref D      1-Phase2" dataDxfId="368"/>
    <tableColumn id="6" xr3:uid="{6FE7DD63-352B-6745-860B-1A07CF74C71A}" name="Ref D       3-Phase" dataDxfId="367"/>
    <tableColumn id="9" xr3:uid="{9E0DDEA8-CB86-3447-8CEA-A67A617129C6}" name="Cable Size" dataDxfId="366"/>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42B8FE1-45F4-B44A-AF22-982950D7BF66}" name="Table13511" displayName="Table13511" ref="B197:E214" totalsRowShown="0" headerRowDxfId="365" dataDxfId="364">
  <autoFilter ref="B197:E214" xr:uid="{00000000-0009-0000-0100-00000A000000}"/>
  <tableColumns count="4">
    <tableColumn id="1" xr3:uid="{DCCB7E08-04C2-4242-93A9-BDE92FB6A283}" name="1-Phase Two-core " dataDxfId="363"/>
    <tableColumn id="2" xr3:uid="{4B9FCF36-8D0C-4042-922A-9BC44C3D1F05}" name="3-Phase" dataDxfId="362"/>
    <tableColumn id="3" xr3:uid="{B6A3816F-CDE4-3943-9BB2-B35F4AD865DF}" name="1-Phase Single-core" dataDxfId="361"/>
    <tableColumn id="9" xr3:uid="{B03F009D-7194-2641-99E5-B903C8AEA279}" name="Cable Size" dataDxfId="360"/>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473A58F-79D9-D946-A58A-4A31C9E7C9ED}" name="Table1351112" displayName="Table1351112" ref="B219:E236" totalsRowShown="0" headerRowDxfId="359" dataDxfId="358">
  <autoFilter ref="B219:E236" xr:uid="{00000000-0009-0000-0100-00000B000000}"/>
  <tableColumns count="4">
    <tableColumn id="1" xr3:uid="{C7BC598E-574E-8248-AAFC-405454E47A95}" name="1-Phase Two-core " dataDxfId="357"/>
    <tableColumn id="2" xr3:uid="{E54C70CA-6079-1642-B08E-0FA28F62AA58}" name="3-Phase" dataDxfId="356"/>
    <tableColumn id="3" xr3:uid="{0CA2C46F-6469-6545-B702-1AD0F47F273D}" name="1-Phase Single-core" dataDxfId="355"/>
    <tableColumn id="9" xr3:uid="{65D163C7-B8F0-DD41-B720-C2BF90BBA2E9}" name="Cable Size" dataDxfId="354"/>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FA90384-AC1F-7E40-9E7A-971DB3506A28}" name="Table132713" displayName="Table132713" ref="B253:J275" totalsRowShown="0" headerRowDxfId="353" dataDxfId="352">
  <autoFilter ref="B253:J275" xr:uid="{00000000-0009-0000-0100-00000C000000}"/>
  <tableColumns count="9">
    <tableColumn id="1" xr3:uid="{DFBC639F-9667-8047-9149-8C7396024340}" name="Ref C      1-Phase" dataDxfId="351"/>
    <tableColumn id="2" xr3:uid="{194A8F82-8175-EA44-93C8-507354B7CCAB}" name="Ref C      3-Phase Trefoil" dataDxfId="350"/>
    <tableColumn id="3" xr3:uid="{4650777B-B819-5B47-B466-615965EF1FD0}" name="Ref C     3-Phase Flat" dataDxfId="349"/>
    <tableColumn id="4" xr3:uid="{F63D3B77-F6F3-B846-A8C5-F04AC142A537}" name="Ref E,F,G      1-Phase" dataDxfId="348"/>
    <tableColumn id="5" xr3:uid="{550849B2-8B8F-2447-B8DC-08D6C058F9E8}" name="Ref E,F,G      3-Phase Trefoil" dataDxfId="347"/>
    <tableColumn id="6" xr3:uid="{3427F223-0BD0-F344-8635-674EB8F0A51A}" name="Ref E,F,G      Touching 3-Phase Flat" dataDxfId="346"/>
    <tableColumn id="7" xr3:uid="{BF267E42-7B42-BA47-A4AB-443B140DE1AD}" name="Ref E,F,G      Spaced     3-Phase Flat Vertical" dataDxfId="345"/>
    <tableColumn id="8" xr3:uid="{86425269-6F9D-9144-8FDC-2499835A6159}" name="Ref E,F,G      Spaced     3-Phase Flat Horizontal" dataDxfId="344"/>
    <tableColumn id="12" xr3:uid="{7DADAD61-FABB-5C49-B275-CD128F2D207E}" name="Cable Size" dataDxfId="343"/>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E5C70F5-1C87-1845-A752-E9B262BED809}" name="Table13271314" displayName="Table13271314" ref="B280:J302" totalsRowShown="0" headerRowDxfId="342" dataDxfId="341">
  <autoFilter ref="B280:J302" xr:uid="{00000000-0009-0000-0100-00000D000000}"/>
  <tableColumns count="9">
    <tableColumn id="1" xr3:uid="{E255A2DA-B172-854A-9A27-23E502BCFD7E}" name="Ref C      1-Phase" dataDxfId="340"/>
    <tableColumn id="2" xr3:uid="{0EC491FE-F50F-2B42-96AA-32AA7FECF1DA}" name="Ref C      3-Phase Trefoil" dataDxfId="339"/>
    <tableColumn id="3" xr3:uid="{677087E4-9AEE-F14B-B8B6-6C8E43F0402B}" name="Ref C     3-Phase Flat" dataDxfId="338"/>
    <tableColumn id="4" xr3:uid="{DD93A0DD-B99F-064A-B4D1-509740BE6D31}" name="Ref E,F,G      1-Phase" dataDxfId="337"/>
    <tableColumn id="5" xr3:uid="{01F60A36-D73C-6B48-99DF-6CD3E42EF749}" name="Ref E,F,G      3-Phase Trefoil" dataDxfId="336"/>
    <tableColumn id="6" xr3:uid="{B1C34053-0880-DB41-8E11-052187B999EA}" name="Ref E,F,G      Touching 3-Phase Flat" dataDxfId="335"/>
    <tableColumn id="7" xr3:uid="{33D99F2B-A68F-B241-A635-485EF462D77E}" name="Ref E,F,G      Spaced     3-Phase Flat Vertical" dataDxfId="334"/>
    <tableColumn id="8" xr3:uid="{E073D6ED-43BC-6B4F-A6D3-0DD3EF8FE162}" name="Ref E,F,G      Spaced     3-Phase Flat Horizontal" dataDxfId="333"/>
    <tableColumn id="12" xr3:uid="{8354A0F5-78CC-884C-9283-BEF837D5CB48}" name="Cable Size" dataDxfId="332"/>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87F483D-ECBD-D442-B527-1612CA39F8A6}" name="Table1315" displayName="Table1315" ref="B326:J337" totalsRowShown="0" headerRowDxfId="331" dataDxfId="330">
  <autoFilter ref="B326:J337" xr:uid="{00000000-0009-0000-0100-00000E000000}"/>
  <tableColumns count="9">
    <tableColumn id="1" xr3:uid="{0DC71F84-F504-1749-8CE0-0482348332AF}" name="Ref A      1-Phase" dataDxfId="329"/>
    <tableColumn id="2" xr3:uid="{DFD03A18-96FC-6247-A14E-455FA79576B9}" name="Ref A      3-Phase" dataDxfId="328"/>
    <tableColumn id="3" xr3:uid="{65DFBBAE-B2B0-6744-BD4E-A4430419F917}" name="Ref B      1-Phase" dataDxfId="327"/>
    <tableColumn id="4" xr3:uid="{22453F02-142C-454D-A722-726F3356B39C}" name="Ref B      3-Phase" dataDxfId="326"/>
    <tableColumn id="5" xr3:uid="{A45D7D5E-CD53-9F46-94A8-64C638B3FB7C}" name="Ref C      1-Phase" dataDxfId="325"/>
    <tableColumn id="6" xr3:uid="{67A89AF4-9C52-F349-9D5A-BE8DC7835430}" name="Ref C       3-Phase" dataDxfId="324"/>
    <tableColumn id="7" xr3:uid="{024429F7-115E-9849-8319-157FDA92113D}" name="Ref E      1-Phase" dataDxfId="323"/>
    <tableColumn id="8" xr3:uid="{560F5836-21A1-FD4C-9910-4E8372E5215F}" name="Ref E       3-Phase" dataDxfId="322"/>
    <tableColumn id="9" xr3:uid="{0D0CA484-DB56-0347-A90E-CC2896A77496}" name="Cable Size" dataDxfId="321"/>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93C2F58-7EEE-9648-9244-3FA30A44C3EF}" name="Table13216" displayName="Table13216" ref="B307:M321" totalsRowShown="0" headerRowDxfId="320" dataDxfId="319">
  <autoFilter ref="B307:M321" xr:uid="{00000000-0009-0000-0100-00000F000000}"/>
  <tableColumns count="12">
    <tableColumn id="1" xr3:uid="{4C5FE5CC-34BA-2C49-8C1E-D642993EFE8E}" name="Ref A      1-Phase" dataDxfId="318"/>
    <tableColumn id="2" xr3:uid="{A90C4450-FF7E-9747-A032-6B50AB0D544D}" name="Ref A      3-Phase" dataDxfId="317"/>
    <tableColumn id="3" xr3:uid="{2357887B-4CAF-6D42-A089-0D6F958336A7}" name="Ref B      1-Phase" dataDxfId="316"/>
    <tableColumn id="4" xr3:uid="{89B25D8F-D806-C147-A1C1-12D6C6BA7659}" name="Ref B      3-Phase" dataDxfId="315"/>
    <tableColumn id="5" xr3:uid="{2BA067DB-13C5-1F43-8164-C2A02D2DFEAF}" name="Ref C      Touching 1-Phase Flat" dataDxfId="314"/>
    <tableColumn id="6" xr3:uid="{316AF11A-58DC-5143-8ADD-874FAF0F0C50}" name="Ref C      Touching 3-Phase" dataDxfId="313"/>
    <tableColumn id="7" xr3:uid="{930FEBC5-AB03-BA42-AA01-0E7C1ED6DE3B}" name="Ref F      Touching 1-Phase Flat" dataDxfId="312"/>
    <tableColumn id="8" xr3:uid="{0360649E-E3E1-AA4A-8E31-C63245CA0DD0}" name="Ref F      Touching 3-Phase Flat" dataDxfId="311"/>
    <tableColumn id="9" xr3:uid="{68799CA0-DA49-2A41-A3CA-6FA2BFB21CC6}" name="Ref F      Touching 3-Phase Trefoil" dataDxfId="310"/>
    <tableColumn id="10" xr3:uid="{2D8E902C-8D09-4E4E-9116-7DDC88C8A2B9}" name="Ref F      Spaced    Flat Horizontal" dataDxfId="309"/>
    <tableColumn id="11" xr3:uid="{3DA555C5-AA5A-864B-87A8-717BC26C010A}" name="Ref F      Spaced   Flat Vertical" dataDxfId="308"/>
    <tableColumn id="12" xr3:uid="{D1875A26-631E-7745-99AA-272BF8B513D0}" name="Cable Size" dataDxfId="307"/>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43D8904-611B-9341-B9B1-9A014EFBB37C}" name="Table132417" displayName="Table132417" ref="B342:M356" totalsRowShown="0" headerRowDxfId="306" dataDxfId="305">
  <autoFilter ref="B342:M356" xr:uid="{00000000-0009-0000-0100-000010000000}"/>
  <tableColumns count="12">
    <tableColumn id="1" xr3:uid="{6543A18A-EA9F-5A4F-AADF-FB5E22E3B550}" name="Ref C      Touching 1-Phase Flat" dataDxfId="304"/>
    <tableColumn id="2" xr3:uid="{93F1E9A1-708F-314E-82A2-75464D79932A}" name="Ref C      Touching 3-Phase Flat" dataDxfId="303"/>
    <tableColumn id="3" xr3:uid="{049EBDDD-C52C-D24B-A591-7BF99301F7D1}" name="Ref F      Touching 1-Phase Flat" dataDxfId="302"/>
    <tableColumn id="4" xr3:uid="{B9D30280-A4A1-F946-9ED2-3CCAEC73868C}" name="Ref F      Touching 3-Phase Flat" dataDxfId="301"/>
    <tableColumn id="5" xr3:uid="{FE9C2CD6-FC4D-1042-8F85-86062E74E777}" name="Ref F      Touching 3-Phase Trefoil" dataDxfId="300"/>
    <tableColumn id="6" xr3:uid="{58BFF602-0AA0-334A-A509-07D843A9BC48}" name="Ref F      Spaced   D.C.   Horizontal" dataDxfId="299"/>
    <tableColumn id="7" xr3:uid="{8A5FC9D8-C52F-614E-BBAF-7038D85E6ABB}" name="Ref F      Spaced   D.C.   Vertical" dataDxfId="298"/>
    <tableColumn id="8" xr3:uid="{FC6663CB-16C0-B74A-9436-0125CEE3DA87}" name="Ref F      Spaced     1-Phase   Horizontal" dataDxfId="297"/>
    <tableColumn id="9" xr3:uid="{64329233-5E20-4247-B033-66B6AD207F3F}" name="Ref F      Spaced   1-Phase   Vertical" dataDxfId="296"/>
    <tableColumn id="10" xr3:uid="{7A1FA81B-2C30-D54C-8C4D-EFF994106290}" name="Ref F      Spaced     3-Phase   Horizontal" dataDxfId="295"/>
    <tableColumn id="11" xr3:uid="{D4F555BE-2EF4-DA48-BB4F-75BCC1C5BDE8}" name="Ref F      Spaced     3-Phase   Vertical" dataDxfId="294"/>
    <tableColumn id="12" xr3:uid="{26F5D117-9E9A-FA4F-A477-D35214877032}" name="Cable Size" dataDxfId="293"/>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1DA8BD7-8BDF-D643-9FD2-B4CF6A0087C0}" name="Table13518" displayName="Table13518" ref="B361:H372" totalsRowShown="0" headerRowDxfId="292" dataDxfId="291">
  <autoFilter ref="B361:H372" xr:uid="{00000000-0009-0000-0100-000011000000}"/>
  <tableColumns count="7">
    <tableColumn id="1" xr3:uid="{F63729E2-B0B4-E448-B0F1-A334443D0596}" name="Ref C      1-Phase" dataDxfId="290"/>
    <tableColumn id="2" xr3:uid="{3845F0FD-1350-7445-9D37-DED49DD677CA}" name="Ref C     3-Phase" dataDxfId="289"/>
    <tableColumn id="3" xr3:uid="{EFF6438D-2BD3-BE49-B084-048204EF5ACF}" name="Ref E      1-Phase" dataDxfId="288"/>
    <tableColumn id="4" xr3:uid="{E9D00104-FE6B-4C43-B329-6953BAAC7C99}" name="Ref E      3-Phase" dataDxfId="287"/>
    <tableColumn id="5" xr3:uid="{6BF0A041-CB9C-704F-B2F1-74E4C0F8833C}" name="Ref D      1-Phase2" dataDxfId="286"/>
    <tableColumn id="6" xr3:uid="{D94928BE-1DEA-A94C-8758-DEB254EDB949}" name="Ref D       3-Phase" dataDxfId="285"/>
    <tableColumn id="9" xr3:uid="{67D46232-A09C-1D49-9F11-7A5D91F621C4}" name="Cable Size" dataDxfId="284"/>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4E580DE-35C2-5F47-8650-938691C9BF16}" name="Table132719" displayName="Table132719" ref="B377:M391" totalsRowShown="0" headerRowDxfId="283" dataDxfId="282">
  <autoFilter ref="B377:M391" xr:uid="{00000000-0009-0000-0100-000012000000}"/>
  <tableColumns count="12">
    <tableColumn id="1" xr3:uid="{977DC0F5-D51C-9E4D-9DDB-3165F08F489F}" name="Ref A      1-Phase" dataDxfId="281"/>
    <tableColumn id="2" xr3:uid="{48A7A9DE-A71C-9349-9B53-588A2D60991C}" name="Ref A      3-Phase" dataDxfId="280"/>
    <tableColumn id="3" xr3:uid="{31AB2D17-2A5A-7644-856B-C1F0A7C503D2}" name="Ref B      1-Phase" dataDxfId="279"/>
    <tableColumn id="4" xr3:uid="{1951BC6E-C885-C740-BEF5-093198D02098}" name="Ref B      3-Phase" dataDxfId="278"/>
    <tableColumn id="5" xr3:uid="{B22405E2-BB86-8C4C-8ECC-4D36F6E28444}" name="Ref C      Touching 1-Phase Flat" dataDxfId="277"/>
    <tableColumn id="6" xr3:uid="{A01DCA7F-4B23-8540-A0E1-E6F2F02840EB}" name="Ref C      Touching 3-Phase" dataDxfId="276"/>
    <tableColumn id="7" xr3:uid="{419C3070-4E0C-8A48-A33A-18211FEF0775}" name="Ref F      Touching 1-Phase Flat" dataDxfId="275"/>
    <tableColumn id="8" xr3:uid="{8262FCCD-78C0-6543-BF6D-8502E999731D}" name="Ref F      Touching 3-Phase Flat" dataDxfId="274"/>
    <tableColumn id="9" xr3:uid="{6AF71A5C-520D-9B41-B0AB-39A2950036E1}" name="Ref F      Touching 3-Phase Trefoil" dataDxfId="273"/>
    <tableColumn id="10" xr3:uid="{CD9ADE49-922A-6442-AC3C-B251F8E1947D}" name="Ref F      Spaced   Flat Horizontal" dataDxfId="272"/>
    <tableColumn id="11" xr3:uid="{1B609165-20D2-D440-B290-AC0904B15A47}" name="Ref F      Spaced   Flat Vertical" dataDxfId="271"/>
    <tableColumn id="12" xr3:uid="{D3B76686-9B4F-8A4F-8DA3-B4FF02DC9EEE}" name="Cable Size" dataDxfId="270"/>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84589A7-1EC3-094B-ACEA-FFB151D316D4}" name="Table13820" displayName="Table13820" ref="B396:J407" totalsRowShown="0" headerRowDxfId="269" dataDxfId="268">
  <autoFilter ref="B396:J407" xr:uid="{00000000-0009-0000-0100-000013000000}"/>
  <tableColumns count="9">
    <tableColumn id="1" xr3:uid="{1673942B-2C50-B841-A02B-1E16D7260D01}" name="Ref A      1-Phase" dataDxfId="267"/>
    <tableColumn id="2" xr3:uid="{A2F33BA8-22C0-914E-B0A3-96186C89D34A}" name="Ref A      3-Phase" dataDxfId="266"/>
    <tableColumn id="3" xr3:uid="{EA4577CB-C163-384C-9074-9D185EB16D59}" name="Ref B      1-Phase" dataDxfId="265"/>
    <tableColumn id="4" xr3:uid="{FE33DECC-9DAA-1744-8511-DE65626F4B88}" name="Ref B      3-Phase" dataDxfId="264"/>
    <tableColumn id="5" xr3:uid="{8EB2439F-2A5B-6C49-B76F-5385ECEE2CFA}" name="Ref C      1-Phase" dataDxfId="263"/>
    <tableColumn id="6" xr3:uid="{E8B87F04-0AA3-7743-A532-3B980DD91F53}" name="Ref C      3-Phase" dataDxfId="262"/>
    <tableColumn id="7" xr3:uid="{5AC1E31C-C239-BF43-8F8C-078304BAFD38}" name="Ref E      1-Phase" dataDxfId="261"/>
    <tableColumn id="8" xr3:uid="{1E22B2D1-E135-0940-ADB4-DEF469D1733C}" name="Ref E     3-Phase" dataDxfId="260"/>
    <tableColumn id="9" xr3:uid="{730135D8-55EB-4D4D-80DF-8C04C7521219}" name="Cable Size" dataDxfId="259"/>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987E4A6-AF6B-BA4E-9E8D-94A3ABCC86D5}" name="Table1324921" displayName="Table1324921" ref="B412:M426" totalsRowShown="0" headerRowDxfId="258" dataDxfId="257">
  <autoFilter ref="B412:M426" xr:uid="{00000000-0009-0000-0100-000014000000}"/>
  <tableColumns count="12">
    <tableColumn id="1" xr3:uid="{1A9B1545-1974-D54C-98B4-F6FE3DF44029}" name="Ref C      Touching 1-Phase Flat" dataDxfId="256"/>
    <tableColumn id="2" xr3:uid="{FB3E3318-AFF2-564D-868D-7F3B643F0C13}" name="Ref C      Touching 3-Phase Flat" dataDxfId="255"/>
    <tableColumn id="3" xr3:uid="{5512CC60-89A0-6B47-9E6B-C459F2D3DF97}" name="Ref F      Touching 1-Phase Flat" dataDxfId="254"/>
    <tableColumn id="4" xr3:uid="{40A93E0F-E7DF-1F4B-BBC0-2F2290CCDEA1}" name="Ref F      Touching 3-Phase Flat" dataDxfId="253"/>
    <tableColumn id="5" xr3:uid="{CEAEA337-6735-3F40-8DB2-BD6F8E306460}" name="Ref F      Touching 3-Phase Trefoil" dataDxfId="252"/>
    <tableColumn id="6" xr3:uid="{32C0E437-860B-0B44-9E5A-C66261751BE3}" name="Ref F      Spaced   D.C.   Horizontal" dataDxfId="251"/>
    <tableColumn id="7" xr3:uid="{8FFCE900-B1AD-824F-91E1-4954148831BD}" name="Ref F      Spaced   D.C.   Vertical" dataDxfId="250"/>
    <tableColumn id="8" xr3:uid="{06CDE74A-BCE0-6C45-ACD4-6E3ACBE20753}" name="Ref F      Spaced     1-Phase   Horizontal" dataDxfId="249"/>
    <tableColumn id="9" xr3:uid="{46361111-7236-5F49-A66F-51C76D045135}" name="Ref F      Spaced   1-Phase   Vertical" dataDxfId="248"/>
    <tableColumn id="10" xr3:uid="{7A194A52-8EC6-ED4F-919D-420900969308}" name="Ref F      Spaced     3-Phase   Horizontal" dataDxfId="247"/>
    <tableColumn id="11" xr3:uid="{C56EA2DC-DCB1-6044-A111-5BCCB5D5133F}" name="Ref F      Spaced     3-Phase   Vertical" dataDxfId="246"/>
    <tableColumn id="12" xr3:uid="{57BD4B49-E112-8249-8596-53B8209ADEFE}" name="Cable Size" dataDxfId="245"/>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5454916-17F4-4542-9A7D-B1AD2C2C4AD9}" name="Table1351022" displayName="Table1351022" ref="B431:H442" totalsRowShown="0" headerRowDxfId="244" dataDxfId="243">
  <autoFilter ref="B431:H442" xr:uid="{00000000-0009-0000-0100-000015000000}"/>
  <tableColumns count="7">
    <tableColumn id="1" xr3:uid="{E437BF8C-5DA4-AB4F-8B17-0935A2B563FE}" name="Ref C      1-Phase" dataDxfId="242"/>
    <tableColumn id="2" xr3:uid="{E4550746-79B7-874F-890C-8BBA74D60D32}" name="Ref C     3-Phase" dataDxfId="241"/>
    <tableColumn id="3" xr3:uid="{80E819D3-282A-5F46-A290-834A000C7115}" name="Ref E      1-Phase" dataDxfId="240"/>
    <tableColumn id="4" xr3:uid="{FFC03573-1388-E64A-8E2D-B76A27A1F819}" name="Ref E      3-Phase" dataDxfId="239"/>
    <tableColumn id="5" xr3:uid="{D3E8E9A2-AEAA-014A-A600-0B7DE7E73584}" name="Ref D      1-Phase2" dataDxfId="238"/>
    <tableColumn id="6" xr3:uid="{FD8CBCC2-C2EE-524C-99B9-3D7D615E1CBA}" name="Ref D       3-Phase" dataDxfId="237"/>
    <tableColumn id="9" xr3:uid="{420EBFD7-5E6E-FD46-B24A-98EF9736E88D}" name="Cable Size" dataDxfId="236"/>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1AD856-A0DB-154B-89A7-F2E5BA47B268}" name="Table135111224" displayName="Table135111224" ref="B241:E248" totalsRowShown="0" headerRowDxfId="235" dataDxfId="234">
  <autoFilter ref="B241:E248" xr:uid="{00000000-0009-0000-0100-000016000000}"/>
  <tableColumns count="4">
    <tableColumn id="1" xr3:uid="{1BBE7E2E-5F58-9F4E-A904-8BACFEB0D12C}" name="1-Phase " dataDxfId="233"/>
    <tableColumn id="2" xr3:uid="{37354591-3C7E-464C-BA14-D775C105E3A3}" name="3-Phase" dataDxfId="232"/>
    <tableColumn id="3" xr3:uid="{CC938B2D-3DF8-4443-81BD-F548FEC5A192}" name="Mass Support" dataDxfId="231"/>
    <tableColumn id="9" xr3:uid="{E33CAB35-2C00-D448-924A-38978C9E6657}" name="Cable Size" dataDxfId="230"/>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3637DD3-78B0-984A-BAA8-AC6F90D417BD}" name="Table1325" displayName="Table1325" ref="U5:AC27" totalsRowShown="0" headerRowDxfId="229" dataDxfId="228">
  <autoFilter ref="U5:AC27" xr:uid="{00000000-0009-0000-0100-000017000000}"/>
  <tableColumns count="9">
    <tableColumn id="1" xr3:uid="{442775B6-B70A-364D-AFA6-5852AD544214}" name="Ref A      1-Phase" dataDxfId="227"/>
    <tableColumn id="2" xr3:uid="{701A09C9-7476-6046-B633-66291D7BF8C1}" name="Ref A      3-Phase" dataDxfId="226"/>
    <tableColumn id="3" xr3:uid="{483EDBDD-EDC7-F245-827A-1FE7919942C9}" name="Ref B      1-Phase" dataDxfId="225"/>
    <tableColumn id="4" xr3:uid="{6778384E-C5AA-E34A-8630-F1937A0E03A3}" name="Ref B      3-Phase" dataDxfId="224"/>
    <tableColumn id="5" xr3:uid="{6D3945F5-5A70-9C4F-8F75-EF734A292399}" name="Ref C      1-Phase" dataDxfId="223"/>
    <tableColumn id="6" xr3:uid="{6D09A362-74DC-0A45-8307-1D3A71F176C2}" name="Ref C       3-Phase" dataDxfId="222"/>
    <tableColumn id="7" xr3:uid="{1C66AF4D-BD57-7C40-BC70-74F2A490E70C}" name="Ref E      1-Phase" dataDxfId="221"/>
    <tableColumn id="8" xr3:uid="{AFDE039E-5C83-0B44-9039-846561275FE6}" name="Ref E       3-Phase" dataDxfId="220"/>
    <tableColumn id="9" xr3:uid="{43DA4CB7-3BAD-684F-9A1B-10462DF4256F}" name="Cable Size" dataDxfId="219"/>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0227268-CB0F-DB4D-8D60-043E6CE5275C}" name="Table1351125" displayName="Table1351125" ref="U32:X50" totalsRowShown="0" headerRowDxfId="218" dataDxfId="217">
  <autoFilter ref="U32:X50" xr:uid="{00000000-0009-0000-0100-000018000000}"/>
  <tableColumns count="4">
    <tableColumn id="1" xr3:uid="{71D2A83C-2BCB-B243-BD55-2ECFCF6ABE49}" name="1-Phase Two-core " dataDxfId="216"/>
    <tableColumn id="2" xr3:uid="{CB1B4D2C-17D8-D74F-90A3-B7EE84A5EA46}" name="3-Phase" dataDxfId="215"/>
    <tableColumn id="3" xr3:uid="{3161F2E9-016F-3449-A627-1F9AE60307C8}" name="1-Phase Single-core" dataDxfId="214"/>
    <tableColumn id="9" xr3:uid="{4D814E3F-CD96-7348-A939-FAA2AABFB37F}" name="Cable Size" dataDxfId="213"/>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A095F3E-A8BE-1F41-AB80-EE779DC0BCB0}" name="Table132526" displayName="Table132526" ref="U55:AA68" totalsRowShown="0" headerRowDxfId="212" dataDxfId="211">
  <autoFilter ref="U55:AA68" xr:uid="{00000000-0009-0000-0100-000019000000}"/>
  <tableColumns count="7">
    <tableColumn id="1" xr3:uid="{2CA16CE5-2329-E544-9B65-03DE2A0D06FC}" name="Ref A      1-Phase" dataDxfId="210"/>
    <tableColumn id="2" xr3:uid="{5D0F6663-5F90-6D43-A6FD-C2805030777A}" name="Ref A      3-Phase" dataDxfId="209"/>
    <tableColumn id="3" xr3:uid="{7898948B-8B28-474B-9F22-BD129275EDE4}" name="Ref B      1-Phase" dataDxfId="208"/>
    <tableColumn id="4" xr3:uid="{5C6F239B-6334-8048-B711-D02F5043A392}" name="Ref B      3-Phase" dataDxfId="207"/>
    <tableColumn id="5" xr3:uid="{4D7C5C12-A3B5-8A41-9B38-C147F9C58CDC}" name="Ref C      1-Phase" dataDxfId="206"/>
    <tableColumn id="6" xr3:uid="{412E0794-DFBE-3C4A-9CE8-ED3186893C96}" name="Ref C       3-Phase" dataDxfId="205"/>
    <tableColumn id="9" xr3:uid="{2862A2A8-8FC9-0841-918D-B758A69C5279}" name="Cable Size" dataDxfId="204"/>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A5B6CAA-370D-A64C-AB72-EEFE7CD56F9E}" name="Table135112527" displayName="Table135112527" ref="U73:X90" totalsRowShown="0" headerRowDxfId="203" dataDxfId="202">
  <autoFilter ref="U73:X90" xr:uid="{00000000-0009-0000-0100-00001A000000}"/>
  <tableColumns count="4">
    <tableColumn id="1" xr3:uid="{805BC523-2031-A747-B3C5-0CEF394607B7}" name="1-Phase Two-core " dataDxfId="201"/>
    <tableColumn id="2" xr3:uid="{C3C6DD1A-A36E-1D4B-BDAA-EB8E3466F724}" name="3-Phase" dataDxfId="200"/>
    <tableColumn id="3" xr3:uid="{76681962-D54C-E848-AA60-8150FED3638B}" name="1-Phase Single-core" dataDxfId="199"/>
    <tableColumn id="9" xr3:uid="{F0DAB1C6-85DF-8E4F-B416-F04412A55E1A}" name="Cable Size" dataDxfId="198"/>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B5C3B87-4309-3542-8357-2CB25FBCFB2C}" name="Table132528" displayName="Table132528" ref="U107:AC129" totalsRowShown="0" headerRowDxfId="197" dataDxfId="196">
  <autoFilter ref="U107:AC129" xr:uid="{00000000-0009-0000-0100-00001B000000}"/>
  <tableColumns count="9">
    <tableColumn id="1" xr3:uid="{CD264298-C41B-B94F-9D9A-C30E55A7F082}" name="Ref A      1-Phase" dataDxfId="195"/>
    <tableColumn id="2" xr3:uid="{7AB0986D-E76A-EB4A-90E7-EDFCD2575D10}" name="Ref A      3-Phase" dataDxfId="194"/>
    <tableColumn id="3" xr3:uid="{33E2B133-0463-8B48-9331-E62065EAFCB1}" name="Ref B      1-Phase" dataDxfId="193"/>
    <tableColumn id="4" xr3:uid="{1B68A3F2-A410-E147-8EA6-2722B0531A6A}" name="Ref B      3-Phase" dataDxfId="192"/>
    <tableColumn id="5" xr3:uid="{64FA6EEE-31D9-4043-B880-8EF1B001AA37}" name="Ref C      1-Phase" dataDxfId="191"/>
    <tableColumn id="6" xr3:uid="{7DC397DD-466B-0443-825A-EBDD19096741}" name="Ref C       3-Phase" dataDxfId="190"/>
    <tableColumn id="7" xr3:uid="{F9C00A81-A0BA-D44C-820C-ADD707FB27D7}" name="Ref E      1-Phase" dataDxfId="189"/>
    <tableColumn id="8" xr3:uid="{19A4B9BD-22AC-5B4B-BC98-65EAA8BD95B1}" name="Ref E       3-Phase" dataDxfId="188"/>
    <tableColumn id="9" xr3:uid="{EFE6A836-769B-3E46-849B-7878C4D3C557}" name="Cable Size" dataDxfId="187"/>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E388ED3-C3AD-7647-9E76-838A5A42213E}" name="Table135112529" displayName="Table135112529" ref="U134:X152" totalsRowShown="0" headerRowDxfId="186" dataDxfId="185">
  <autoFilter ref="U134:X152" xr:uid="{00000000-0009-0000-0100-00001C000000}"/>
  <tableColumns count="4">
    <tableColumn id="1" xr3:uid="{286CC2F4-10EB-714E-A1C7-C9126272023A}" name="1-Phase Two-core " dataDxfId="184"/>
    <tableColumn id="2" xr3:uid="{41A3CAFC-1BF6-9841-8427-46F42DA43E05}" name="3-Phase" dataDxfId="183"/>
    <tableColumn id="3" xr3:uid="{96190F94-65C1-404B-9A44-DB5DB4C5D48C}" name="1-Phase Single-core" dataDxfId="182"/>
    <tableColumn id="9" xr3:uid="{FF89EF52-3E74-8C47-B0DE-07DD29D8C413}" name="Cable Size" dataDxfId="181"/>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E483294-5A3B-BF48-B8A8-DA0ABF1DC36A}" name="Table13252630" displayName="Table13252630" ref="U157:AA170" totalsRowShown="0" headerRowDxfId="180" dataDxfId="179">
  <autoFilter ref="U157:AA170" xr:uid="{00000000-0009-0000-0100-00001D000000}"/>
  <tableColumns count="7">
    <tableColumn id="1" xr3:uid="{88244552-406E-0D41-8343-5F2F21AD93E3}" name="Ref A      1-Phase" dataDxfId="178"/>
    <tableColumn id="2" xr3:uid="{23B0923A-6016-6B4B-8EF4-0196414F8202}" name="Ref A      3-Phase" dataDxfId="177"/>
    <tableColumn id="3" xr3:uid="{26C803A5-56E0-FA4B-9105-93FD1117ABFC}" name="Ref B      1-Phase" dataDxfId="176"/>
    <tableColumn id="4" xr3:uid="{7C85C8DB-1FA5-C541-872D-112E685550A4}" name="Ref B      3-Phase" dataDxfId="175"/>
    <tableColumn id="5" xr3:uid="{E48B910A-D3E8-0340-94D6-F72A13DAD772}" name="Ref C      1-Phase" dataDxfId="174"/>
    <tableColumn id="6" xr3:uid="{6A92A41D-B5D0-9E46-ABD8-FDBE4C5BBB93}" name="Ref C       3-Phase" dataDxfId="173"/>
    <tableColumn id="9" xr3:uid="{ED47B4E4-8201-6B47-9CC9-40F8AB70EBC4}" name="Cable Size" dataDxfId="172"/>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4D35542-F5C7-A040-A576-AABB80448DCC}" name="Table13511252731" displayName="Table13511252731" ref="U175:X192" totalsRowShown="0" headerRowDxfId="171" dataDxfId="170">
  <autoFilter ref="U175:X192" xr:uid="{00000000-0009-0000-0100-00001E000000}"/>
  <tableColumns count="4">
    <tableColumn id="1" xr3:uid="{6C1DD6A4-51AB-B047-B3B6-EBDC7DB8CC3D}" name="1-Phase Two-core " dataDxfId="169"/>
    <tableColumn id="2" xr3:uid="{67A9DE25-6DDA-AA47-A614-908C221007A4}" name="3-Phase" dataDxfId="168"/>
    <tableColumn id="3" xr3:uid="{1E46A9AA-1975-2C43-B5F3-BE552E58B13C}" name="1-Phase Single-core" dataDxfId="167"/>
    <tableColumn id="9" xr3:uid="{6CC414B1-E2DE-4B48-9A1B-0A9143B4346A}" name="Cable Size" dataDxfId="166"/>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E83E226-158C-3342-824F-F5F311306584}" name="Table1325263032" displayName="Table1325263032" ref="U197:Z214" totalsRowShown="0" headerRowDxfId="165" dataDxfId="164">
  <autoFilter ref="U197:Z214" xr:uid="{00000000-0009-0000-0100-00001F000000}"/>
  <tableColumns count="6">
    <tableColumn id="1" xr3:uid="{6839D94C-0751-3049-8347-BFADF4A131C3}" name="Ref A      1-Phase" dataDxfId="163"/>
    <tableColumn id="2" xr3:uid="{851784FD-ED3E-0D40-959D-506271E178BF}" name="Ref A      3-Phase" dataDxfId="162"/>
    <tableColumn id="3" xr3:uid="{06CFB962-A74E-5343-8FCF-7168A62B582F}" name="Ref B      1-Phase" dataDxfId="161"/>
    <tableColumn id="4" xr3:uid="{E376AF64-DEF9-4D4D-A57E-CCA00E5B4F87}" name="Ref B      3-Phase" dataDxfId="160"/>
    <tableColumn id="5" xr3:uid="{24622E45-356F-EC4C-B4FF-E916E424FDA4}" name="Ref C      1-Phase" dataDxfId="159"/>
    <tableColumn id="9" xr3:uid="{1320BF40-CA67-FC4A-B637-B9701CE70F37}" name="Cable Size" dataDxfId="158"/>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62DF729-8EF9-084E-BC33-BEB43097A2D8}" name="Table132526303233" displayName="Table132526303233" ref="U219:Y236" totalsRowShown="0" headerRowDxfId="157" dataDxfId="156">
  <autoFilter ref="U219:Y236" xr:uid="{00000000-0009-0000-0100-000020000000}"/>
  <tableColumns count="5">
    <tableColumn id="1" xr3:uid="{D0AE4E37-EC70-2843-AFBC-461F77FB177A}" name="Ref A      1-Phase" dataDxfId="155"/>
    <tableColumn id="2" xr3:uid="{92008B8B-D102-D043-806A-8E05AA4E29CF}" name="Ref A      3-Phase" dataDxfId="154"/>
    <tableColumn id="3" xr3:uid="{B95C18D8-8E65-844A-9B77-CEACE0DBCAB2}" name="Ref B      1-Phase" dataDxfId="153"/>
    <tableColumn id="4" xr3:uid="{5F744D7F-AF21-2445-89DA-590DA395B762}" name="Ref B      3-Phase" dataDxfId="152"/>
    <tableColumn id="9" xr3:uid="{EB48D9DA-6EC7-594A-84F5-3AEC7125AC1B}" name="Cable Size" dataDxfId="151"/>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132DA25-B470-A040-BDF4-C434DCC3DDF3}" name="Table13252630323334" displayName="Table13252630323334" ref="U241:W248" totalsRowShown="0" headerRowDxfId="150" dataDxfId="149">
  <autoFilter ref="U241:W248" xr:uid="{00000000-0009-0000-0100-000021000000}"/>
  <tableColumns count="3">
    <tableColumn id="1" xr3:uid="{3F6A6880-AC94-3647-8A85-D5A203894DA8}" name="Ref A      1-Phase" dataDxfId="148"/>
    <tableColumn id="2" xr3:uid="{146399FF-4C07-544F-99B6-777CA87E38BD}" name="Ref A      3-Phase" dataDxfId="147"/>
    <tableColumn id="9" xr3:uid="{CA97158B-BD6D-2948-9C8C-E2D3606858B2}" name="Cable Size" dataDxfId="146"/>
  </tableColumns>
  <tableStyleInfo name="TableStyleLight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79C5BCE-1825-1244-8CD6-44A23CEAF7DC}" name="Table13252835" displayName="Table13252835" ref="U253:AA269" totalsRowShown="0" headerRowDxfId="145" dataDxfId="144">
  <autoFilter ref="U253:AA269" xr:uid="{00000000-0009-0000-0100-000022000000}"/>
  <tableColumns count="7">
    <tableColumn id="1" xr3:uid="{0DD43760-916D-E045-9276-784738D9CF46}" name="Ref A      1-Phase" dataDxfId="143"/>
    <tableColumn id="2" xr3:uid="{AE646303-8EDF-1C45-87A9-98BDCD8E4AD4}" name="Ref A      3-Phase" dataDxfId="142"/>
    <tableColumn id="3" xr3:uid="{8FC7715F-F33C-5C42-8CD2-408760852A4D}" name="Ref B      1-Phase" dataDxfId="141"/>
    <tableColumn id="4" xr3:uid="{E7500A6C-3A01-AF49-AECC-43CB9F4B3306}" name="Ref B      3-Phase" dataDxfId="140"/>
    <tableColumn id="5" xr3:uid="{8BF20898-863A-E043-87DE-A37F45BEFEF8}" name="Ref C      1-Phase" dataDxfId="139"/>
    <tableColumn id="6" xr3:uid="{978C7074-349D-DF4C-9AC8-BB23EFFEDCDF}" name="Ref C       3-Phase" dataDxfId="138"/>
    <tableColumn id="9" xr3:uid="{69D26A98-D975-F244-996F-40C60BBBC181}" name="Cable Size" dataDxfId="137"/>
  </tableColumns>
  <tableStyleInfo name="TableStyleLight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953602A3-2583-FF46-B874-E9CB522FB29E}" name="Table1325283536" displayName="Table1325283536" ref="U280:AA296" totalsRowShown="0" headerRowDxfId="136" dataDxfId="135">
  <autoFilter ref="U280:AA296" xr:uid="{00000000-0009-0000-0100-000023000000}"/>
  <tableColumns count="7">
    <tableColumn id="1" xr3:uid="{2A69F06F-33D6-C94F-AC05-47AF903FEF18}" name="Ref A      1-Phase" dataDxfId="134"/>
    <tableColumn id="2" xr3:uid="{781D8D34-40A6-734F-B968-7E38FCE5B2F1}" name="Ref A      3-Phase" dataDxfId="133"/>
    <tableColumn id="3" xr3:uid="{9594DB4F-A46C-5E42-A34A-64E30FF3A786}" name="Ref B      1-Phase" dataDxfId="132"/>
    <tableColumn id="4" xr3:uid="{EF91A6F7-9752-F546-9D4A-6C9B8280B50A}" name="Ref B      3-Phase" dataDxfId="131"/>
    <tableColumn id="5" xr3:uid="{41B000A5-F5F8-524B-B496-0ABF56257F4A}" name="Ref C      1-Phase" dataDxfId="130"/>
    <tableColumn id="6" xr3:uid="{97F2885B-DC71-DD4D-B680-FB44F6ADB184}" name="Ref C       3-Phase" dataDxfId="129"/>
    <tableColumn id="9" xr3:uid="{2167D0D9-A80C-1244-9C54-F05DC247BECF}" name="Cable Size" dataDxfId="128"/>
  </tableColumns>
  <tableStyleInfo name="TableStyleLight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B1547A1-B99E-B34C-8368-4140C89DA6DE}" name="Table132528353637" displayName="Table132528353637" ref="U307:AC321" totalsRowShown="0" headerRowDxfId="127" dataDxfId="126">
  <autoFilter ref="U307:AC321" xr:uid="{00000000-0009-0000-0100-000024000000}"/>
  <tableColumns count="9">
    <tableColumn id="1" xr3:uid="{6D1FC2C1-E26F-7240-88CA-54880799F5E6}" name="Ref A      1-Phase" dataDxfId="125"/>
    <tableColumn id="2" xr3:uid="{C5E743AF-51A2-CF46-AB33-5D297AA0ABB7}" name="Ref A      3-Phase" dataDxfId="124"/>
    <tableColumn id="3" xr3:uid="{DA0F157C-C0DA-594A-B7D6-7043EB9BABBC}" name="Ref B      1-Phase" dataDxfId="123"/>
    <tableColumn id="4" xr3:uid="{DD814B35-0B80-D942-A5FB-30C8EA7B039F}" name="Ref B      3-Phase" dataDxfId="122"/>
    <tableColumn id="5" xr3:uid="{907F9B0D-05CC-9145-8121-8066E2A7B815}" name="Ref C      1-Phase" dataDxfId="121"/>
    <tableColumn id="6" xr3:uid="{2FC8BD82-2CE4-D847-A84D-C6C89C98B5EE}" name="Ref C       3-Phase" dataDxfId="120"/>
    <tableColumn id="8" xr3:uid="{EE7E0B79-3899-8B46-BDFF-55EEB0C89132}" name="Column2" dataDxfId="119"/>
    <tableColumn id="7" xr3:uid="{86FC327A-BFB8-BE45-9FCA-18D5C2E1C8D3}" name="Column1" dataDxfId="118"/>
    <tableColumn id="9" xr3:uid="{55BA9153-8617-084D-8072-2BDEA873C11D}" name="Cable Size" dataDxfId="117"/>
  </tableColumns>
  <tableStyleInfo name="TableStyleLight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A08EFB7-D744-6347-9DFB-D1F048F01E50}" name="Table13252835363738" displayName="Table13252835363738" ref="U326:X337" totalsRowShown="0" headerRowDxfId="116" dataDxfId="115">
  <autoFilter ref="U326:X337" xr:uid="{00000000-0009-0000-0100-000025000000}"/>
  <tableColumns count="4">
    <tableColumn id="1" xr3:uid="{92AF1925-C073-CF43-BAFA-02B96BBF0E3B}" name="Ref A      1-Phase" dataDxfId="114"/>
    <tableColumn id="2" xr3:uid="{33F3EC0F-2239-AF49-8C0E-53D9E74F05E7}" name="Ref A      3-Phase" dataDxfId="113"/>
    <tableColumn id="3" xr3:uid="{A270D948-A4B7-544E-9B39-338285BA4DEA}" name="Ref B      1-Phase" dataDxfId="112"/>
    <tableColumn id="9" xr3:uid="{5682BCA9-139B-C041-B901-A3A1F27871C3}" name="Cable Size" dataDxfId="111"/>
  </tableColumns>
  <tableStyleInfo name="TableStyleLight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A55FBD2B-7601-9748-AD19-83DBFD639FD4}" name="Table13252835363739" displayName="Table13252835363739" ref="U342:AA356" totalsRowShown="0" headerRowDxfId="110" dataDxfId="109">
  <autoFilter ref="U342:AA356" xr:uid="{00000000-0009-0000-0100-000026000000}"/>
  <tableColumns count="7">
    <tableColumn id="1" xr3:uid="{6D7FCA58-8E88-7942-8439-0654AFC22F9D}" name="Ref A      1-Phase" dataDxfId="108"/>
    <tableColumn id="2" xr3:uid="{E633F24B-7E9D-CE46-8396-913DD0FA6B18}" name="Ref A      3-Phase" dataDxfId="107"/>
    <tableColumn id="3" xr3:uid="{0DF420AE-F8D0-804B-BBC4-BC57A86FC9F0}" name="Ref B      1-Phase" dataDxfId="106"/>
    <tableColumn id="4" xr3:uid="{08F2BE3C-B823-3441-BFEB-299C43E9BA5A}" name="Ref B      3-Phase" dataDxfId="105"/>
    <tableColumn id="5" xr3:uid="{62B98567-7764-BD4D-BBF3-B2E3EBF0BEF3}" name="Ref C      1-Phase" dataDxfId="104"/>
    <tableColumn id="6" xr3:uid="{AC653322-D67A-9E4A-810D-839C5DB1E19B}" name="Ref C       3-Phase" dataDxfId="103"/>
    <tableColumn id="9" xr3:uid="{0B7A9BE7-15CB-1B47-9F8D-2F1E7AB64222}" name="Cable Size" dataDxfId="102"/>
  </tableColumns>
  <tableStyleInfo name="TableStyleLight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8BDFD97-CC71-AE40-AF4D-A34B5326193B}" name="Table1325283536373840" displayName="Table1325283536373840" ref="U361:X372" totalsRowShown="0" headerRowDxfId="101" dataDxfId="100">
  <autoFilter ref="U361:X372" xr:uid="{00000000-0009-0000-0100-000027000000}"/>
  <tableColumns count="4">
    <tableColumn id="1" xr3:uid="{E5ACE972-8DD3-E94A-B3B8-0F5A5EBF1267}" name="Ref A      1-Phase" dataDxfId="99"/>
    <tableColumn id="2" xr3:uid="{58126E42-F2E2-3848-A3A7-CBA45806B710}" name="Ref A      3-Phase" dataDxfId="98"/>
    <tableColumn id="3" xr3:uid="{691C67C6-7643-BE47-91A0-834EE1BA4FE0}" name="Ref B      1-Phase" dataDxfId="97"/>
    <tableColumn id="9" xr3:uid="{56D2D4EA-A80B-C242-AC7E-941FBB3018BA}" name="Cable Size" dataDxfId="96"/>
  </tableColumns>
  <tableStyleInfo name="TableStyleLight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176F93A-755A-D14A-8787-B6270A7C5278}" name="Table13252835363741" displayName="Table13252835363741" ref="U377:AC391" totalsRowShown="0" headerRowDxfId="95" dataDxfId="94">
  <autoFilter ref="U377:AC391" xr:uid="{00000000-0009-0000-0100-000028000000}"/>
  <tableColumns count="9">
    <tableColumn id="1" xr3:uid="{B5684DD1-E7C0-EF44-82A1-E465985F4FBB}" name="Ref A      1-Phase" dataDxfId="93"/>
    <tableColumn id="2" xr3:uid="{121E355F-1833-6949-BE2E-A5AD75C4B758}" name="Ref A      3-Phase" dataDxfId="92"/>
    <tableColumn id="3" xr3:uid="{D56FA428-1D69-C341-803C-CE89E33068A3}" name="Ref B      1-Phase" dataDxfId="91"/>
    <tableColumn id="4" xr3:uid="{B8345CFE-8E8E-E048-9449-D169E9085655}" name="Ref B      3-Phase" dataDxfId="90"/>
    <tableColumn id="5" xr3:uid="{B82156BC-3301-AD46-AB3F-8E3CAD3853FC}" name="Ref C      1-Phase" dataDxfId="89"/>
    <tableColumn id="6" xr3:uid="{0D7E55C6-D73A-984C-A04B-79203A61716C}" name="Ref C       3-Phase" dataDxfId="88"/>
    <tableColumn id="8" xr3:uid="{593D1752-5218-814D-A3C3-73E984C4628D}" name="Column2" dataDxfId="87"/>
    <tableColumn id="7" xr3:uid="{0CE8ED9D-7D87-A44D-AB57-B8CD537D7961}" name="Column1" dataDxfId="86"/>
    <tableColumn id="9" xr3:uid="{93AE7876-D85B-6540-AD96-ADC7B2638190}" name="Cable Size" dataDxfId="85"/>
  </tableColumns>
  <tableStyleInfo name="TableStyleLight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8527E90-83B0-5B43-93E8-E79377BE81FF}" name="Table132528353637384042" displayName="Table132528353637384042" ref="U396:X407" totalsRowShown="0" headerRowDxfId="84" dataDxfId="83">
  <autoFilter ref="U396:X407" xr:uid="{00000000-0009-0000-0100-000029000000}"/>
  <tableColumns count="4">
    <tableColumn id="1" xr3:uid="{629A9060-7BF6-E649-A85B-7879D8CC91EF}" name="Ref A      1-Phase" dataDxfId="82"/>
    <tableColumn id="2" xr3:uid="{22EA7403-AE82-084D-AE1B-7030BC0C63A0}" name="Ref A      3-Phase" dataDxfId="81"/>
    <tableColumn id="3" xr3:uid="{9F692CC1-4F91-EB4F-B3AC-671C23BE0C57}" name="Ref B      1-Phase" dataDxfId="80"/>
    <tableColumn id="9" xr3:uid="{56DD2169-D436-F848-9B14-895D34C09720}" name="Cable Size" dataDxfId="79"/>
  </tableColumns>
  <tableStyleInfo name="TableStyleLight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C298B9C-BE88-F54C-BA83-C90A9AAFD1E5}" name="Table1325283536374143" displayName="Table1325283536374143" ref="U412:AA426" totalsRowShown="0" headerRowDxfId="78" dataDxfId="77">
  <autoFilter ref="U412:AA426" xr:uid="{00000000-0009-0000-0100-00002A000000}"/>
  <tableColumns count="7">
    <tableColumn id="1" xr3:uid="{B18BCCC7-99E1-B14A-BFAC-0B4E30E2DF09}" name="Ref A      1-Phase" dataDxfId="76"/>
    <tableColumn id="2" xr3:uid="{8DB24597-5557-2747-80A8-266E72BD06DC}" name="Ref A      3-Phase" dataDxfId="75"/>
    <tableColumn id="3" xr3:uid="{C4201E8C-64F7-9241-98F6-44242F9B5E75}" name="Ref B      1-Phase" dataDxfId="74"/>
    <tableColumn id="4" xr3:uid="{8D7D6662-BAB7-9A4C-87D8-B0BB6DED5601}" name="Ref B      3-Phase" dataDxfId="73"/>
    <tableColumn id="5" xr3:uid="{D9609F69-F8BE-814C-B86F-088619CF25DB}" name="Ref C      1-Phase" dataDxfId="72"/>
    <tableColumn id="6" xr3:uid="{0497F70E-F0E0-A242-BBE5-68723EDE715E}" name="Ref C       3-Phase" dataDxfId="71"/>
    <tableColumn id="9" xr3:uid="{32A5BEA2-DBCE-224B-8633-140795601F1B}" name="Cable Size" dataDxfId="70"/>
  </tableColumns>
  <tableStyleInfo name="TableStyleLight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4D3D689-7404-5D48-B5A6-8AF94539EDD3}" name="Table13252835363738404244" displayName="Table13252835363738404244" ref="U431:X442" totalsRowShown="0" headerRowDxfId="69" dataDxfId="68">
  <autoFilter ref="U431:X442" xr:uid="{00000000-0009-0000-0100-00002B000000}"/>
  <tableColumns count="4">
    <tableColumn id="1" xr3:uid="{3AC68602-9E1A-E345-85E3-B2412AD8C2B5}" name="Ref A      1-Phase" dataDxfId="67"/>
    <tableColumn id="2" xr3:uid="{6232D800-8E9A-2546-A8B1-A43611DF838E}" name="Ref A      3-Phase" dataDxfId="66"/>
    <tableColumn id="3" xr3:uid="{0F63577F-820A-454F-ADF6-5842A002AA70}" name="Ref B      1-Phase" dataDxfId="65"/>
    <tableColumn id="9" xr3:uid="{C4EE797C-3F84-9042-A0A4-DBDA345D0F8D}" name="Cable Size" dataDxfId="64"/>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shardico@yahoo.com" TargetMode="External"/><Relationship Id="rId13" Type="http://schemas.openxmlformats.org/officeDocument/2006/relationships/hyperlink" Target="mailto:abaane.sylvester@yahoo.com" TargetMode="External"/><Relationship Id="rId3" Type="http://schemas.openxmlformats.org/officeDocument/2006/relationships/hyperlink" Target="mailto:info@solarenablers.com" TargetMode="External"/><Relationship Id="rId7" Type="http://schemas.openxmlformats.org/officeDocument/2006/relationships/hyperlink" Target="mailto:melissa.boateng@solidaridadnetwork.org" TargetMode="External"/><Relationship Id="rId12" Type="http://schemas.openxmlformats.org/officeDocument/2006/relationships/hyperlink" Target="mailto:gabriel.amegbanu@gmail.com" TargetMode="External"/><Relationship Id="rId17" Type="http://schemas.openxmlformats.org/officeDocument/2006/relationships/hyperlink" Target="mailto:joyce.apotsi@bremenenergie.com" TargetMode="External"/><Relationship Id="rId2" Type="http://schemas.openxmlformats.org/officeDocument/2006/relationships/hyperlink" Target="mailto:enertripltd@gmail.com" TargetMode="External"/><Relationship Id="rId16" Type="http://schemas.openxmlformats.org/officeDocument/2006/relationships/hyperlink" Target="mailto:Sarkcuss@gmail.com" TargetMode="External"/><Relationship Id="rId1" Type="http://schemas.openxmlformats.org/officeDocument/2006/relationships/hyperlink" Target="mailto:dhutchful@gmail.com" TargetMode="External"/><Relationship Id="rId6" Type="http://schemas.openxmlformats.org/officeDocument/2006/relationships/hyperlink" Target="mailto:fiahagbeatsuemmanuel@gmail.com" TargetMode="External"/><Relationship Id="rId11" Type="http://schemas.openxmlformats.org/officeDocument/2006/relationships/hyperlink" Target="mailto:hadisu2@yahoo.com" TargetMode="External"/><Relationship Id="rId5" Type="http://schemas.openxmlformats.org/officeDocument/2006/relationships/hyperlink" Target="mailto:sabek2g@gmail.com" TargetMode="External"/><Relationship Id="rId15" Type="http://schemas.openxmlformats.org/officeDocument/2006/relationships/hyperlink" Target="mailto:rahimcrewe@gmail.com" TargetMode="External"/><Relationship Id="rId10" Type="http://schemas.openxmlformats.org/officeDocument/2006/relationships/hyperlink" Target="mailto:marcusadkam@gmail.com" TargetMode="External"/><Relationship Id="rId4" Type="http://schemas.openxmlformats.org/officeDocument/2006/relationships/hyperlink" Target="mailto:oklutimothy@yahoo.com" TargetMode="External"/><Relationship Id="rId9" Type="http://schemas.openxmlformats.org/officeDocument/2006/relationships/hyperlink" Target="mailto:theoadu@gmail.com" TargetMode="External"/><Relationship Id="rId14" Type="http://schemas.openxmlformats.org/officeDocument/2006/relationships/hyperlink" Target="mailto:bsdovie@gmai.co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29" Type="http://schemas.openxmlformats.org/officeDocument/2006/relationships/table" Target="../tables/table29.xml"/><Relationship Id="rId41" Type="http://schemas.openxmlformats.org/officeDocument/2006/relationships/table" Target="../tables/table41.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P1048576"/>
  <sheetViews>
    <sheetView showGridLines="0" zoomScale="75" zoomScaleNormal="140" workbookViewId="0">
      <pane xSplit="3" ySplit="5" topLeftCell="D6" activePane="bottomRight" state="frozen"/>
      <selection activeCell="O51" sqref="O51"/>
      <selection pane="topRight" activeCell="O51" sqref="O51"/>
      <selection pane="bottomLeft" activeCell="O51" sqref="O51"/>
      <selection pane="bottomRight" activeCell="O51" sqref="O51"/>
    </sheetView>
  </sheetViews>
  <sheetFormatPr baseColWidth="10" defaultColWidth="0" defaultRowHeight="16" customHeight="1" zeroHeight="1"/>
  <cols>
    <col min="1" max="1" width="10.83203125" style="108" customWidth="1"/>
    <col min="2" max="2" width="9.1640625" style="275" customWidth="1"/>
    <col min="3" max="3" width="100.1640625" style="108" bestFit="1" customWidth="1"/>
    <col min="4" max="6" width="16" style="229" customWidth="1"/>
    <col min="7" max="7" width="15.33203125" style="229" customWidth="1"/>
    <col min="8" max="8" width="16" style="229" customWidth="1"/>
    <col min="9" max="9" width="17.83203125" style="108" customWidth="1"/>
    <col min="10" max="10" width="22" style="108" customWidth="1"/>
    <col min="11" max="11" width="38.5" style="108" customWidth="1"/>
    <col min="12" max="12" width="10.5" style="108" customWidth="1"/>
    <col min="13" max="13" width="50.83203125" style="108" customWidth="1"/>
    <col min="14" max="14" width="8.6640625" style="108" customWidth="1"/>
    <col min="15" max="15" width="15.5" style="108" customWidth="1"/>
    <col min="16" max="29" width="9.1640625" style="108" customWidth="1"/>
    <col min="30" max="30" width="59.6640625" style="108" customWidth="1"/>
    <col min="31" max="32" width="33.6640625" style="108" customWidth="1"/>
    <col min="33" max="33" width="36" style="108" customWidth="1"/>
    <col min="34" max="34" width="27" style="108" customWidth="1"/>
    <col min="35" max="35" width="18" style="108" customWidth="1"/>
    <col min="36" max="36" width="26.83203125" style="108" customWidth="1"/>
    <col min="37" max="39" width="9.1640625" style="108" customWidth="1"/>
    <col min="40" max="40" width="13.6640625" style="108" customWidth="1"/>
    <col min="41" max="43" width="9.1640625" style="108" customWidth="1"/>
    <col min="44" max="44" width="14.5" style="108" customWidth="1"/>
    <col min="45" max="47" width="9.1640625" style="108" customWidth="1"/>
    <col min="48" max="50" width="9.1640625" style="108" customWidth="1" collapsed="1"/>
    <col min="51" max="51" width="20.1640625" style="108" customWidth="1" collapsed="1"/>
    <col min="52" max="52" width="16.6640625" style="108" customWidth="1" collapsed="1"/>
    <col min="53" max="63" width="9.1640625" style="108" customWidth="1" collapsed="1"/>
    <col min="64" max="64" width="9.1640625" style="108" customWidth="1"/>
    <col min="65" max="67" width="9.1640625" style="108" customWidth="1" collapsed="1"/>
    <col min="68" max="68" width="10.83203125" style="108" customWidth="1" collapsed="1"/>
    <col min="69" max="16384" width="0" style="108" hidden="1"/>
  </cols>
  <sheetData>
    <row r="1" spans="1:68">
      <c r="C1" s="229"/>
      <c r="J1" s="108" t="s">
        <v>801</v>
      </c>
      <c r="K1" s="230" t="s">
        <v>2714</v>
      </c>
      <c r="L1" s="318">
        <f ca="1">IF(NOW()&gt;INVOICE!V15,"",IF(AND('Customer Base'!D7&lt;&gt;"Grid-Tied",'Customer Base'!D7&lt;&gt;"Backup",SUM('Client List'!EE477:EE491)&lt;&gt;0),('Client List'!EE474*'Client List'!EC474),0)+IF(AND('Customer Base'!D7&lt;&gt;"Grid-Tied",'Customer Base'!D7&lt;&gt;"Backup",SUM('Client List'!EE477:EE491)&lt;&gt;0),('Client List'!IM474*'Client List'!IK474),0)+IF(AND('Customer Base'!D7&lt;&gt;"Grid-Tied",'Customer Base'!D7&lt;&gt;"Backup",AND(SUM('Client List'!EE477:EE491)=0,'Client List'!EC474&gt;0)),1,0)+IFERROR(L5,0))</f>
        <v>11</v>
      </c>
      <c r="M1" s="108" t="s">
        <v>2501</v>
      </c>
      <c r="N1" s="108">
        <f ca="1">IFERROR('Client List'!AC493,IF(AND('Customer Base'!D7&lt;&gt;"Backup",SUMPRODUCT(A6:A132,AP6:AP132)&gt;0),SUM(A242:A254)/L5,0))</f>
        <v>4</v>
      </c>
      <c r="AX1" s="230" t="s">
        <v>1218</v>
      </c>
      <c r="AY1" s="230" t="s">
        <v>2215</v>
      </c>
      <c r="AZ1" s="232" t="s">
        <v>2329</v>
      </c>
      <c r="BA1" s="108">
        <v>1</v>
      </c>
      <c r="BB1" s="108">
        <f>INDEX(AM6:AM284,MATCH(AZ1,AN6:AN284,0))</f>
        <v>3</v>
      </c>
      <c r="BC1" s="108" t="s">
        <v>1232</v>
      </c>
      <c r="BD1" s="108">
        <f>INDEX(AQ6:AQ284,MATCH(AZ1,AN6:AN284,0))</f>
        <v>48</v>
      </c>
      <c r="BE1" s="230" t="s">
        <v>2334</v>
      </c>
    </row>
    <row r="2" spans="1:68">
      <c r="A2" s="274" cm="1">
        <f t="array" aca="1" ref="A2" ca="1">INDEX(A6:A548,SMALL(IF(A6:A548&lt;&gt;"",ROW(A6:A548)-MIN(ROW(A6:A548))+1),2))</f>
        <v>12</v>
      </c>
      <c r="G2" s="108"/>
      <c r="I2" s="233"/>
      <c r="J2" s="108" t="s">
        <v>1175</v>
      </c>
      <c r="K2" s="108" t="s">
        <v>10</v>
      </c>
      <c r="L2" s="108">
        <v>600</v>
      </c>
      <c r="M2" s="108" t="s">
        <v>990</v>
      </c>
      <c r="N2" s="233"/>
      <c r="P2" s="108" t="str">
        <f>"Exchange Rate: USD 1 = GH₵ "&amp;INVOICE!O6</f>
        <v>Exchange Rate: USD 1 = GH₵ 16.7</v>
      </c>
      <c r="AX2" s="230"/>
      <c r="BB2" s="108">
        <f>INDEX(AM6:AM284,MATCH(AZ4,AN6:AN284,0))</f>
        <v>0.55500000000000005</v>
      </c>
      <c r="BC2" s="108" t="s">
        <v>2331</v>
      </c>
      <c r="BD2" s="108">
        <f>INDEX(AQ6:AQ284,MATCH(AZ4,AN6:AN284,0))</f>
        <v>49.72</v>
      </c>
      <c r="BE2" s="108" t="s">
        <v>2332</v>
      </c>
    </row>
    <row r="3" spans="1:68">
      <c r="C3" s="234" t="s">
        <v>798</v>
      </c>
      <c r="D3" s="234" t="s">
        <v>1283</v>
      </c>
      <c r="E3" s="234" t="s">
        <v>1284</v>
      </c>
      <c r="F3" s="234" t="s">
        <v>1066</v>
      </c>
      <c r="G3" s="235" t="s">
        <v>1065</v>
      </c>
      <c r="H3" s="234" t="s">
        <v>1067</v>
      </c>
      <c r="I3" s="109" t="s">
        <v>1068</v>
      </c>
      <c r="K3" s="108" t="s">
        <v>19</v>
      </c>
      <c r="L3" s="108">
        <v>35</v>
      </c>
      <c r="M3" s="108" t="s">
        <v>988</v>
      </c>
      <c r="AT3" s="108">
        <f>IF(SUM(AT6:AT13538)&gt;0,SUBTOTAL(109,(AT6:AT938)),"")</f>
        <v>2</v>
      </c>
      <c r="AU3" s="108">
        <f>IF(SUM(AU6:AU13538)&gt;0,SUBTOTAL(109,(AU6:AU938)),"")</f>
        <v>1</v>
      </c>
      <c r="AV3" s="108">
        <f>IF(SUM(AV6:AV13538)&gt;0,SUBTOTAL(109,(AV6:AV938)),"")</f>
        <v>3</v>
      </c>
      <c r="AX3" s="230" t="s">
        <v>2210</v>
      </c>
      <c r="AY3" s="230" t="s">
        <v>2228</v>
      </c>
      <c r="AZ3" s="232" t="s">
        <v>2311</v>
      </c>
      <c r="BA3" s="108">
        <v>1</v>
      </c>
      <c r="BB3" s="108">
        <f>INDEX(AM6:AM284,MATCH(AZ3,AN6:AN284,0))</f>
        <v>4.8</v>
      </c>
      <c r="BC3" s="108" t="s">
        <v>1233</v>
      </c>
      <c r="BD3" s="108">
        <f>IF(AND(BD1=12,BC4&lt;0.22,(BD2*ROUNDUP(BC4/BB2,0))&lt;75),75,IF(AND(BD1=12,BC4&lt;0.22,(BD2*ROUNDUP(BC4/BB2,0))/2&lt;75),75,IF(AND(BD1=24,BC4&lt;0.44,(BD2*ROUNDUP(BC4/BB2,0))&lt;75),75,IF(AND(BD1=24,BC4&lt;0.44,(BD2*ROUNDUP(BC4/BB2,0))/2&lt;75),75,IF(AND(BD1=12,BC4&lt;0.7,(BD2*ROUNDUP(BC4/BB2,0))&lt;100),100,IF(AND(BD1=12,BC4&lt;0.7,(BD2*ROUNDUP(BC4/BB2,0))/2&lt;100),100,IF(AND(BD1=24,BC4&lt;1.4,(BD2*ROUNDUP(BC4/BB2,0))&lt;100),100,IF(AND(BD1=24,BC4&lt;1.4,(BD2*ROUNDUP(BC4/BB2,0))/2&lt;100),100,IF(AND(BD1=48,BC4&lt;1.16,(BD2*ROUNDUP(BC4/BB2,0))&lt;100),100,IF(AND(BD1=48,BC4&lt;1.16,(BD2*ROUNDUP(BC4/BB2,0))/2&lt;100),100,IF(AND(BD1=12,BC4&lt;1.45,(BD2*ROUNDUP(BC4/BB2,0))&lt;150),150,IF(AND(BD1=12,BC4&lt;1.45,(BD2*ROUNDUP(BC4/BB2,0))/2&lt;150),150,IF(AND(BD1=24,BC4&lt;4.35,(BD2*ROUNDUP(BC4/BB2,0))&lt;150),150,IF(AND(BD1=24,BC4&lt;4.35,(BD2*ROUNDUP(BC4/BB2,0))/2&lt;150),150,IF(AND(BD1=48,BC4&lt;5.8,(BD2*ROUNDUP(BC4/BB2,0))&lt;150),150,IF(AND(BD1=48,BC4&lt;5.8,(BD2*ROUNDUP(BC4/BB2,0))/2&lt;150),150))))))))))))))))</f>
        <v>150</v>
      </c>
      <c r="BE3" s="108" t="s">
        <v>2333</v>
      </c>
      <c r="BF3" s="108">
        <f>IF(AND(BD1=12,BB4&lt;0.22),75,IF(AND(BD1=24,BB4&lt;0.44),75,IF(AND(BD1=12,BB4&lt;0.7),100,IF(AND(BD1=24,BB4&lt;1.4),100,IF(AND(BD1=48,BB4&lt;1.16),100,IF(AND(BD1=12,BB4&lt;1.45),150,IF(AND(BD1=24,BB4&lt;4.35),150,IF(AND(BD1=48,BB4&lt;5.8),150,IF(BB4&gt;=5.8,IF(ROUNDUP(MOD(BB4,5.8)/BB2,0)&gt;0,150))))))))))</f>
        <v>100</v>
      </c>
      <c r="BG3" s="108" t="str">
        <f>IF(BG4=0,"",IF(AND(BD1=12,BG4&lt;0.22),75,IF(AND(BD1=24,BG4&lt;0.44),75,IF(AND(BD1=12,BG4&lt;0.7),100,IF(AND(BD1=24,BG4&lt;1.4),100,IF(AND(BD1=48,BG4&lt;1.16),100,IF(AND(BD1=12,BG4&lt;1.45),150,IF(AND(BD1=24,BG4&lt;4.35),150,IF(AND(BD1=48,BG4&lt;5.8),150)))))))))</f>
        <v/>
      </c>
      <c r="BI3" s="108">
        <f>ROUNDDOWN(BI4/(ROUNDDOWN(BF3/BD2,0)),0)</f>
        <v>3</v>
      </c>
      <c r="BJ3" s="108">
        <f>(ROUNDDOWN(BF3/BD2,0))</f>
        <v>2</v>
      </c>
    </row>
    <row r="4" spans="1:68">
      <c r="C4" s="234"/>
      <c r="D4" s="234"/>
      <c r="E4" s="234"/>
      <c r="F4" s="234"/>
      <c r="G4" s="235"/>
      <c r="H4" s="234"/>
      <c r="I4" s="109"/>
      <c r="K4" s="108" t="s">
        <v>799</v>
      </c>
      <c r="L4" s="108">
        <v>10</v>
      </c>
      <c r="M4" s="108" t="s">
        <v>987</v>
      </c>
      <c r="AX4" s="230" t="s">
        <v>1901</v>
      </c>
      <c r="AY4" s="230" t="s">
        <v>2314</v>
      </c>
      <c r="AZ4" s="108" t="s">
        <v>2319</v>
      </c>
      <c r="BA4" s="108">
        <f>IF(AND(ROUNDUP(BC4/BB2,0)*BD2&gt;BD3,AND(MOD(ROUNDUP(BC4/BB2,0),3)&lt;&gt;0,MOD(ROUNDUP(BC4/BB2,0),2)&lt;&gt;0)),EVEN(ROUNDUP(BC4/BB2,0)),ROUNDUP(BC4/BB2,0))</f>
        <v>6</v>
      </c>
      <c r="BB4" s="108">
        <f>SUMPRODUCT(AV242:AV254,AM242:AM254)*0.8</f>
        <v>0</v>
      </c>
      <c r="BC4" s="108">
        <f>(BA1*(0.5*BB1/0.8))+(BA3*(BB3/0.8/5))</f>
        <v>3.0749999999999997</v>
      </c>
      <c r="BD4" s="108">
        <f>ROUNDUP(BC4/BB2,0)</f>
        <v>6</v>
      </c>
      <c r="BG4" s="108">
        <f>(BA4-BJ4)*BB2</f>
        <v>0</v>
      </c>
      <c r="BH4" s="108">
        <f>ROUNDUP(MOD(BB4,5.8)/BB2,0)</f>
        <v>0</v>
      </c>
      <c r="BI4" s="108">
        <f>BA4-BH4</f>
        <v>6</v>
      </c>
      <c r="BJ4" s="108">
        <f>ROUNDDOWN(BI4/(ROUNDDOWN(BF3/BD2,0)),0)*(ROUNDDOWN(BF3/BD2,0))</f>
        <v>6</v>
      </c>
      <c r="BK4" s="108">
        <f>BA4-BJ4</f>
        <v>0</v>
      </c>
      <c r="BL4" s="236">
        <f>INVOICE!$O$10*1000*0.8/$BO$4</f>
        <v>15.586206896551721</v>
      </c>
      <c r="BM4" s="108">
        <f>MOD(INVOICE!$O$10*1000*0.8,$BO4)</f>
        <v>679.99999999999636</v>
      </c>
      <c r="BN4" s="108">
        <v>20</v>
      </c>
      <c r="BO4" s="108">
        <v>1160</v>
      </c>
      <c r="BP4" s="236"/>
    </row>
    <row r="5" spans="1:68">
      <c r="C5" s="237" t="s">
        <v>1898</v>
      </c>
      <c r="D5" s="238"/>
      <c r="E5" s="238"/>
      <c r="F5" s="238"/>
      <c r="G5" s="239"/>
      <c r="H5" s="238"/>
      <c r="I5" s="240"/>
      <c r="K5" s="230" t="s">
        <v>2713</v>
      </c>
      <c r="L5" s="261" t="e">
        <f>IF('Customer Base'!D7&lt;&gt;"Mini-Grid",ROUNDUP(SUM(A242:A254)*(SUMPRODUCT(A242:A254,AQ242:AQ254)/SUM(A242:A254))/(SUMPRODUCT(A6:A132,AP6:AP132)/'Customer Base'!D15),0),IF('Customer Base'!D7="Mini-Grid",ROUNDUP(ROUNDDOWN(PRODUCT('Customer Base'!F14:F15,1000/0.8)/'Customer Base'!D26,0)*(SUMPRODUCT(A242:A254,AQ242:AQ254)/SUM(A242:A254))/(SUMPRODUCT(A6:A132,AP6:AP132)/'Customer Base'!F15),0),0))</f>
        <v>#DIV/0!</v>
      </c>
      <c r="M5" s="241"/>
      <c r="N5" s="108" t="s">
        <v>800</v>
      </c>
      <c r="O5" s="108" t="str">
        <f>IF(INVOICE!$N$16="MANUAL",IF(B5&lt;&gt;"",C5,""),IF(INVOICE!$N$16="AUTOMATE",IF(A5&lt;&gt;"",C5,""),""))</f>
        <v/>
      </c>
      <c r="P5" s="108" t="s">
        <v>12</v>
      </c>
      <c r="Q5" s="108" t="s">
        <v>1198</v>
      </c>
      <c r="R5" s="108" t="s">
        <v>1199</v>
      </c>
      <c r="S5" s="108" t="s">
        <v>1200</v>
      </c>
      <c r="T5" s="108" t="s">
        <v>1205</v>
      </c>
      <c r="U5" s="108" t="s">
        <v>1210</v>
      </c>
      <c r="AR5" s="108" t="s">
        <v>2218</v>
      </c>
      <c r="AS5" s="108" t="s">
        <v>2212</v>
      </c>
      <c r="AT5" s="108" t="s">
        <v>2203</v>
      </c>
      <c r="AU5" s="108" t="s">
        <v>2204</v>
      </c>
      <c r="AZ5" s="231" t="s">
        <v>2326</v>
      </c>
      <c r="BA5" s="230" t="s">
        <v>1218</v>
      </c>
      <c r="BB5" s="230" t="s">
        <v>2213</v>
      </c>
      <c r="BC5" s="108" t="s">
        <v>2226</v>
      </c>
      <c r="BD5" s="108" t="s">
        <v>1219</v>
      </c>
      <c r="BE5" s="108" t="s">
        <v>2325</v>
      </c>
      <c r="BL5" s="236">
        <f>INVOICE!$O$10*1000*0.8/$BO$5</f>
        <v>9.0399999999999974</v>
      </c>
      <c r="BM5" s="108">
        <f>MOD(INVOICE!$O$10*1000*0.8,$BO5)</f>
        <v>79.999999999996362</v>
      </c>
      <c r="BN5" s="108">
        <v>35</v>
      </c>
      <c r="BO5" s="108">
        <v>2000</v>
      </c>
      <c r="BP5" s="236"/>
    </row>
    <row r="6" spans="1:68">
      <c r="A6" s="108" t="str">
        <f>IF(AND('Customer Base'!D$8=12,'Customer Base'!D$13="Victron",'Customer Base'!E$13="Phoenix",'Customer Base'!D$14&gt;0,'Customer Base'!D$14&lt;=0.25),'Customer Base'!D$15,IF(AND('Customer Base'!D$7="Mini-Grid",'Customer Base'!D$8=12,'Customer Base'!F$13="Victron",'Customer Base'!F$14&gt;0,'Customer Base'!F$14&lt;=0.25),'Customer Base'!F$15,""))</f>
        <v/>
      </c>
      <c r="C6" s="242" t="s">
        <v>1110</v>
      </c>
      <c r="D6" s="272">
        <v>97.52</v>
      </c>
      <c r="E6" s="272">
        <v>91.853999999999999</v>
      </c>
      <c r="F6" s="243">
        <f t="shared" ref="F6:F20" si="0">$D6/1.219</f>
        <v>79.999999999999986</v>
      </c>
      <c r="G6" s="243">
        <f>IFERROR(ROUNDUP(F6*INVOICE!$O$6,2),0)</f>
        <v>1336</v>
      </c>
      <c r="H6" s="243">
        <f t="shared" ref="H6:H20" si="1">$E6/1.219</f>
        <v>75.351927809680063</v>
      </c>
      <c r="I6" s="243">
        <f>IFERROR(ROUNDUP(H6*INVOICE!$O$6,2),0)</f>
        <v>1258.3799999999999</v>
      </c>
      <c r="J6" s="108">
        <f>ROUNDUP((M6/$L$4)*$L$3*3,-1)</f>
        <v>320</v>
      </c>
      <c r="K6" s="108" t="s">
        <v>957</v>
      </c>
      <c r="L6" s="229">
        <f>J6/INVOICE!$O$6</f>
        <v>19.161676646706589</v>
      </c>
      <c r="M6" s="108">
        <v>30</v>
      </c>
      <c r="N6" s="108">
        <v>1</v>
      </c>
      <c r="O6" s="108" t="str">
        <f>IF(INVOICE!$N$16="MANUAL",IF(B6&lt;&gt;"",C6,""),IF(INVOICE!$N$16="AUTOMATE",IF(A6&lt;&gt;"",C6,""),""))</f>
        <v/>
      </c>
      <c r="P6" s="108" t="str">
        <f>"TURNKEY SUPPLY AND INSTALLATION OF "&amp;INVOICE!O58&amp;"KWP GRID-CONNECTED SOLAR SYSTEM"</f>
        <v>TURNKEY SUPPLY AND INSTALLATION OF KWP GRID-CONNECTED SOLAR SYSTEM</v>
      </c>
      <c r="Q6" s="108" t="s">
        <v>1201</v>
      </c>
      <c r="R6" s="108" t="s">
        <v>1203</v>
      </c>
      <c r="S6" s="108" t="s">
        <v>1485</v>
      </c>
      <c r="T6" s="108" t="s">
        <v>1206</v>
      </c>
      <c r="U6" s="108" t="s">
        <v>1211</v>
      </c>
      <c r="W6" s="108" t="s">
        <v>1466</v>
      </c>
      <c r="AD6" s="108" t="s">
        <v>1423</v>
      </c>
      <c r="AM6" s="244">
        <v>0.25</v>
      </c>
      <c r="AN6" s="244" t="s">
        <v>2234</v>
      </c>
      <c r="AO6" s="108" t="str">
        <f>IF(INVOICE!$N$16="MANUAL",IFERROR(AM6*B6,""),IF(INVOICE!$N$16="AUTOMATE",IFERROR(AM6*A6,""),""))</f>
        <v/>
      </c>
      <c r="AQ6" s="108">
        <v>12</v>
      </c>
      <c r="AR6" s="108" t="s">
        <v>2211</v>
      </c>
      <c r="AS6" s="108">
        <v>1</v>
      </c>
      <c r="AT6" s="108" t="str">
        <f>IF(AND(AR6=$AY$1,$AZ$1=AN6),BA$1,"")</f>
        <v/>
      </c>
      <c r="AV6" s="108" t="str">
        <f>IF(AU6&lt;&gt;"",AU6,AT6)</f>
        <v/>
      </c>
      <c r="AX6" s="108">
        <f>IF(SUMPRODUCT(AS6:AS195,AV6:AV195)&gt;=3,3,1)</f>
        <v>1</v>
      </c>
      <c r="AZ6" s="245" t="str" cm="1">
        <f t="array" ref="AZ6">INDEX(AR$6:AR$132,MATCH(0,COUNTIF($AZ$5:AZ5,AR$6:AR$132),0))</f>
        <v>Phoenix</v>
      </c>
      <c r="BA6" s="108" cm="1">
        <f t="array" ref="BA6">INDEX(AM$6:AM$161,MATCH(0,COUNTIF($BA$5:BA5,AM$6:AM$161),0))</f>
        <v>0.25</v>
      </c>
      <c r="BB6" s="108" cm="1">
        <f t="array" ref="BB6">INDEX(AQ$6:AQ$161,MATCH(0,COUNTIF($BB$5:BB5,AQ$6:AQ$161),0))</f>
        <v>12</v>
      </c>
      <c r="BC6" s="108" t="str" cm="1">
        <f t="array" ref="BC6">INDEX(AR$205:AR$236,MATCH(0,COUNTIF($BC$5:BC5,AR$205:AR$236),0))</f>
        <v>BYD_Lithium</v>
      </c>
      <c r="BE6" s="108" t="str" cm="1">
        <f t="array" ref="BE6">INDEX(AR$242:AR$254,MATCH(0,COUNTIF($BE$5:BE5,AR$242:AR$254),0))</f>
        <v>BYD_Solar_Panel</v>
      </c>
      <c r="BL6" s="236">
        <f>INVOICE!$O$10*1000*0.8/$BO$6</f>
        <v>6.9538461538461522</v>
      </c>
      <c r="BM6" s="108">
        <f>MOD(INVOICE!$O$10*1000*0.8,$BO6)</f>
        <v>2479.9999999999964</v>
      </c>
      <c r="BN6" s="108">
        <v>45</v>
      </c>
      <c r="BO6" s="108">
        <v>2600</v>
      </c>
    </row>
    <row r="7" spans="1:68">
      <c r="A7" s="108" t="str">
        <f>IF(AND('Customer Base'!D$8=12,'Customer Base'!D$13="Victron",'Customer Base'!E$13="Phoenix",'Customer Base'!D$14&gt;0.25,'Customer Base'!D$14&lt;=0.375),'Customer Base'!D$15,IF(AND('Customer Base'!D$7="Mini-Grid",'Customer Base'!D$8=12,'Customer Base'!F$13="Victron",'Customer Base'!F$14&gt;0.25,'Customer Base'!F$14&lt;=0.375),'Customer Base'!F$15,""))</f>
        <v/>
      </c>
      <c r="C7" s="242" t="s">
        <v>1111</v>
      </c>
      <c r="D7" s="272">
        <v>126.42</v>
      </c>
      <c r="E7" s="272">
        <v>119.07</v>
      </c>
      <c r="F7" s="243">
        <f t="shared" si="0"/>
        <v>103.70795734208367</v>
      </c>
      <c r="G7" s="243">
        <f>IFERROR(ROUNDUP(F7*INVOICE!$O$6,2),0)</f>
        <v>1731.93</v>
      </c>
      <c r="H7" s="243">
        <f t="shared" si="1"/>
        <v>97.678424938474151</v>
      </c>
      <c r="I7" s="243">
        <f>IFERROR(ROUNDUP(H7*INVOICE!$O$6,2),0)</f>
        <v>1631.23</v>
      </c>
      <c r="J7" s="108">
        <f>ROUNDUP((M7/$L$4)*$L$3*3,-1)</f>
        <v>320</v>
      </c>
      <c r="K7" s="108" t="s">
        <v>217</v>
      </c>
      <c r="L7" s="229">
        <f>J7/INVOICE!$O$6</f>
        <v>19.161676646706589</v>
      </c>
      <c r="M7" s="108">
        <v>30</v>
      </c>
      <c r="N7" s="108">
        <v>2</v>
      </c>
      <c r="O7" s="108" t="str">
        <f>IF(INVOICE!$N$16="MANUAL",IF(B7&lt;&gt;"",C7,""),IF(INVOICE!$N$16="AUTOMATE",IF(A7&lt;&gt;"",C7,""),""))</f>
        <v/>
      </c>
      <c r="P7" s="108" t="s">
        <v>1187</v>
      </c>
      <c r="Q7" s="108" t="s">
        <v>1202</v>
      </c>
      <c r="R7" s="108" t="s">
        <v>1204</v>
      </c>
      <c r="S7" s="108" t="s">
        <v>1215</v>
      </c>
      <c r="T7" s="108" t="s">
        <v>1207</v>
      </c>
      <c r="U7" s="108" t="s">
        <v>1214</v>
      </c>
      <c r="W7" s="108" t="s">
        <v>1467</v>
      </c>
      <c r="AD7" s="109" t="s">
        <v>1425</v>
      </c>
      <c r="AE7" s="109" t="s">
        <v>1426</v>
      </c>
      <c r="AF7" s="109" t="s">
        <v>1427</v>
      </c>
      <c r="AG7" s="109" t="s">
        <v>1424</v>
      </c>
      <c r="AH7" s="109"/>
      <c r="AI7" s="109"/>
      <c r="AJ7" s="109" t="s">
        <v>1428</v>
      </c>
      <c r="AM7" s="244">
        <v>0.375</v>
      </c>
      <c r="AN7" s="244" t="s">
        <v>2235</v>
      </c>
      <c r="AO7" s="108" t="str">
        <f>IF(INVOICE!$N$16="MANUAL",IFERROR(AM7*B7,""),IF(INVOICE!$N$16="AUTOMATE",IFERROR(AM7*A7,""),""))</f>
        <v/>
      </c>
      <c r="AQ7" s="108">
        <v>12</v>
      </c>
      <c r="AR7" s="108" t="s">
        <v>2211</v>
      </c>
      <c r="AS7" s="108">
        <v>1</v>
      </c>
      <c r="AT7" s="108" t="str">
        <f t="shared" ref="AT7:AT42" si="2">IF(AND(AR7=$AY$1,$AZ$1=AN7),BA$1,"")</f>
        <v/>
      </c>
      <c r="AU7" s="108">
        <v>1</v>
      </c>
      <c r="AV7" s="108">
        <f t="shared" ref="AV7:AV39" si="3">IF(AU7&lt;&gt;"",AU7,AT7)</f>
        <v>1</v>
      </c>
      <c r="AZ7" s="245" cm="1">
        <f t="array" ref="AZ7">INDEX(AR$6:AR$132,MATCH(0,COUNTIF($AZ$5:AZ6,AR$6:AR$132),0))</f>
        <v>0</v>
      </c>
      <c r="BA7" s="108" cm="1">
        <f t="array" ref="BA7">INDEX(AM$6:AM$161,MATCH(0,COUNTIF($BA$5:BA6,AM$6:AM$161),0))</f>
        <v>0.375</v>
      </c>
      <c r="BB7" s="108" cm="1">
        <f t="array" ref="BB7">INDEX(AQ$6:AQ$161,MATCH(0,COUNTIF($BB$5:BB6,AQ$6:AQ$161),0))</f>
        <v>24</v>
      </c>
      <c r="BC7" s="108" cm="1">
        <f t="array" ref="BC7">INDEX(AR$205:AR$236,MATCH(0,COUNTIF($BC$5:BC6,AR$205:AR$236),0))</f>
        <v>0</v>
      </c>
      <c r="BD7" s="108" cm="1">
        <f t="array" ref="BD7">INDEX(AM$205:AM$236,MATCH(0,COUNTIF($BD$5:BD5,AM$205:AM$236),0))</f>
        <v>4</v>
      </c>
      <c r="BE7" s="108" cm="1">
        <f t="array" ref="BE7">INDEX(AR$242:AR$254,MATCH(0,COUNTIF($BE$5:BE6,AR$242:AR$254),0))</f>
        <v>0</v>
      </c>
      <c r="BL7" s="236">
        <f>INVOICE!$O$10*1000*0.8/$BO$7</f>
        <v>5.2558139534883708</v>
      </c>
      <c r="BM7" s="108">
        <f>MOD(INVOICE!$O$10*1000*0.8,$BO7)</f>
        <v>879.99999999999636</v>
      </c>
      <c r="BN7" s="108">
        <v>60</v>
      </c>
      <c r="BO7" s="108">
        <v>3440</v>
      </c>
    </row>
    <row r="8" spans="1:68">
      <c r="A8" s="108" t="str">
        <f>IF(AND('Customer Base'!D$8=12,'Customer Base'!D$13="Victron",'Customer Base'!E$13="Phoenix",'Customer Base'!D$14&gt;0.375,'Customer Base'!D$14&lt;=0.5),'Customer Base'!D$15,IF(AND('Customer Base'!D$7="Mini-Grid",'Customer Base'!D$8=12,'Customer Base'!F$13="Victron",'Customer Base'!F$14&gt;0.375,'Customer Base'!F$14&lt;=0.5),'Customer Base'!F$15,""))</f>
        <v/>
      </c>
      <c r="C8" s="242" t="s">
        <v>1112</v>
      </c>
      <c r="D8" s="272">
        <v>158.03</v>
      </c>
      <c r="E8" s="272">
        <v>148.846</v>
      </c>
      <c r="F8" s="243">
        <f t="shared" si="0"/>
        <v>129.63904840032814</v>
      </c>
      <c r="G8" s="243">
        <f>IFERROR(ROUNDUP(F8*INVOICE!$O$6,2),0)</f>
        <v>2164.98</v>
      </c>
      <c r="H8" s="243">
        <f t="shared" si="1"/>
        <v>122.10500410172271</v>
      </c>
      <c r="I8" s="243">
        <f>IFERROR(ROUNDUP(H8*INVOICE!$O$6,2),0)</f>
        <v>2039.16</v>
      </c>
      <c r="J8" s="108">
        <f t="shared" ref="J8:J37" si="4">ROUNDUP((M8/$L$4)*$L$3*3,-1)</f>
        <v>320</v>
      </c>
      <c r="K8" s="108" t="s">
        <v>36</v>
      </c>
      <c r="L8" s="229">
        <f>J8/INVOICE!$O$6</f>
        <v>19.161676646706589</v>
      </c>
      <c r="M8" s="108">
        <v>30</v>
      </c>
      <c r="N8" s="108">
        <v>3</v>
      </c>
      <c r="O8" s="108" t="str">
        <f>IF(INVOICE!$N$16="MANUAL",IF(B8&lt;&gt;"",C8,""),IF(INVOICE!$N$16="AUTOMATE",IF(A8&lt;&gt;"",C8,""),""))</f>
        <v/>
      </c>
      <c r="P8" s="108" t="s">
        <v>1653</v>
      </c>
      <c r="Q8" s="108" t="s">
        <v>1539</v>
      </c>
      <c r="S8" s="108" t="s">
        <v>1216</v>
      </c>
      <c r="T8" s="108" t="s">
        <v>1208</v>
      </c>
      <c r="U8" s="108" t="s">
        <v>1212</v>
      </c>
      <c r="AD8" s="108" t="s">
        <v>1442</v>
      </c>
      <c r="AE8" s="108" t="s">
        <v>1430</v>
      </c>
      <c r="AF8" s="108" t="s">
        <v>1441</v>
      </c>
      <c r="AG8" s="108" t="s">
        <v>1420</v>
      </c>
      <c r="AH8" s="108" t="s">
        <v>1443</v>
      </c>
      <c r="AI8" s="108" t="s">
        <v>1444</v>
      </c>
      <c r="AJ8" s="108" t="s">
        <v>1460</v>
      </c>
      <c r="AM8" s="244">
        <v>0.5</v>
      </c>
      <c r="AN8" s="244" t="s">
        <v>2236</v>
      </c>
      <c r="AO8" s="108" t="str">
        <f>IF(INVOICE!$N$16="MANUAL",IFERROR(AM8*B8,""),IF(INVOICE!$N$16="AUTOMATE",IFERROR(AM8*A8,""),""))</f>
        <v/>
      </c>
      <c r="AQ8" s="108">
        <v>12</v>
      </c>
      <c r="AR8" s="108" t="s">
        <v>2211</v>
      </c>
      <c r="AS8" s="108">
        <v>1</v>
      </c>
      <c r="AT8" s="108" t="str">
        <f t="shared" si="2"/>
        <v/>
      </c>
      <c r="AV8" s="108" t="str">
        <f t="shared" si="3"/>
        <v/>
      </c>
      <c r="AZ8" s="245" t="str" cm="1">
        <f t="array" ref="AZ8">INDEX(AR$6:AR$132,MATCH(0,COUNTIF($AZ$5:AZ7,AR$6:AR$132),0))</f>
        <v>Multiplus</v>
      </c>
      <c r="BA8" s="108" cm="1">
        <f t="array" ref="BA8">INDEX(AM$6:AM$161,MATCH(0,COUNTIF($BA$5:BA7,AM$6:AM$161),0))</f>
        <v>0.5</v>
      </c>
      <c r="BB8" s="108" cm="1">
        <f t="array" ref="BB8">INDEX(AQ$6:AQ$161,MATCH(0,COUNTIF($BB$5:BB7,AQ$6:AQ$161),0))</f>
        <v>48</v>
      </c>
      <c r="BC8" s="108" t="str" cm="1">
        <f t="array" ref="BC8">INDEX(AR$205:AR$236,MATCH(0,COUNTIF($BC$5:BC7,AR$205:AR$236),0))</f>
        <v>Jinko_Lithium</v>
      </c>
      <c r="BD8" s="108" cm="1">
        <f t="array" ref="BD8">INDEX(AM$205:AM$236,MATCH(0,COUNTIF($BD$5:BD7,AM$205:AM$236),0))</f>
        <v>5</v>
      </c>
      <c r="BE8" s="108" t="str" cm="1">
        <f t="array" ref="BE8">INDEX(AR$242:AR$254,MATCH(0,COUNTIF($BE$5:BE7,AR$242:AR$254),0))</f>
        <v>Jinko_Solar_Panel</v>
      </c>
      <c r="BL8" s="236">
        <f>INVOICE!$O$10*1000*0.8/$BO$8</f>
        <v>4.5199999999999987</v>
      </c>
      <c r="BM8" s="108">
        <f>MOD(INVOICE!$O$10*1000*0.8,$BO8)</f>
        <v>2079.9999999999964</v>
      </c>
      <c r="BN8" s="108">
        <v>70</v>
      </c>
      <c r="BO8" s="108">
        <v>4000</v>
      </c>
    </row>
    <row r="9" spans="1:68">
      <c r="A9" s="108" t="str">
        <f>IF(AND('Customer Base'!D$8=12,'Customer Base'!D$13="Victron",'Customer Base'!E$13="Phoenix",'Customer Base'!D$14&gt;0.5,'Customer Base'!D$14&lt;=0.8),'Customer Base'!D$15,IF(AND('Customer Base'!D$7="Mini-Grid",'Customer Base'!D$8=12,'Customer Base'!F$13="Victron",'Customer Base'!F$14&gt;0.5,'Customer Base'!F$14&lt;=0.8),'Customer Base'!F$15,""))</f>
        <v/>
      </c>
      <c r="C9" s="242" t="s">
        <v>1113</v>
      </c>
      <c r="D9" s="272">
        <v>256.45999999999998</v>
      </c>
      <c r="E9" s="272">
        <v>241.542</v>
      </c>
      <c r="F9" s="243">
        <f t="shared" si="0"/>
        <v>210.38556193601309</v>
      </c>
      <c r="G9" s="243">
        <f>IFERROR(ROUNDUP(F9*INVOICE!$O$6,2),0)</f>
        <v>3513.44</v>
      </c>
      <c r="H9" s="243">
        <f t="shared" si="1"/>
        <v>198.14766201804755</v>
      </c>
      <c r="I9" s="243">
        <f>IFERROR(ROUNDUP(H9*INVOICE!$O$6,2),0)</f>
        <v>3309.07</v>
      </c>
      <c r="J9" s="108">
        <f t="shared" si="4"/>
        <v>2400</v>
      </c>
      <c r="K9" s="108" t="s">
        <v>959</v>
      </c>
      <c r="L9" s="229">
        <f>J9/INVOICE!$O$6</f>
        <v>143.7125748502994</v>
      </c>
      <c r="M9" s="108">
        <v>228</v>
      </c>
      <c r="N9" s="108">
        <v>4</v>
      </c>
      <c r="O9" s="108" t="str">
        <f>IF(INVOICE!$N$16="MANUAL",IF(B9&lt;&gt;"",C9,""),IF(INVOICE!$N$16="AUTOMATE",IF(A9&lt;&gt;"",C9,""),""))</f>
        <v/>
      </c>
      <c r="P9" s="108" t="s">
        <v>1192</v>
      </c>
      <c r="Q9" s="108" t="s">
        <v>1616</v>
      </c>
      <c r="S9" s="108" t="s">
        <v>1923</v>
      </c>
      <c r="T9" s="108" t="s">
        <v>1924</v>
      </c>
      <c r="U9" s="108" t="s">
        <v>1213</v>
      </c>
      <c r="W9" s="108" t="s">
        <v>1818</v>
      </c>
      <c r="AD9" s="108" t="s">
        <v>21</v>
      </c>
      <c r="AE9" s="108" t="s">
        <v>1421</v>
      </c>
      <c r="AF9" s="108" t="s">
        <v>1422</v>
      </c>
      <c r="AG9" s="108" t="s">
        <v>1420</v>
      </c>
      <c r="AH9" s="108" t="s">
        <v>22</v>
      </c>
      <c r="AI9" s="108" t="s">
        <v>23</v>
      </c>
      <c r="AJ9" s="108" t="s">
        <v>1429</v>
      </c>
      <c r="AM9" s="244">
        <v>0.8</v>
      </c>
      <c r="AN9" s="244" t="s">
        <v>2237</v>
      </c>
      <c r="AO9" s="108" t="str">
        <f>IF(INVOICE!$N$16="MANUAL",IFERROR(AM9*B9,""),IF(INVOICE!$N$16="AUTOMATE",IFERROR(AM9*A9,""),""))</f>
        <v/>
      </c>
      <c r="AQ9" s="108">
        <v>12</v>
      </c>
      <c r="AR9" s="108" t="s">
        <v>2211</v>
      </c>
      <c r="AS9" s="108">
        <v>1</v>
      </c>
      <c r="AT9" s="108" t="str">
        <f t="shared" si="2"/>
        <v/>
      </c>
      <c r="AV9" s="108" t="str">
        <f t="shared" si="3"/>
        <v/>
      </c>
      <c r="AZ9" s="245" t="str" cm="1">
        <f t="array" ref="AZ9">INDEX(AR$6:AR$132,MATCH(0,COUNTIF($AZ$5:AZ8,AR$6:AR$132),0))</f>
        <v>Multiplus_II</v>
      </c>
      <c r="BA9" s="108" cm="1">
        <f t="array" ref="BA9">INDEX(AM$6:AM$161,MATCH(0,COUNTIF($BA$5:BA8,AM$6:AM$161),0))</f>
        <v>0.8</v>
      </c>
      <c r="BB9" s="108" cm="1">
        <f t="array" ref="BB9">INDEX(AQ$6:AQ$161,MATCH(0,COUNTIF($BB$5:BB8,AQ$6:AQ$161),0))</f>
        <v>0</v>
      </c>
      <c r="BC9" s="108" t="str" cm="1">
        <f t="array" ref="BC9">INDEX(AR$205:AR$236,MATCH(0,COUNTIF($BC$5:BC8,AR$205:AR$236),0))</f>
        <v>Huawei_Lithium</v>
      </c>
      <c r="BD9" s="108" cm="1">
        <f t="array" ref="BD9">INDEX(AM$205:AM$236,MATCH(0,COUNTIF($BD$5:BD8,AM$205:AM$236),0))</f>
        <v>0</v>
      </c>
      <c r="BE9" s="108" t="str" cm="1">
        <f t="array" ref="BE9">INDEX(AR$242:AR$254,MATCH(0,COUNTIF($BE$5:BE8,AR$242:AR$254),0))</f>
        <v>JA_Solar_Panel</v>
      </c>
      <c r="BL9" s="236">
        <f>INVOICE!$O$10*1000*0.8/$BO$9</f>
        <v>3.6897959183673463</v>
      </c>
      <c r="BM9" s="108">
        <f>MOD(INVOICE!$O$10*1000*0.8,$BO9)</f>
        <v>3379.9999999999964</v>
      </c>
      <c r="BN9" s="108">
        <v>85</v>
      </c>
      <c r="BO9" s="108">
        <v>4900</v>
      </c>
    </row>
    <row r="10" spans="1:68">
      <c r="C10" s="242" t="s">
        <v>1114</v>
      </c>
      <c r="D10" s="272">
        <v>338.63</v>
      </c>
      <c r="E10" s="272">
        <v>318.94600000000003</v>
      </c>
      <c r="F10" s="243">
        <f t="shared" si="0"/>
        <v>277.79327317473337</v>
      </c>
      <c r="G10" s="243">
        <f>IFERROR(ROUNDUP(F10*INVOICE!$O$6,2),0)</f>
        <v>4639.1500000000005</v>
      </c>
      <c r="H10" s="243">
        <f t="shared" si="1"/>
        <v>261.64561115668579</v>
      </c>
      <c r="I10" s="243">
        <f>IFERROR(ROUNDUP(H10*INVOICE!$O$6,2),0)</f>
        <v>4369.49</v>
      </c>
      <c r="J10" s="108">
        <f t="shared" si="4"/>
        <v>2400</v>
      </c>
      <c r="K10" s="108" t="s">
        <v>343</v>
      </c>
      <c r="L10" s="229">
        <f>J10/INVOICE!$O$6</f>
        <v>143.7125748502994</v>
      </c>
      <c r="M10" s="108">
        <v>228</v>
      </c>
      <c r="N10" s="108">
        <v>5</v>
      </c>
      <c r="O10" s="108" t="str">
        <f>IF(INVOICE!$N$16="MANUAL",IF(B10&lt;&gt;"",C10,""),IF(INVOICE!$N$16="AUTOMATE",IF(A10&lt;&gt;"",C10,""),""))</f>
        <v/>
      </c>
      <c r="P10" s="108" t="s">
        <v>1194</v>
      </c>
      <c r="U10" s="108" t="s">
        <v>1209</v>
      </c>
      <c r="W10" s="108" t="s">
        <v>1819</v>
      </c>
      <c r="AD10" s="108" t="s">
        <v>1446</v>
      </c>
      <c r="AE10" s="108" t="s">
        <v>1431</v>
      </c>
      <c r="AF10" s="108" t="s">
        <v>1436</v>
      </c>
      <c r="AG10" s="108" t="s">
        <v>1420</v>
      </c>
      <c r="AH10" s="108" t="s">
        <v>1447</v>
      </c>
      <c r="AI10" s="108" t="s">
        <v>1445</v>
      </c>
      <c r="AJ10" s="108" t="s">
        <v>1461</v>
      </c>
      <c r="AM10" s="244">
        <v>1.2</v>
      </c>
      <c r="AN10" s="244" t="s">
        <v>2330</v>
      </c>
      <c r="AO10" s="108">
        <f>IF(INVOICE!$N$16="MANUAL",IFERROR(AM10*B10,""),IF(INVOICE!$N$16="AUTOMATE",IFERROR(AM10*A10,""),""))</f>
        <v>0</v>
      </c>
      <c r="AQ10" s="108">
        <v>12</v>
      </c>
      <c r="AR10" s="108" t="s">
        <v>2211</v>
      </c>
      <c r="AS10" s="108">
        <v>1</v>
      </c>
      <c r="AT10" s="108" t="str">
        <f t="shared" si="2"/>
        <v/>
      </c>
      <c r="AV10" s="108" t="str">
        <f t="shared" si="3"/>
        <v/>
      </c>
      <c r="AZ10" s="245" t="str" cm="1">
        <f t="array" ref="AZ10">INDEX(AR$6:AR$132,MATCH(0,COUNTIF($AZ$5:AZ9,AR$6:AR$132),0))</f>
        <v>Multiplus_II_GX</v>
      </c>
      <c r="BA10" s="108" cm="1">
        <f t="array" ref="BA10">INDEX(AM$6:AM$161,MATCH(0,COUNTIF($BA$5:BA9,AM$6:AM$161),0))</f>
        <v>1.2</v>
      </c>
      <c r="BB10" s="108" t="str" cm="1">
        <f t="array" ref="BB10">INDEX(AQ$6:AQ$161,MATCH(0,COUNTIF($BB$5:BB9,AQ$6:AQ$161),0))</f>
        <v>Grid-Tied</v>
      </c>
      <c r="BC10" s="108" t="str" cm="1">
        <f t="array" ref="BC10">INDEX(AR$205:AR$236,MATCH(0,COUNTIF($BC$5:BC9,AR$205:AR$236),0))</f>
        <v>Victron_AGM</v>
      </c>
      <c r="BD10" s="108" cm="1">
        <f t="array" ref="BD10">INDEX(AM$205:AM$236,MATCH(0,COUNTIF($BD$5:BD9,AM$205:AM$236),0))</f>
        <v>15.4</v>
      </c>
      <c r="BE10" s="108" t="str" cm="1">
        <f t="array" ref="BE10">INDEX(AR$242:AR$254,MATCH(0,COUNTIF($BE$5:BE9,AR$242:AR$254),0))</f>
        <v>Sharp_Solar_Panel</v>
      </c>
      <c r="BL10" s="236">
        <f>INVOICE!$O$10*1000*0.8/$BO$10</f>
        <v>3.1172413793103444</v>
      </c>
      <c r="BM10" s="108">
        <f>MOD(INVOICE!$O$10*1000*0.8,$BO10)</f>
        <v>679.99999999999636</v>
      </c>
      <c r="BN10" s="108">
        <v>100</v>
      </c>
      <c r="BO10" s="108">
        <v>5800</v>
      </c>
    </row>
    <row r="11" spans="1:68">
      <c r="C11" s="242" t="s">
        <v>1115</v>
      </c>
      <c r="D11" s="272">
        <v>95.52</v>
      </c>
      <c r="E11" s="272">
        <v>91.85</v>
      </c>
      <c r="F11" s="243">
        <f t="shared" si="0"/>
        <v>78.359310910582437</v>
      </c>
      <c r="G11" s="243">
        <f>IFERROR(ROUNDUP(F11*INVOICE!$O$6,2),0)</f>
        <v>1308.6099999999999</v>
      </c>
      <c r="H11" s="243">
        <f t="shared" si="1"/>
        <v>75.348646431501223</v>
      </c>
      <c r="I11" s="243">
        <f>IFERROR(ROUNDUP(H11*INVOICE!$O$6,2),0)</f>
        <v>1258.33</v>
      </c>
      <c r="J11" s="108">
        <f t="shared" si="4"/>
        <v>2400</v>
      </c>
      <c r="K11" s="108" t="s">
        <v>1080</v>
      </c>
      <c r="L11" s="229">
        <f>J11/INVOICE!$O$6</f>
        <v>143.7125748502994</v>
      </c>
      <c r="M11" s="108">
        <v>228</v>
      </c>
      <c r="N11" s="108">
        <v>6</v>
      </c>
      <c r="O11" s="108" t="str">
        <f>IF(INVOICE!$N$16="MANUAL",IF(B11&lt;&gt;"",C11,""),IF(INVOICE!$N$16="AUTOMATE",IF(A11&lt;&gt;"",C11,""),""))</f>
        <v/>
      </c>
      <c r="P11" s="108" t="s">
        <v>1582</v>
      </c>
      <c r="U11" s="108" t="s">
        <v>1236</v>
      </c>
      <c r="W11" s="108" t="s">
        <v>1820</v>
      </c>
      <c r="AD11" s="108" t="s">
        <v>1449</v>
      </c>
      <c r="AE11" s="108" t="s">
        <v>1432</v>
      </c>
      <c r="AF11" s="108" t="s">
        <v>1437</v>
      </c>
      <c r="AG11" s="108" t="s">
        <v>1420</v>
      </c>
      <c r="AH11" s="108" t="s">
        <v>1448</v>
      </c>
      <c r="AI11" s="108" t="s">
        <v>1459</v>
      </c>
      <c r="AJ11" s="108" t="s">
        <v>1462</v>
      </c>
      <c r="AM11" s="244">
        <v>0.25</v>
      </c>
      <c r="AN11" s="244" t="s">
        <v>2239</v>
      </c>
      <c r="AO11" s="108">
        <f>IF(INVOICE!$N$16="MANUAL",IFERROR(AM11*B11,""),IF(INVOICE!$N$16="AUTOMATE",IFERROR(AM11*A11,""),""))</f>
        <v>0</v>
      </c>
      <c r="AQ11" s="108">
        <v>24</v>
      </c>
      <c r="AR11" s="108" t="s">
        <v>2211</v>
      </c>
      <c r="AS11" s="108">
        <v>1</v>
      </c>
      <c r="AT11" s="108" t="str">
        <f t="shared" si="2"/>
        <v/>
      </c>
      <c r="AV11" s="108" t="str">
        <f t="shared" si="3"/>
        <v/>
      </c>
      <c r="AZ11" s="245" t="str" cm="1">
        <f t="array" ref="AZ11">INDEX(AR$6:AR$132,MATCH(0,COUNTIF($AZ$5:AZ10,AR$6:AR$132),0))</f>
        <v>Quattro</v>
      </c>
      <c r="BA11" s="108" cm="1">
        <f t="array" ref="BA11">INDEX(AM$6:AM$161,MATCH(0,COUNTIF($BA$5:BA10,AM$6:AM$161),0))</f>
        <v>1.6</v>
      </c>
      <c r="BC11" s="108" t="str" cm="1">
        <f t="array" ref="BC11">INDEX(AR$205:AR$236,MATCH(0,COUNTIF($BC$5:BC10,AR$205:AR$236),0))</f>
        <v>Victron_Gel</v>
      </c>
      <c r="BD11" s="108" cm="1">
        <f t="array" ref="BD11">INDEX(AM$205:AM$236,MATCH(0,COUNTIF($BD$5:BD10,AM$205:AM$236),0))</f>
        <v>2.56</v>
      </c>
      <c r="BE11" s="108" t="str" cm="1">
        <f t="array" ref="BE11">INDEX(AR$242:AR$254,MATCH(0,COUNTIF($BE$5:BE10,AR$242:AR$254),0))</f>
        <v>Victron_Solar_Panel</v>
      </c>
    </row>
    <row r="12" spans="1:68">
      <c r="C12" s="242" t="s">
        <v>1116</v>
      </c>
      <c r="D12" s="272">
        <v>126.42</v>
      </c>
      <c r="E12" s="272">
        <v>119.07</v>
      </c>
      <c r="F12" s="243">
        <f t="shared" si="0"/>
        <v>103.70795734208367</v>
      </c>
      <c r="G12" s="243">
        <f>IFERROR(ROUNDUP(F12*INVOICE!$O$6,2),0)</f>
        <v>1731.93</v>
      </c>
      <c r="H12" s="243">
        <f t="shared" si="1"/>
        <v>97.678424938474151</v>
      </c>
      <c r="I12" s="243">
        <f>IFERROR(ROUNDUP(H12*INVOICE!$O$6,2),0)</f>
        <v>1631.23</v>
      </c>
      <c r="J12" s="108">
        <f t="shared" si="4"/>
        <v>8510</v>
      </c>
      <c r="K12" s="108" t="s">
        <v>1081</v>
      </c>
      <c r="L12" s="229">
        <f>J12/INVOICE!$O$6</f>
        <v>509.5808383233533</v>
      </c>
      <c r="M12" s="108">
        <v>810</v>
      </c>
      <c r="N12" s="108">
        <v>7</v>
      </c>
      <c r="O12" s="108" t="str">
        <f>IF(INVOICE!$N$16="MANUAL",IF(B12&lt;&gt;"",C12,""),IF(INVOICE!$N$16="AUTOMATE",IF(A12&lt;&gt;"",C12,""),""))</f>
        <v/>
      </c>
      <c r="P12" s="108" t="s">
        <v>1224</v>
      </c>
      <c r="U12" s="108" t="s">
        <v>1273</v>
      </c>
      <c r="W12" s="108" t="s">
        <v>1821</v>
      </c>
      <c r="AD12" s="108" t="s">
        <v>1451</v>
      </c>
      <c r="AE12" s="108" t="s">
        <v>1433</v>
      </c>
      <c r="AF12" s="108" t="s">
        <v>1438</v>
      </c>
      <c r="AG12" s="108" t="s">
        <v>1420</v>
      </c>
      <c r="AH12" s="108" t="s">
        <v>1452</v>
      </c>
      <c r="AI12" s="108" t="s">
        <v>1450</v>
      </c>
      <c r="AJ12" s="108" t="s">
        <v>1463</v>
      </c>
      <c r="AM12" s="244">
        <v>0.375</v>
      </c>
      <c r="AN12" s="244" t="s">
        <v>2240</v>
      </c>
      <c r="AO12" s="108">
        <f>IF(INVOICE!$N$16="MANUAL",IFERROR(AM12*B12,""),IF(INVOICE!$N$16="AUTOMATE",IFERROR(AM12*A12,""),""))</f>
        <v>0</v>
      </c>
      <c r="AQ12" s="108">
        <v>24</v>
      </c>
      <c r="AR12" s="108" t="s">
        <v>2211</v>
      </c>
      <c r="AS12" s="108">
        <v>1</v>
      </c>
      <c r="AT12" s="108" t="str">
        <f t="shared" si="2"/>
        <v/>
      </c>
      <c r="AV12" s="108" t="str">
        <f t="shared" si="3"/>
        <v/>
      </c>
      <c r="AZ12" s="245" t="str" cm="1">
        <f t="array" ref="AZ12">INDEX(AR$6:AR$132,MATCH(0,COUNTIF($AZ$5:AZ11,AR$6:AR$132),0))</f>
        <v>EasySolar</v>
      </c>
      <c r="BA12" s="108" cm="1">
        <f t="array" ref="BA12">INDEX(AM$6:AM$161,MATCH(0,COUNTIF($BA$5:BA11,AM$6:AM$161),0))</f>
        <v>2</v>
      </c>
      <c r="BC12" s="108" t="str" cm="1">
        <f t="array" ref="BC12">INDEX(AR$205:AR$236,MATCH(0,COUNTIF($BC$5:BC11,AR$205:AR$236),0))</f>
        <v>Hoppecke_OPzV</v>
      </c>
      <c r="BD12" s="108" cm="1">
        <f t="array" ref="BD12">INDEX(AM$205:AM$236,MATCH(0,COUNTIF($BD$5:BD11,AM$205:AM$236),0))</f>
        <v>4.8</v>
      </c>
      <c r="BL12" s="236">
        <f>MIN(BL4:BL10)</f>
        <v>3.1172413793103444</v>
      </c>
      <c r="BM12" s="108">
        <f>MAX(BM4:BM10)</f>
        <v>3379.9999999999964</v>
      </c>
    </row>
    <row r="13" spans="1:68">
      <c r="A13" s="108" t="str">
        <f>IF(AND('Customer Base'!D$8=24,'Customer Base'!D$13="Victron",'Customer Base'!E$13="Phoenix",'Customer Base'!D$14&gt;0,'Customer Base'!D$14&lt;=0.5),'Customer Base'!D$15,IF(AND('Customer Base'!D$7="Mini-Grid",'Customer Base'!D$8=24,'Customer Base'!F$13="Victron",'Customer Base'!F$14&gt;0,'Customer Base'!F$14&lt;=0.5),'Customer Base'!F$15,""))</f>
        <v/>
      </c>
      <c r="C13" s="242" t="s">
        <v>1117</v>
      </c>
      <c r="D13" s="272">
        <v>158.03</v>
      </c>
      <c r="E13" s="272">
        <v>148.85</v>
      </c>
      <c r="F13" s="243">
        <f t="shared" si="0"/>
        <v>129.63904840032814</v>
      </c>
      <c r="G13" s="243">
        <f>IFERROR(ROUNDUP(F13*INVOICE!$O$6,2),0)</f>
        <v>2164.98</v>
      </c>
      <c r="H13" s="243">
        <f t="shared" si="1"/>
        <v>122.10828547990154</v>
      </c>
      <c r="I13" s="243">
        <f>IFERROR(ROUNDUP(H13*INVOICE!$O$6,2),0)</f>
        <v>2039.21</v>
      </c>
      <c r="J13" s="108">
        <f t="shared" si="4"/>
        <v>8510</v>
      </c>
      <c r="K13" s="108" t="s">
        <v>50</v>
      </c>
      <c r="L13" s="229">
        <f>J13/INVOICE!$O$6</f>
        <v>509.5808383233533</v>
      </c>
      <c r="M13" s="108">
        <v>810</v>
      </c>
      <c r="N13" s="108">
        <v>8</v>
      </c>
      <c r="O13" s="108" t="str">
        <f>IF(INVOICE!$N$16="MANUAL",IF(B13&lt;&gt;"",C13,""),IF(INVOICE!$N$16="AUTOMATE",IF(A13&lt;&gt;"",C13,""),""))</f>
        <v/>
      </c>
      <c r="P13" s="108" t="s">
        <v>1197</v>
      </c>
      <c r="U13" s="108" t="s">
        <v>1627</v>
      </c>
      <c r="W13" s="108" t="s">
        <v>1822</v>
      </c>
      <c r="AD13" s="108" t="s">
        <v>1453</v>
      </c>
      <c r="AE13" s="108" t="s">
        <v>1434</v>
      </c>
      <c r="AF13" s="108" t="s">
        <v>1439</v>
      </c>
      <c r="AG13" s="108" t="s">
        <v>1420</v>
      </c>
      <c r="AH13" s="108" t="s">
        <v>1454</v>
      </c>
      <c r="AI13" s="108" t="s">
        <v>1455</v>
      </c>
      <c r="AJ13" s="108" t="s">
        <v>1460</v>
      </c>
      <c r="AM13" s="244">
        <v>0.5</v>
      </c>
      <c r="AN13" s="244" t="s">
        <v>2241</v>
      </c>
      <c r="AO13" s="108" t="str">
        <f>IF(INVOICE!$N$16="MANUAL",IFERROR(AM13*B13,""),IF(INVOICE!$N$16="AUTOMATE",IFERROR(AM13*A13,""),""))</f>
        <v/>
      </c>
      <c r="AQ13" s="108">
        <v>24</v>
      </c>
      <c r="AR13" s="108" t="s">
        <v>2211</v>
      </c>
      <c r="AS13" s="108">
        <v>1</v>
      </c>
      <c r="AT13" s="108" t="str">
        <f t="shared" si="2"/>
        <v/>
      </c>
      <c r="AV13" s="108" t="str">
        <f t="shared" si="3"/>
        <v/>
      </c>
      <c r="AZ13" s="245" t="str" cm="1">
        <f t="array" ref="AZ13">INDEX(AR$6:AR$132,MATCH(0,COUNTIF($AZ$5:AZ12,AR$6:AR$132),0))</f>
        <v>EasySolar_II</v>
      </c>
      <c r="BA13" s="108" cm="1">
        <f t="array" ref="BA13">INDEX(AM$6:AM$161,MATCH(0,COUNTIF($BA$5:BA12,AM$6:AM$161),0))</f>
        <v>3</v>
      </c>
      <c r="BC13" s="108" t="str" cm="1">
        <f t="array" ref="BC13">INDEX(AR$205:AR$236,MATCH(0,COUNTIF($BC$5:BC12,AR$205:AR$236),0))</f>
        <v>Hoppecke_Lead_Acid</v>
      </c>
      <c r="BD13" s="108" cm="1">
        <f t="array" ref="BD13">INDEX(AM$205:AM$236,MATCH(0,COUNTIF($BD$5:BD12,AM$205:AM$236),0))</f>
        <v>9.6000000000000002E-2</v>
      </c>
    </row>
    <row r="14" spans="1:68">
      <c r="A14" s="108" t="str">
        <f>IF(AND('Customer Base'!D$8=24,'Customer Base'!D$13="Victron",'Customer Base'!E$13="Phoenix",'Customer Base'!D$14&gt;0.5,'Customer Base'!D$14&lt;=0.8),'Customer Base'!D$15,IF(AND('Customer Base'!D$7="Mini-Grid",'Customer Base'!D$8=24,'Customer Base'!F$13="Victron",'Customer Base'!F$14&gt;0.5,'Customer Base'!F$14&lt;=0.8),'Customer Base'!F$15,""))</f>
        <v/>
      </c>
      <c r="C14" s="242" t="s">
        <v>1118</v>
      </c>
      <c r="D14" s="272">
        <v>256.45999999999998</v>
      </c>
      <c r="E14" s="272">
        <v>241.54</v>
      </c>
      <c r="F14" s="243">
        <f t="shared" si="0"/>
        <v>210.38556193601309</v>
      </c>
      <c r="G14" s="243">
        <f>IFERROR(ROUNDUP(F14*INVOICE!$O$6,2),0)</f>
        <v>3513.44</v>
      </c>
      <c r="H14" s="243">
        <f t="shared" si="1"/>
        <v>198.14602132895814</v>
      </c>
      <c r="I14" s="243">
        <f>IFERROR(ROUNDUP(H14*INVOICE!$O$6,2),0)</f>
        <v>3309.0400000000004</v>
      </c>
      <c r="J14" s="108">
        <f t="shared" si="4"/>
        <v>900</v>
      </c>
      <c r="K14" s="108" t="s">
        <v>955</v>
      </c>
      <c r="L14" s="229">
        <f>J14/INVOICE!$O$6</f>
        <v>53.892215568862277</v>
      </c>
      <c r="M14" s="108">
        <v>85</v>
      </c>
      <c r="N14" s="108">
        <v>9</v>
      </c>
      <c r="O14" s="108" t="str">
        <f>IF(INVOICE!$N$16="MANUAL",IF(B14&lt;&gt;"",C14,""),IF(INVOICE!$N$16="AUTOMATE",IF(A14&lt;&gt;"",C14,""),""))</f>
        <v/>
      </c>
      <c r="P14" s="108" t="s">
        <v>1237</v>
      </c>
      <c r="U14" s="108" t="s">
        <v>1274</v>
      </c>
      <c r="W14" s="108" t="s">
        <v>1823</v>
      </c>
      <c r="AD14" s="108" t="s">
        <v>1457</v>
      </c>
      <c r="AE14" s="108" t="s">
        <v>1435</v>
      </c>
      <c r="AF14" s="108" t="s">
        <v>1440</v>
      </c>
      <c r="AG14" s="108" t="s">
        <v>1420</v>
      </c>
      <c r="AH14" s="108" t="s">
        <v>1456</v>
      </c>
      <c r="AI14" s="108" t="s">
        <v>1458</v>
      </c>
      <c r="AJ14" s="108" t="s">
        <v>1464</v>
      </c>
      <c r="AM14" s="244">
        <v>0.8</v>
      </c>
      <c r="AN14" s="244" t="s">
        <v>2242</v>
      </c>
      <c r="AO14" s="108" t="str">
        <f>IF(INVOICE!$N$16="MANUAL",IFERROR(AM14*B14,""),IF(INVOICE!$N$16="AUTOMATE",IFERROR(AM14*A14,""),""))</f>
        <v/>
      </c>
      <c r="AQ14" s="108">
        <v>24</v>
      </c>
      <c r="AR14" s="108" t="s">
        <v>2211</v>
      </c>
      <c r="AS14" s="108">
        <v>1</v>
      </c>
      <c r="AT14" s="108" t="str">
        <f t="shared" si="2"/>
        <v/>
      </c>
      <c r="AV14" s="108" t="str">
        <f t="shared" si="3"/>
        <v/>
      </c>
      <c r="AZ14" s="245" t="str" cm="1">
        <f t="array" ref="AZ14">INDEX(AR$6:AR$132,MATCH(0,COUNTIF($AZ$5:AZ13,AR$6:AR$132),0))</f>
        <v>Phocos_H</v>
      </c>
      <c r="BA14" s="108" cm="1">
        <f t="array" ref="BA14">INDEX(AM$6:AM$161,MATCH(0,COUNTIF($BA$5:BA13,AM$6:AM$161),0))</f>
        <v>5</v>
      </c>
      <c r="BC14" s="108" t="e" cm="1">
        <f t="array" ref="BC14">INDEX(AR$205:AR$236,MATCH(0,COUNTIF($BC$5:BC13,AR$205:AR$236),0))</f>
        <v>#N/A</v>
      </c>
      <c r="BD14" s="108" cm="1">
        <f t="array" ref="BD14">INDEX(AM$205:AM$236,MATCH(0,COUNTIF($BD$5:BD13,AM$205:AM$236),0))</f>
        <v>0.16800000000000001</v>
      </c>
      <c r="BN14" s="108">
        <f>VLOOKUP(BL12,BL4:BO10,3,FALSE)</f>
        <v>100</v>
      </c>
      <c r="BO14" s="108">
        <f>VLOOKUP(BM12,BM4:BO10,2,FALSE)</f>
        <v>85</v>
      </c>
    </row>
    <row r="15" spans="1:68">
      <c r="C15" s="242" t="s">
        <v>1119</v>
      </c>
      <c r="D15" s="272">
        <v>338.63</v>
      </c>
      <c r="E15" s="272">
        <v>318.95</v>
      </c>
      <c r="F15" s="243">
        <f t="shared" si="0"/>
        <v>277.79327317473337</v>
      </c>
      <c r="G15" s="243">
        <f>IFERROR(ROUNDUP(F15*INVOICE!$O$6,2),0)</f>
        <v>4639.1500000000005</v>
      </c>
      <c r="H15" s="243">
        <f t="shared" si="1"/>
        <v>261.64889253486461</v>
      </c>
      <c r="I15" s="243">
        <f>IFERROR(ROUNDUP(H15*INVOICE!$O$6,2),0)</f>
        <v>4369.54</v>
      </c>
      <c r="J15" s="108">
        <f t="shared" si="4"/>
        <v>900</v>
      </c>
      <c r="K15" s="108" t="s">
        <v>390</v>
      </c>
      <c r="L15" s="229">
        <f>J15/INVOICE!$O$6</f>
        <v>53.892215568862277</v>
      </c>
      <c r="M15" s="108">
        <v>85</v>
      </c>
      <c r="N15" s="108">
        <v>10</v>
      </c>
      <c r="O15" s="108" t="str">
        <f>IF(INVOICE!$N$16="MANUAL",IF(B15&lt;&gt;"",C15,""),IF(INVOICE!$N$16="AUTOMATE",IF(A15&lt;&gt;"",C15,""),""))</f>
        <v/>
      </c>
      <c r="P15" s="108" t="s">
        <v>1269</v>
      </c>
      <c r="U15" s="108" t="s">
        <v>1656</v>
      </c>
      <c r="W15" s="108" t="s">
        <v>1824</v>
      </c>
      <c r="AD15" s="108" t="s">
        <v>2395</v>
      </c>
      <c r="AE15" s="108" t="s">
        <v>2396</v>
      </c>
      <c r="AF15" s="108" t="s">
        <v>2397</v>
      </c>
      <c r="AG15" s="108" t="s">
        <v>1420</v>
      </c>
      <c r="AH15" s="108" t="s">
        <v>2398</v>
      </c>
      <c r="AI15" s="108" t="s">
        <v>2399</v>
      </c>
      <c r="AJ15" s="108" t="s">
        <v>2400</v>
      </c>
      <c r="AM15" s="244">
        <v>1.2</v>
      </c>
      <c r="AN15" s="244" t="s">
        <v>2243</v>
      </c>
      <c r="AO15" s="108">
        <f>IF(INVOICE!$N$16="MANUAL",IFERROR(AM15*B15,""),IF(INVOICE!$N$16="AUTOMATE",IFERROR(AM15*A15,""),""))</f>
        <v>0</v>
      </c>
      <c r="AQ15" s="108">
        <v>24</v>
      </c>
      <c r="AR15" s="108" t="s">
        <v>2211</v>
      </c>
      <c r="AS15" s="108">
        <v>1</v>
      </c>
      <c r="AT15" s="108" t="str">
        <f t="shared" si="2"/>
        <v/>
      </c>
      <c r="AV15" s="108" t="str">
        <f t="shared" si="3"/>
        <v/>
      </c>
      <c r="AZ15" s="245" t="str" cm="1">
        <f t="array" ref="AZ15">INDEX(AR$6:AR$132,MATCH(0,COUNTIF($AZ$5:AZ14,AR$6:AR$132),0))</f>
        <v>Phocos_B</v>
      </c>
      <c r="BA15" s="108" cm="1">
        <f t="array" ref="BA15">INDEX(AM$6:AM$161,MATCH(0,COUNTIF($BA$5:BA14,AM$6:AM$161),0))</f>
        <v>0</v>
      </c>
      <c r="BC15" s="108" t="e" cm="1">
        <f t="array" ref="BC15">INDEX(AR$205:AR$236,MATCH(0,COUNTIF($BC$5:BC14,AR$205:AR$236),0))</f>
        <v>#N/A</v>
      </c>
      <c r="BD15" s="108" cm="1">
        <f t="array" ref="BD15">INDEX(AM$205:AM$236,MATCH(0,COUNTIF($BD$5:BD14,AM$205:AM$236),0))</f>
        <v>0.26400000000000001</v>
      </c>
      <c r="BK15" s="236"/>
      <c r="BL15" s="236"/>
      <c r="BO15" s="236"/>
    </row>
    <row r="16" spans="1:68">
      <c r="C16" s="242" t="s">
        <v>1008</v>
      </c>
      <c r="D16" s="272">
        <v>95.52</v>
      </c>
      <c r="E16" s="272">
        <v>91.853999999999999</v>
      </c>
      <c r="F16" s="243">
        <f t="shared" si="0"/>
        <v>78.359310910582437</v>
      </c>
      <c r="G16" s="243">
        <f>IFERROR(ROUNDUP(F16*INVOICE!$O$6,2),0)</f>
        <v>1308.6099999999999</v>
      </c>
      <c r="H16" s="243">
        <f t="shared" si="1"/>
        <v>75.351927809680063</v>
      </c>
      <c r="I16" s="243">
        <f>IFERROR(ROUNDUP(H16*INVOICE!$O$6,2),0)</f>
        <v>1258.3799999999999</v>
      </c>
      <c r="J16" s="108">
        <f t="shared" si="4"/>
        <v>1200</v>
      </c>
      <c r="K16" s="108" t="s">
        <v>956</v>
      </c>
      <c r="L16" s="229">
        <f>J16/INVOICE!$O$6</f>
        <v>71.856287425149702</v>
      </c>
      <c r="M16" s="108">
        <v>114</v>
      </c>
      <c r="N16" s="108">
        <v>11</v>
      </c>
      <c r="O16" s="108" t="str">
        <f>IF(INVOICE!$N$16="MANUAL",IF(B16&lt;&gt;"",C16,""),IF(INVOICE!$N$16="AUTOMATE",IF(A16&lt;&gt;"",C16,""),""))</f>
        <v/>
      </c>
      <c r="P16" s="108" t="s">
        <v>1270</v>
      </c>
      <c r="AD16" s="108" t="s">
        <v>2596</v>
      </c>
      <c r="AE16" s="108" t="s">
        <v>2597</v>
      </c>
      <c r="AF16" s="108" t="s">
        <v>2598</v>
      </c>
      <c r="AG16" s="108" t="s">
        <v>1420</v>
      </c>
      <c r="AH16" s="108" t="s">
        <v>2599</v>
      </c>
      <c r="AI16" s="108" t="s">
        <v>2601</v>
      </c>
      <c r="AJ16" s="108" t="s">
        <v>2600</v>
      </c>
      <c r="AM16" s="244">
        <v>0.25</v>
      </c>
      <c r="AN16" s="244" t="s">
        <v>2244</v>
      </c>
      <c r="AO16" s="108">
        <f>IF(INVOICE!$N$16="MANUAL",IFERROR(AM16*B16,""),IF(INVOICE!$N$16="AUTOMATE",IFERROR(AM16*A16,""),""))</f>
        <v>0</v>
      </c>
      <c r="AQ16" s="108">
        <v>48</v>
      </c>
      <c r="AR16" s="108" t="s">
        <v>2211</v>
      </c>
      <c r="AS16" s="108">
        <v>1</v>
      </c>
      <c r="AT16" s="108" t="str">
        <f t="shared" si="2"/>
        <v/>
      </c>
      <c r="AV16" s="108" t="str">
        <f t="shared" si="3"/>
        <v/>
      </c>
      <c r="AZ16" s="245" t="str" cm="1">
        <f t="array" ref="AZ16">INDEX(AR$6:AR$132,MATCH(0,COUNTIF($AZ$5:AZ15,AR$6:AR$132),0))</f>
        <v>Deye</v>
      </c>
      <c r="BA16" s="108" cm="1">
        <f t="array" ref="BA16">INDEX(AM$6:AM$161,MATCH(0,COUNTIF($BA$5:BA15,AM$6:AM$161),0))</f>
        <v>6</v>
      </c>
      <c r="BC16" s="108" t="e" cm="1">
        <f t="array" ref="BC16">INDEX(AR$205:AR$236,MATCH(0,COUNTIF($BC$5:BC15,AR$205:AR$236),0))</f>
        <v>#N/A</v>
      </c>
      <c r="BD16" s="108" cm="1">
        <f t="array" ref="BD16">INDEX(AM$205:AM$236,MATCH(0,COUNTIF($BD$5:BD15,AM$205:AM$236),0))</f>
        <v>0.45600000000000002</v>
      </c>
      <c r="BK16" s="236"/>
      <c r="BL16" s="236"/>
      <c r="BO16" s="236"/>
    </row>
    <row r="17" spans="1:67">
      <c r="C17" s="242" t="s">
        <v>1009</v>
      </c>
      <c r="D17" s="272">
        <v>126.42</v>
      </c>
      <c r="E17" s="272">
        <v>119.07</v>
      </c>
      <c r="F17" s="243">
        <f t="shared" si="0"/>
        <v>103.70795734208367</v>
      </c>
      <c r="G17" s="243">
        <f>IFERROR(ROUNDUP(F17*INVOICE!$O$6,2),0)</f>
        <v>1731.93</v>
      </c>
      <c r="H17" s="243">
        <f t="shared" si="1"/>
        <v>97.678424938474151</v>
      </c>
      <c r="I17" s="243">
        <f>IFERROR(ROUNDUP(H17*INVOICE!$O$6,2),0)</f>
        <v>1631.23</v>
      </c>
      <c r="J17" s="108">
        <f t="shared" si="4"/>
        <v>1200</v>
      </c>
      <c r="K17" s="108" t="s">
        <v>306</v>
      </c>
      <c r="L17" s="229">
        <f>J17/INVOICE!$O$6</f>
        <v>71.856287425149702</v>
      </c>
      <c r="M17" s="108">
        <v>114</v>
      </c>
      <c r="N17" s="108">
        <v>12</v>
      </c>
      <c r="O17" s="108" t="str">
        <f>IF(INVOICE!$N$16="MANUAL",IF(B17&lt;&gt;"",C17,""),IF(INVOICE!$N$16="AUTOMATE",IF(A17&lt;&gt;"",C17,""),""))</f>
        <v/>
      </c>
      <c r="P17" s="108" t="s">
        <v>1271</v>
      </c>
      <c r="AM17" s="244">
        <v>0.375</v>
      </c>
      <c r="AN17" s="244" t="s">
        <v>2245</v>
      </c>
      <c r="AO17" s="108">
        <f>IF(INVOICE!$N$16="MANUAL",IFERROR(AM17*B17,""),IF(INVOICE!$N$16="AUTOMATE",IFERROR(AM17*A17,""),""))</f>
        <v>0</v>
      </c>
      <c r="AQ17" s="108">
        <v>48</v>
      </c>
      <c r="AR17" s="108" t="s">
        <v>2211</v>
      </c>
      <c r="AS17" s="108">
        <v>1</v>
      </c>
      <c r="AT17" s="108" t="str">
        <f t="shared" si="2"/>
        <v/>
      </c>
      <c r="AV17" s="108" t="str">
        <f t="shared" si="3"/>
        <v/>
      </c>
      <c r="AZ17" s="245" t="str" cm="1">
        <f t="array" ref="AZ17">INDEX(AR$6:AR$132,MATCH(0,COUNTIF($AZ$5:AZ16,AR$6:AR$132),0))</f>
        <v>Huawei</v>
      </c>
      <c r="BA17" s="108" cm="1">
        <f t="array" ref="BA17">INDEX(AM$6:AM$161,MATCH(0,COUNTIF($BA$5:BA16,AM$6:AM$161),0))</f>
        <v>8</v>
      </c>
      <c r="BD17" s="108" cm="1">
        <f t="array" ref="BD17">INDEX(AM$205:AM$236,MATCH(0,COUNTIF($BD$5:BD16,AM$205:AM$236),0))</f>
        <v>0.72</v>
      </c>
      <c r="BK17" s="236"/>
      <c r="BL17" s="236"/>
      <c r="BO17" s="236"/>
    </row>
    <row r="18" spans="1:67">
      <c r="A18" s="108" t="str">
        <f>IF(AND('Customer Base'!D$8=48,'Customer Base'!D$13="Victron",'Customer Base'!E$13="Phoenix",'Customer Base'!D$14&gt;0,'Customer Base'!D$14&lt;=0.5),'Customer Base'!D$15,IF(AND('Customer Base'!D$7="Mini-Grid",'Customer Base'!D$8=48,'Customer Base'!F$13="Victron",'Customer Base'!F$14&gt;0,'Customer Base'!F$14&lt;=0.5),'Customer Base'!F$15,""))</f>
        <v/>
      </c>
      <c r="C18" s="242" t="s">
        <v>1010</v>
      </c>
      <c r="D18" s="272">
        <v>158.03</v>
      </c>
      <c r="E18" s="272">
        <v>148.846</v>
      </c>
      <c r="F18" s="243">
        <f t="shared" si="0"/>
        <v>129.63904840032814</v>
      </c>
      <c r="G18" s="243">
        <f>IFERROR(ROUNDUP(F18*INVOICE!$O$6,2),0)</f>
        <v>2164.98</v>
      </c>
      <c r="H18" s="243">
        <f t="shared" si="1"/>
        <v>122.10500410172271</v>
      </c>
      <c r="I18" s="243">
        <f>IFERROR(ROUNDUP(H18*INVOICE!$O$6,2),0)</f>
        <v>2039.16</v>
      </c>
      <c r="J18" s="108">
        <f t="shared" si="4"/>
        <v>2840</v>
      </c>
      <c r="K18" s="108" t="s">
        <v>958</v>
      </c>
      <c r="L18" s="229">
        <f>J18/INVOICE!$O$6</f>
        <v>170.05988023952096</v>
      </c>
      <c r="M18" s="108">
        <v>270</v>
      </c>
      <c r="N18" s="108">
        <v>13</v>
      </c>
      <c r="O18" s="108" t="str">
        <f>IF(INVOICE!$N$16="MANUAL",IF(B18&lt;&gt;"",C18,""),IF(INVOICE!$N$16="AUTOMATE",IF(A18&lt;&gt;"",C18,""),""))</f>
        <v/>
      </c>
      <c r="P18" s="108" t="s">
        <v>1300</v>
      </c>
      <c r="AM18" s="244">
        <v>0.5</v>
      </c>
      <c r="AN18" s="244" t="s">
        <v>2246</v>
      </c>
      <c r="AO18" s="108" t="str">
        <f>IF(INVOICE!$N$16="MANUAL",IFERROR(AM18*B18,""),IF(INVOICE!$N$16="AUTOMATE",IFERROR(AM18*A18,""),""))</f>
        <v/>
      </c>
      <c r="AQ18" s="108">
        <v>48</v>
      </c>
      <c r="AR18" s="108" t="s">
        <v>2211</v>
      </c>
      <c r="AS18" s="108">
        <v>1</v>
      </c>
      <c r="AT18" s="108" t="str">
        <f t="shared" si="2"/>
        <v/>
      </c>
      <c r="AV18" s="108" t="str">
        <f t="shared" si="3"/>
        <v/>
      </c>
      <c r="AZ18" s="245" t="str" cm="1">
        <f t="array" ref="AZ18">INDEX(AR$6:AR$132,MATCH(0,COUNTIF($AZ$5:AZ17,AR$6:AR$132),0))</f>
        <v>Galvo</v>
      </c>
      <c r="BA18" s="108" cm="1">
        <f t="array" ref="BA18">INDEX(AM$6:AM$161,MATCH(0,COUNTIF($BA$5:BA17,AM$6:AM$161),0))</f>
        <v>10</v>
      </c>
      <c r="BD18" s="108" cm="1">
        <f t="array" ref="BD18">INDEX(AM$205:AM$236,MATCH(0,COUNTIF($BD$5:BD17,AM$205:AM$236),0))</f>
        <v>1.08</v>
      </c>
      <c r="BK18" s="236"/>
      <c r="BL18" s="236"/>
      <c r="BM18" s="108">
        <f>MIN(BN14:BO14)</f>
        <v>85</v>
      </c>
      <c r="BO18" s="236"/>
    </row>
    <row r="19" spans="1:67">
      <c r="A19" s="108" t="str">
        <f>IF(AND('Customer Base'!D$8=48,'Customer Base'!D$13="Victron",'Customer Base'!E$13="Phoenix",'Customer Base'!D$14&gt;0.5,'Customer Base'!D$14&lt;=0.8),'Customer Base'!D$15,IF(AND('Customer Base'!D$7="Mini-Grid",'Customer Base'!D$8=48,'Customer Base'!F$13="Victron",'Customer Base'!F$14&gt;0.5,'Customer Base'!F$14&lt;=0.8),'Customer Base'!F$15,""))</f>
        <v/>
      </c>
      <c r="C19" s="242" t="s">
        <v>1011</v>
      </c>
      <c r="D19" s="272">
        <v>256.45999999999998</v>
      </c>
      <c r="E19" s="272">
        <v>241.542</v>
      </c>
      <c r="F19" s="243">
        <f t="shared" si="0"/>
        <v>210.38556193601309</v>
      </c>
      <c r="G19" s="243">
        <f>IFERROR(ROUNDUP(F19*INVOICE!$O$6,2),0)</f>
        <v>3513.44</v>
      </c>
      <c r="H19" s="243">
        <f t="shared" si="1"/>
        <v>198.14766201804755</v>
      </c>
      <c r="I19" s="243">
        <f>IFERROR(ROUNDUP(H19*INVOICE!$O$6,2),0)</f>
        <v>3309.07</v>
      </c>
      <c r="J19" s="108">
        <f t="shared" si="4"/>
        <v>2840</v>
      </c>
      <c r="K19" s="108" t="s">
        <v>52</v>
      </c>
      <c r="L19" s="229">
        <f>J19/INVOICE!$O$6</f>
        <v>170.05988023952096</v>
      </c>
      <c r="M19" s="108">
        <v>270</v>
      </c>
      <c r="N19" s="108">
        <v>14</v>
      </c>
      <c r="O19" s="108" t="str">
        <f>IF(INVOICE!$N$16="MANUAL",IF(B19&lt;&gt;"",C19,""),IF(INVOICE!$N$16="AUTOMATE",IF(A19&lt;&gt;"",C19,""),""))</f>
        <v/>
      </c>
      <c r="P19" s="108" t="s">
        <v>1301</v>
      </c>
      <c r="AM19" s="244">
        <v>0.8</v>
      </c>
      <c r="AN19" s="244" t="s">
        <v>2247</v>
      </c>
      <c r="AO19" s="108" t="str">
        <f>IF(INVOICE!$N$16="MANUAL",IFERROR(AM19*B19,""),IF(INVOICE!$N$16="AUTOMATE",IFERROR(AM19*A19,""),""))</f>
        <v/>
      </c>
      <c r="AQ19" s="108">
        <v>48</v>
      </c>
      <c r="AR19" s="108" t="s">
        <v>2211</v>
      </c>
      <c r="AS19" s="108">
        <v>1</v>
      </c>
      <c r="AT19" s="108" t="str">
        <f t="shared" si="2"/>
        <v/>
      </c>
      <c r="AV19" s="108" t="str">
        <f t="shared" si="3"/>
        <v/>
      </c>
      <c r="AZ19" s="245" t="str" cm="1">
        <f t="array" ref="AZ19">INDEX(AR$6:AR$132,MATCH(0,COUNTIF($AZ$5:AZ18,AR$6:AR$132),0))</f>
        <v>Primo</v>
      </c>
      <c r="BA19" s="108" cm="1">
        <f t="array" ref="BA19">INDEX(AM$6:AM$161,MATCH(0,COUNTIF($BA$5:BA18,AM$6:AM$161),0))</f>
        <v>15</v>
      </c>
      <c r="BD19" s="108" cm="1">
        <f t="array" ref="BD19">INDEX(AM$205:AM$236,MATCH(0,COUNTIF($BD$5:BD18,AM$205:AM$236),0))</f>
        <v>1.32</v>
      </c>
      <c r="BK19" s="236"/>
      <c r="BL19" s="236"/>
      <c r="BO19" s="236"/>
    </row>
    <row r="20" spans="1:67">
      <c r="A20" s="108" t="str">
        <f>IF(AND('Customer Base'!D$8=48,'Customer Base'!D$13="Victron",'Customer Base'!E$13="Phoenix",'Customer Base'!D$14&gt;0.8,'Customer Base'!D$14&lt;=1.2),'Customer Base'!D$15,IF(AND('Customer Base'!D$7="Mini-Grid",'Customer Base'!D$8=48,'Customer Base'!F$13="Victron",'Customer Base'!F$14&gt;0.8,'Customer Base'!F$14&lt;=1.2),'Customer Base'!F$15,""))</f>
        <v/>
      </c>
      <c r="C20" s="242" t="s">
        <v>1012</v>
      </c>
      <c r="D20" s="272">
        <v>338.63</v>
      </c>
      <c r="E20" s="272">
        <v>318.94600000000003</v>
      </c>
      <c r="F20" s="243">
        <f t="shared" si="0"/>
        <v>277.79327317473337</v>
      </c>
      <c r="G20" s="243">
        <f>IFERROR(ROUNDUP(F20*INVOICE!$O$6,2),0)</f>
        <v>4639.1500000000005</v>
      </c>
      <c r="H20" s="243">
        <f t="shared" si="1"/>
        <v>261.64561115668579</v>
      </c>
      <c r="I20" s="243">
        <f>IFERROR(ROUNDUP(H20*INVOICE!$O$6,2),0)</f>
        <v>4369.49</v>
      </c>
      <c r="J20" s="108">
        <f t="shared" si="4"/>
        <v>1950</v>
      </c>
      <c r="K20" s="108" t="s">
        <v>961</v>
      </c>
      <c r="L20" s="229">
        <f>J20/INVOICE!$O$6</f>
        <v>116.76646706586827</v>
      </c>
      <c r="M20" s="108">
        <v>185</v>
      </c>
      <c r="N20" s="108">
        <v>15</v>
      </c>
      <c r="O20" s="108" t="str">
        <f>IF(INVOICE!$N$16="MANUAL",IF(B20&lt;&gt;"",C20,""),IF(INVOICE!$N$16="AUTOMATE",IF(A20&lt;&gt;"",C20,""),""))</f>
        <v/>
      </c>
      <c r="P20" s="108" t="s">
        <v>1392</v>
      </c>
      <c r="AM20" s="244">
        <v>1.2</v>
      </c>
      <c r="AN20" s="244" t="s">
        <v>2248</v>
      </c>
      <c r="AO20" s="108" t="str">
        <f>IF(INVOICE!$N$16="MANUAL",IFERROR(AM20*B20,""),IF(INVOICE!$N$16="AUTOMATE",IFERROR(AM20*A20,""),""))</f>
        <v/>
      </c>
      <c r="AQ20" s="108">
        <v>48</v>
      </c>
      <c r="AR20" s="108" t="s">
        <v>2211</v>
      </c>
      <c r="AS20" s="108">
        <v>1</v>
      </c>
      <c r="AT20" s="108" t="str">
        <f t="shared" si="2"/>
        <v/>
      </c>
      <c r="AV20" s="108" t="str">
        <f t="shared" si="3"/>
        <v/>
      </c>
      <c r="AZ20" s="245" t="str" cm="1">
        <f t="array" ref="AZ20">INDEX(AR$6:AR$132,MATCH(0,COUNTIF($AZ$5:AZ19,AR$6:AR$132),0))</f>
        <v>Symo</v>
      </c>
      <c r="BA20" s="108" cm="1">
        <f t="array" ref="BA20">INDEX(AM$6:AM$161,MATCH(0,COUNTIF($BA$5:BA19,AM$6:AM$161),0))</f>
        <v>16</v>
      </c>
      <c r="BD20" s="108" cm="1">
        <f t="array" ref="BD20">INDEX(AM$205:AM$236,MATCH(0,COUNTIF($BD$5:BD19,AM$205:AM$236),0))</f>
        <v>2.64</v>
      </c>
      <c r="BK20" s="236"/>
      <c r="BL20" s="236"/>
      <c r="BO20" s="236"/>
    </row>
    <row r="21" spans="1:67">
      <c r="A21" s="108" t="str">
        <f>IF(AND('Customer Base'!D$8=48,'Customer Base'!D$13="Victron",'Customer Base'!E$13="Phoenix",'Customer Base'!D$14&gt;1.2,'Customer Base'!D$14&lt;=1.6),'Customer Base'!D$15,IF(AND('Customer Base'!D$7="Mini-Grid",'Customer Base'!D$8=48,'Customer Base'!F$13="Victron",'Customer Base'!F$14&gt;1.2,'Customer Base'!F$14&lt;=1.6),'Customer Base'!F$15,""))</f>
        <v/>
      </c>
      <c r="C21" s="242" t="s">
        <v>1120</v>
      </c>
      <c r="D21" s="272">
        <v>544.52</v>
      </c>
      <c r="E21" s="272">
        <v>512.86</v>
      </c>
      <c r="F21" s="243">
        <f t="shared" ref="F21:F49" si="5">$D21/1.219</f>
        <v>446.69401148482359</v>
      </c>
      <c r="G21" s="243">
        <f>IFERROR(ROUNDUP(F21*INVOICE!$O$6,2),0)</f>
        <v>7459.79</v>
      </c>
      <c r="H21" s="243">
        <f t="shared" ref="H21:H49" si="6">$E21/1.219</f>
        <v>420.72190319934373</v>
      </c>
      <c r="I21" s="243">
        <f>IFERROR(ROUNDUP(H21*INVOICE!$O$6,2),0)</f>
        <v>7026.06</v>
      </c>
      <c r="J21" s="108">
        <f t="shared" si="4"/>
        <v>1950</v>
      </c>
      <c r="K21" s="108" t="s">
        <v>1082</v>
      </c>
      <c r="L21" s="229">
        <f>J21/INVOICE!$O$6</f>
        <v>116.76646706586827</v>
      </c>
      <c r="M21" s="108">
        <v>185</v>
      </c>
      <c r="N21" s="108">
        <v>16</v>
      </c>
      <c r="O21" s="108" t="str">
        <f>IF(INVOICE!$N$16="MANUAL",IF(B21&lt;&gt;"",C21,""),IF(INVOICE!$N$16="AUTOMATE",IF(A21&lt;&gt;"",C21,""),""))</f>
        <v/>
      </c>
      <c r="P21" s="108" t="s">
        <v>1393</v>
      </c>
      <c r="AM21" s="108">
        <v>1.6</v>
      </c>
      <c r="AN21" s="108" t="s">
        <v>2269</v>
      </c>
      <c r="AO21" s="108" t="str">
        <f>IF(INVOICE!$N$16="MANUAL",IFERROR(AM21*B21,""),IF(INVOICE!$N$16="AUTOMATE",IFERROR(AM21*A21,""),""))</f>
        <v/>
      </c>
      <c r="AQ21" s="108">
        <v>48</v>
      </c>
      <c r="AR21" s="108" t="s">
        <v>2211</v>
      </c>
      <c r="AS21" s="108">
        <v>1</v>
      </c>
      <c r="AT21" s="108" t="str">
        <f t="shared" si="2"/>
        <v/>
      </c>
      <c r="AV21" s="108" t="str">
        <f t="shared" si="3"/>
        <v/>
      </c>
      <c r="AZ21" s="245" t="str" cm="1">
        <f t="array" ref="AZ21">INDEX(AR$6:AR$132,MATCH(0,COUNTIF($AZ$5:AZ20,AR$6:AR$132),0))</f>
        <v>Eco</v>
      </c>
      <c r="BA21" s="108" cm="1">
        <f t="array" ref="BA21">INDEX(AM$6:AM$161,MATCH(0,COUNTIF($BA$5:BA20,AM$6:AM$161),0))</f>
        <v>12</v>
      </c>
      <c r="BD21" s="108" cm="1">
        <f t="array" ref="BD21">INDEX(AM$205:AM$236,MATCH(0,COUNTIF($BD$5:BD20,AM$205:AM$236),0))</f>
        <v>2.4</v>
      </c>
      <c r="BK21" s="236"/>
      <c r="BL21" s="236"/>
      <c r="BO21" s="236"/>
    </row>
    <row r="22" spans="1:67">
      <c r="A22" s="108" t="str">
        <f>IF(AND('Customer Base'!D$8=48,'Customer Base'!D$13="Victron",'Customer Base'!E$13="Phoenix",'Customer Base'!D$14&gt;1.6,'Customer Base'!D$14&lt;=2),'Customer Base'!D$15,IF(AND('Customer Base'!D$7="Mini-Grid",'Customer Base'!D$8=48,'Customer Base'!F$13="Victron",'Customer Base'!F$14&gt;1.6,'Customer Base'!F$14&lt;=2),'Customer Base'!F$15,""))</f>
        <v/>
      </c>
      <c r="C22" s="242" t="s">
        <v>1121</v>
      </c>
      <c r="D22" s="272">
        <v>649.27</v>
      </c>
      <c r="E22" s="272">
        <v>611.51800000000003</v>
      </c>
      <c r="F22" s="243">
        <f t="shared" si="5"/>
        <v>532.62510254306801</v>
      </c>
      <c r="G22" s="243">
        <f>IFERROR(ROUNDUP(F22*INVOICE!$O$6,2),0)</f>
        <v>8894.84</v>
      </c>
      <c r="H22" s="243">
        <f t="shared" si="6"/>
        <v>501.65545529122232</v>
      </c>
      <c r="I22" s="243">
        <f>IFERROR(ROUNDUP(H22*INVOICE!$O$6,2),0)</f>
        <v>8377.65</v>
      </c>
      <c r="J22" s="108">
        <f t="shared" si="4"/>
        <v>7480</v>
      </c>
      <c r="K22" s="108" t="s">
        <v>1083</v>
      </c>
      <c r="L22" s="229">
        <f>J22/INVOICE!$O$6</f>
        <v>447.90419161676647</v>
      </c>
      <c r="M22" s="108">
        <v>712</v>
      </c>
      <c r="N22" s="108">
        <v>17</v>
      </c>
      <c r="O22" s="108" t="str">
        <f>IF(INVOICE!$N$16="MANUAL",IF(B22&lt;&gt;"",C22,""),IF(INVOICE!$N$16="AUTOMATE",IF(A22&lt;&gt;"",C22,""),""))</f>
        <v/>
      </c>
      <c r="P22" s="108" t="s">
        <v>1745</v>
      </c>
      <c r="AM22" s="108">
        <v>2</v>
      </c>
      <c r="AN22" s="108" t="s">
        <v>2270</v>
      </c>
      <c r="AO22" s="108" t="str">
        <f>IF(INVOICE!$N$16="MANUAL",IFERROR(AM22*B22,""),IF(INVOICE!$N$16="AUTOMATE",IFERROR(AM22*A22,""),""))</f>
        <v/>
      </c>
      <c r="AQ22" s="108">
        <v>48</v>
      </c>
      <c r="AR22" s="108" t="s">
        <v>2211</v>
      </c>
      <c r="AS22" s="108">
        <v>1</v>
      </c>
      <c r="AT22" s="108" t="str">
        <f t="shared" si="2"/>
        <v/>
      </c>
      <c r="AV22" s="108" t="str">
        <f t="shared" si="3"/>
        <v/>
      </c>
      <c r="AZ22" s="245" t="str" cm="1">
        <f t="array" ref="AZ22">INDEX(AR$6:AR$132,MATCH(0,COUNTIF($AZ$5:AZ21,AR$6:AR$132),0))</f>
        <v>Verto</v>
      </c>
      <c r="BA22" s="108" cm="1">
        <f t="array" ref="BA22">INDEX(AM$6:AM$161,MATCH(0,COUNTIF($BA$5:BA21,AM$6:AM$161),0))</f>
        <v>20</v>
      </c>
      <c r="BD22" s="108" cm="1">
        <f t="array" ref="BD22">INDEX(AM$205:AM$236,MATCH(0,COUNTIF($BD$5:BD21,AM$205:AM$236),0))</f>
        <v>26.3</v>
      </c>
    </row>
    <row r="23" spans="1:67">
      <c r="A23" s="108" t="str">
        <f>IF(AND('Customer Base'!D$8=48,'Customer Base'!D$13="Victron",'Customer Base'!E$13="Phoenix",'Customer Base'!D$14&gt;2,'Customer Base'!D$14&lt;=3),'Customer Base'!D$15,IF(AND('Customer Base'!D$7="Mini-Grid",'Customer Base'!D$8=48,'Customer Base'!F$13="Victron",'Customer Base'!F$14&gt;2,'Customer Base'!F$14&lt;=3),'Customer Base'!F$15,""))</f>
        <v/>
      </c>
      <c r="C23" s="242" t="s">
        <v>1122</v>
      </c>
      <c r="D23" s="272">
        <v>921.95</v>
      </c>
      <c r="E23" s="272">
        <v>868.35199999999998</v>
      </c>
      <c r="F23" s="243">
        <f t="shared" si="5"/>
        <v>756.31665299425754</v>
      </c>
      <c r="G23" s="243">
        <f>IFERROR(ROUNDUP(F23*INVOICE!$O$6,2),0)</f>
        <v>12630.49</v>
      </c>
      <c r="H23" s="243">
        <f t="shared" si="6"/>
        <v>712.3478260869565</v>
      </c>
      <c r="I23" s="243">
        <f>IFERROR(ROUNDUP(H23*INVOICE!$O$6,2),0)</f>
        <v>11896.210000000001</v>
      </c>
      <c r="J23" s="108">
        <f t="shared" si="4"/>
        <v>7480</v>
      </c>
      <c r="K23" s="108" t="s">
        <v>577</v>
      </c>
      <c r="L23" s="229">
        <f>J23/INVOICE!$O$6</f>
        <v>447.90419161676647</v>
      </c>
      <c r="M23" s="108">
        <v>712</v>
      </c>
      <c r="N23" s="108">
        <v>18</v>
      </c>
      <c r="O23" s="108" t="str">
        <f>IF(INVOICE!$N$16="MANUAL",IF(B23&lt;&gt;"",C23,""),IF(INVOICE!$N$16="AUTOMATE",IF(A23&lt;&gt;"",C23,""),""))</f>
        <v/>
      </c>
      <c r="P23" s="108" t="s">
        <v>1759</v>
      </c>
      <c r="AM23" s="108">
        <v>3</v>
      </c>
      <c r="AN23" s="108" t="s">
        <v>2271</v>
      </c>
      <c r="AO23" s="108" t="str">
        <f>IF(INVOICE!$N$16="MANUAL",IFERROR(AM23*B23,""),IF(INVOICE!$N$16="AUTOMATE",IFERROR(AM23*A23,""),""))</f>
        <v/>
      </c>
      <c r="AQ23" s="108">
        <v>48</v>
      </c>
      <c r="AR23" s="108" t="s">
        <v>2211</v>
      </c>
      <c r="AS23" s="108">
        <v>1</v>
      </c>
      <c r="AT23" s="108" t="str">
        <f t="shared" si="2"/>
        <v/>
      </c>
      <c r="AV23" s="108" t="str">
        <f t="shared" si="3"/>
        <v/>
      </c>
      <c r="AZ23" s="245" t="str" cm="1">
        <f t="array" ref="AZ23">INDEX(AR$6:AR$132,MATCH(0,COUNTIF($AZ$5:AZ22,AR$6:AR$132),0))</f>
        <v>Tauro</v>
      </c>
      <c r="BA23" s="108" cm="1">
        <f t="array" ref="BA23">INDEX(AM$6:AM$161,MATCH(0,COUNTIF($BA$5:BA22,AM$6:AM$161),0))</f>
        <v>30</v>
      </c>
      <c r="BD23" s="108" cm="1">
        <f t="array" ref="BD23">INDEX(AM$205:AM$236,MATCH(0,COUNTIF($BD$5:BD22,AM$205:AM$236),0))</f>
        <v>1.2</v>
      </c>
    </row>
    <row r="24" spans="1:67">
      <c r="A24" s="108" t="str">
        <f>IF(AND('Customer Base'!D$8=48,'Customer Base'!D$13="Victron",'Customer Base'!E$13="Phoenix",'Customer Base'!D$14&gt;3,'Customer Base'!D$14&lt;=5),'Customer Base'!D$15,IF(AND('Customer Base'!D$7="Mini-Grid",'Customer Base'!D$8=48,'Customer Base'!F$13="Victron",'Customer Base'!F$14&gt;3,'Customer Base'!F$14&lt;=5),'Customer Base'!F$15,""))</f>
        <v/>
      </c>
      <c r="C24" s="242" t="s">
        <v>1007</v>
      </c>
      <c r="D24" s="272">
        <v>1381.59</v>
      </c>
      <c r="E24" s="272">
        <v>1301.2650000000001</v>
      </c>
      <c r="F24" s="243">
        <f t="shared" si="5"/>
        <v>1133.3798195242</v>
      </c>
      <c r="G24" s="243">
        <f>IFERROR(ROUNDUP(F24*INVOICE!$O$6,2),0)</f>
        <v>18927.449999999997</v>
      </c>
      <c r="H24" s="243">
        <f t="shared" si="6"/>
        <v>1067.4856439704677</v>
      </c>
      <c r="I24" s="243">
        <f>IFERROR(ROUNDUP(H24*INVOICE!$O$6,2),0)</f>
        <v>17827.019999999997</v>
      </c>
      <c r="J24" s="108">
        <f t="shared" si="4"/>
        <v>4200</v>
      </c>
      <c r="K24" s="108" t="s">
        <v>1084</v>
      </c>
      <c r="L24" s="229">
        <f>J24/INVOICE!$O$6</f>
        <v>251.49700598802397</v>
      </c>
      <c r="M24" s="108">
        <v>400</v>
      </c>
      <c r="N24" s="108">
        <v>19</v>
      </c>
      <c r="O24" s="108" t="str">
        <f>IF(INVOICE!$N$16="MANUAL",IF(B24&lt;&gt;"",C24,""),IF(INVOICE!$N$16="AUTOMATE",IF(A24&lt;&gt;"",C24,""),""))</f>
        <v/>
      </c>
      <c r="AM24" s="108">
        <v>5</v>
      </c>
      <c r="AN24" s="108" t="s">
        <v>2272</v>
      </c>
      <c r="AO24" s="108" t="str">
        <f>IF(INVOICE!$N$16="MANUAL",IFERROR(AM24*B24,""),IF(INVOICE!$N$16="AUTOMATE",IFERROR(AM24*A24,""),""))</f>
        <v/>
      </c>
      <c r="AQ24" s="108">
        <v>48</v>
      </c>
      <c r="AR24" s="108" t="s">
        <v>2211</v>
      </c>
      <c r="AS24" s="108">
        <v>1</v>
      </c>
      <c r="AT24" s="108" t="str">
        <f t="shared" si="2"/>
        <v/>
      </c>
      <c r="AV24" s="108" t="str">
        <f t="shared" si="3"/>
        <v/>
      </c>
      <c r="AZ24" s="245" t="str" cm="1">
        <f t="array" ref="AZ24">INDEX(AR$6:AR$132,MATCH(0,COUNTIF($AZ$5:AZ23,AR$6:AR$132),0))</f>
        <v>Gen_24_Primo</v>
      </c>
      <c r="BA24" s="108" cm="1">
        <f t="array" ref="BA24">INDEX(AM$6:AM$161,MATCH(0,COUNTIF($BA$5:BA23,AM$6:AM$161),0))</f>
        <v>40</v>
      </c>
      <c r="BD24" s="108" cm="1">
        <f t="array" ref="BD24">INDEX(AM$205:AM$236,MATCH(0,COUNTIF($BD$5:BD23,AM$205:AM$236),0))</f>
        <v>1.8</v>
      </c>
    </row>
    <row r="25" spans="1:67">
      <c r="D25" s="324"/>
      <c r="E25" s="324"/>
      <c r="F25" s="229">
        <f t="shared" si="5"/>
        <v>0</v>
      </c>
      <c r="G25" s="229">
        <f>IFERROR(ROUNDUP(F25*INVOICE!$O$6,2),0)</f>
        <v>0</v>
      </c>
      <c r="H25" s="229">
        <f t="shared" si="6"/>
        <v>0</v>
      </c>
      <c r="I25" s="229">
        <f>IFERROR(ROUNDUP(H25*INVOICE!$O$6,2),0)</f>
        <v>0</v>
      </c>
      <c r="J25" s="108">
        <f t="shared" si="4"/>
        <v>4200</v>
      </c>
      <c r="K25" s="108" t="s">
        <v>857</v>
      </c>
      <c r="L25" s="229">
        <f>J25/INVOICE!$O$6</f>
        <v>251.49700598802397</v>
      </c>
      <c r="M25" s="108">
        <v>400</v>
      </c>
      <c r="N25" s="108">
        <v>20</v>
      </c>
      <c r="O25" s="108" t="str">
        <f>IF(INVOICE!$N$16="MANUAL",IF(B25&lt;&gt;"",C25,""),IF(INVOICE!$N$16="AUTOMATE",IF(A25&lt;&gt;"",C25,""),""))</f>
        <v/>
      </c>
      <c r="AO25" s="108">
        <f>IF(INVOICE!$N$16="MANUAL",IFERROR(AM25*B25,""),IF(INVOICE!$N$16="AUTOMATE",IFERROR(AM25*A25,""),""))</f>
        <v>0</v>
      </c>
      <c r="AT25" s="108" t="str">
        <f t="shared" si="2"/>
        <v/>
      </c>
      <c r="AV25" s="108" t="str">
        <f t="shared" si="3"/>
        <v/>
      </c>
      <c r="AZ25" s="245"/>
      <c r="BA25" s="108" cm="1">
        <f t="array" ref="BA25">INDEX(AM$6:AM$161,MATCH(0,COUNTIF($BA$5:BA24,AM$6:AM$161),0))</f>
        <v>50</v>
      </c>
      <c r="BD25" s="108" cm="1">
        <f t="array" ref="BD25">INDEX(AM$205:AM$236,MATCH(0,COUNTIF($BD$5:BD24,AM$205:AM$236),0))</f>
        <v>3</v>
      </c>
    </row>
    <row r="26" spans="1:67">
      <c r="A26" s="108" t="str">
        <f>IF(AND('Customer Base'!D$8=12,'Customer Base'!D$13="Victron",'Customer Base'!E$13="Multiplus",'Customer Base'!D$14&gt;0,'Customer Base'!D$14&lt;=0.5),'Customer Base'!D$15,IF(AND('Customer Base'!D$7="Mini-Grid",'Customer Base'!D$8=12,'Customer Base'!F$13="Victron",'Customer Base'!F$14&gt;0,'Customer Base'!F$14&lt;=0.5),'Customer Base'!F$15,""))</f>
        <v/>
      </c>
      <c r="C26" s="242" t="s">
        <v>1105</v>
      </c>
      <c r="D26" s="272">
        <v>261.87</v>
      </c>
      <c r="E26" s="272">
        <v>246.64500000000001</v>
      </c>
      <c r="F26" s="243">
        <f t="shared" si="5"/>
        <v>214.8236259228876</v>
      </c>
      <c r="G26" s="243">
        <f>IFERROR(ROUNDUP(F26*INVOICE!$O$6,2),0)</f>
        <v>3587.5600000000004</v>
      </c>
      <c r="H26" s="243">
        <f t="shared" si="6"/>
        <v>202.33388022969646</v>
      </c>
      <c r="I26" s="243">
        <f>IFERROR(ROUNDUP(H26*INVOICE!$O$6,2),0)</f>
        <v>3378.98</v>
      </c>
      <c r="J26" s="108">
        <f t="shared" si="4"/>
        <v>4070</v>
      </c>
      <c r="K26" s="108" t="s">
        <v>1085</v>
      </c>
      <c r="L26" s="229">
        <f>J26/INVOICE!$O$6</f>
        <v>243.7125748502994</v>
      </c>
      <c r="M26" s="108">
        <v>387</v>
      </c>
      <c r="N26" s="108">
        <v>21</v>
      </c>
      <c r="O26" s="108" t="str">
        <f>IF(INVOICE!$N$16="MANUAL",IF(B26&lt;&gt;"",C26,""),IF(INVOICE!$N$16="AUTOMATE",IF(A26&lt;&gt;"",C26,""),""))</f>
        <v/>
      </c>
      <c r="AM26" s="108">
        <v>0.5</v>
      </c>
      <c r="AN26" s="108" t="s">
        <v>2236</v>
      </c>
      <c r="AO26" s="108" t="str">
        <f>IF(INVOICE!$N$16="MANUAL",IFERROR(AM26*B26,""),IF(INVOICE!$N$16="AUTOMATE",IFERROR(AM26*A26,""),""))</f>
        <v/>
      </c>
      <c r="AQ26" s="108">
        <v>12</v>
      </c>
      <c r="AR26" s="108" t="s">
        <v>2215</v>
      </c>
      <c r="AS26" s="108">
        <v>1</v>
      </c>
      <c r="AT26" s="108" t="str">
        <f t="shared" si="2"/>
        <v/>
      </c>
      <c r="AV26" s="108" t="str">
        <f t="shared" si="3"/>
        <v/>
      </c>
      <c r="AW26" s="108">
        <v>20</v>
      </c>
      <c r="AZ26" s="245"/>
      <c r="BA26" s="108" cm="1">
        <f t="array" ref="BA26">INDEX(AM$6:AM$161,MATCH(0,COUNTIF($BA$5:BA25,AM$6:AM$161),0))</f>
        <v>8.1999999999999993</v>
      </c>
      <c r="BD26" s="108" t="e" cm="1">
        <f t="array" ref="BD26">INDEX(AM$205:AM$236,MATCH(0,COUNTIF($BD$5:BD25,AM$205:AM$236),0))</f>
        <v>#N/A</v>
      </c>
    </row>
    <row r="27" spans="1:67">
      <c r="A27" s="108" t="str">
        <f>IF(AND('Customer Base'!D$8=12,'Customer Base'!D$13="Victron",'Customer Base'!E$13="Multiplus",'Customer Base'!D$14&gt;0.5,'Customer Base'!D$14&lt;=0.8),'Customer Base'!D$15,IF(AND('Customer Base'!D$7="Mini-Grid",'Customer Base'!D$8=12,'Customer Base'!F$13="Victron",'Customer Base'!F$14&gt;0.5,'Customer Base'!F$14&lt;=0.8),'Customer Base'!F$15,""))</f>
        <v/>
      </c>
      <c r="C27" s="242" t="s">
        <v>1106</v>
      </c>
      <c r="D27" s="272">
        <v>307.91000000000003</v>
      </c>
      <c r="E27" s="272">
        <v>290.012</v>
      </c>
      <c r="F27" s="243">
        <f t="shared" si="5"/>
        <v>252.59228876127975</v>
      </c>
      <c r="G27" s="243">
        <f>IFERROR(ROUNDUP(F27*INVOICE!$O$6,2),0)</f>
        <v>4218.3</v>
      </c>
      <c r="H27" s="243">
        <f t="shared" si="6"/>
        <v>237.90976210008202</v>
      </c>
      <c r="I27" s="243">
        <f>IFERROR(ROUNDUP(H27*INVOICE!$O$6,2),0)</f>
        <v>3973.1000000000004</v>
      </c>
      <c r="J27" s="108">
        <f t="shared" si="4"/>
        <v>4070</v>
      </c>
      <c r="K27" s="108" t="s">
        <v>1086</v>
      </c>
      <c r="L27" s="229">
        <f>J27/INVOICE!$O$6</f>
        <v>243.7125748502994</v>
      </c>
      <c r="M27" s="108">
        <v>387</v>
      </c>
      <c r="N27" s="108">
        <v>22</v>
      </c>
      <c r="O27" s="108" t="str">
        <f>IF(INVOICE!$N$16="MANUAL",IF(B27&lt;&gt;"",C27,""),IF(INVOICE!$N$16="AUTOMATE",IF(A27&lt;&gt;"",C27,""),""))</f>
        <v/>
      </c>
      <c r="AM27" s="108">
        <v>0.8</v>
      </c>
      <c r="AN27" s="108" t="s">
        <v>2237</v>
      </c>
      <c r="AO27" s="108" t="str">
        <f>IF(INVOICE!$N$16="MANUAL",IFERROR(AM27*B27,""),IF(INVOICE!$N$16="AUTOMATE",IFERROR(AM27*A27,""),""))</f>
        <v/>
      </c>
      <c r="AQ27" s="108">
        <v>12</v>
      </c>
      <c r="AR27" s="108" t="s">
        <v>2215</v>
      </c>
      <c r="AS27" s="108">
        <v>1</v>
      </c>
      <c r="AT27" s="108" t="str">
        <f t="shared" si="2"/>
        <v/>
      </c>
      <c r="AV27" s="108" t="str">
        <f t="shared" si="3"/>
        <v/>
      </c>
      <c r="AW27" s="108">
        <v>35</v>
      </c>
      <c r="AZ27" s="245"/>
      <c r="BA27" s="108" cm="1">
        <f t="array" ref="BA27">INDEX(AM$6:AM$161,MATCH(0,COUNTIF($BA$5:BA26,AM$6:AM$161),0))</f>
        <v>25</v>
      </c>
      <c r="BD27" s="108" t="e" cm="1">
        <f t="array" ref="BD27">INDEX(AM$205:AM$236,MATCH(0,COUNTIF($BD$5:BD26,AM$205:AM$236),0))</f>
        <v>#N/A</v>
      </c>
    </row>
    <row r="28" spans="1:67">
      <c r="A28" s="108" t="str">
        <f>IF(AND('Customer Base'!D$8=12,'Customer Base'!D$13="Victron",'Customer Base'!E$13="Multiplus",'Customer Base'!D$14&gt;0.8,'Customer Base'!D$14&lt;=1.2),'Customer Base'!D$15,IF(AND('Customer Base'!D$7="Mini-Grid",'Customer Base'!D$8=12,'Customer Base'!F$13="Victron",'Customer Base'!F$14&gt;0.8,'Customer Base'!F$14&lt;=1.2),'Customer Base'!F$15,""))</f>
        <v/>
      </c>
      <c r="C28" s="242" t="s">
        <v>1107</v>
      </c>
      <c r="D28" s="272">
        <v>429.83</v>
      </c>
      <c r="E28" s="272">
        <v>404.83800000000002</v>
      </c>
      <c r="F28" s="243">
        <f t="shared" si="5"/>
        <v>352.60869565217388</v>
      </c>
      <c r="G28" s="243">
        <f>IFERROR(ROUNDUP(F28*INVOICE!$O$6,2),0)</f>
        <v>5888.5700000000006</v>
      </c>
      <c r="H28" s="243">
        <f t="shared" si="6"/>
        <v>332.10664479081214</v>
      </c>
      <c r="I28" s="243">
        <f>IFERROR(ROUNDUP(H28*INVOICE!$O$6,2),0)</f>
        <v>5546.1900000000005</v>
      </c>
      <c r="J28" s="108">
        <f t="shared" si="4"/>
        <v>3590</v>
      </c>
      <c r="K28" s="108" t="s">
        <v>1087</v>
      </c>
      <c r="L28" s="229">
        <f>J28/INVOICE!$O$6</f>
        <v>214.97005988023952</v>
      </c>
      <c r="M28" s="108">
        <v>341</v>
      </c>
      <c r="N28" s="108">
        <v>23</v>
      </c>
      <c r="O28" s="108" t="str">
        <f>IF(INVOICE!$N$16="MANUAL",IF(B28&lt;&gt;"",C28,""),IF(INVOICE!$N$16="AUTOMATE",IF(A28&lt;&gt;"",C28,""),""))</f>
        <v/>
      </c>
      <c r="AM28" s="108">
        <v>1.2</v>
      </c>
      <c r="AN28" s="108" t="s">
        <v>2238</v>
      </c>
      <c r="AO28" s="108" t="str">
        <f>IF(INVOICE!$N$16="MANUAL",IFERROR(AM28*B28,""),IF(INVOICE!$N$16="AUTOMATE",IFERROR(AM28*A28,""),""))</f>
        <v/>
      </c>
      <c r="AQ28" s="108">
        <v>12</v>
      </c>
      <c r="AR28" s="108" t="s">
        <v>2215</v>
      </c>
      <c r="AS28" s="108">
        <v>1</v>
      </c>
      <c r="AT28" s="108" t="str">
        <f t="shared" si="2"/>
        <v/>
      </c>
      <c r="AV28" s="108" t="str">
        <f t="shared" si="3"/>
        <v/>
      </c>
      <c r="AW28" s="108">
        <v>50</v>
      </c>
      <c r="AZ28" s="245"/>
      <c r="BA28" s="108" cm="1">
        <f t="array" ref="BA28">INDEX(AM$6:AM$161,MATCH(0,COUNTIF($BA$5:BA27,AM$6:AM$161),0))</f>
        <v>27</v>
      </c>
      <c r="BD28" s="108" t="e" cm="1">
        <f t="array" ref="BD28">INDEX(AM$205:AM$236,MATCH(0,COUNTIF($BD$5:BD27,AM$205:AM$236),0))</f>
        <v>#N/A</v>
      </c>
    </row>
    <row r="29" spans="1:67">
      <c r="C29" s="242" t="s">
        <v>1108</v>
      </c>
      <c r="D29" s="272">
        <v>488.51</v>
      </c>
      <c r="E29" s="272">
        <v>460.11200000000002</v>
      </c>
      <c r="F29" s="243">
        <f t="shared" si="5"/>
        <v>400.74651353568493</v>
      </c>
      <c r="G29" s="243">
        <f>IFERROR(ROUNDUP(F29*INVOICE!$O$6,2),0)</f>
        <v>6692.47</v>
      </c>
      <c r="H29" s="243">
        <f t="shared" si="6"/>
        <v>377.45036915504511</v>
      </c>
      <c r="I29" s="243">
        <f>IFERROR(ROUNDUP(H29*INVOICE!$O$6,2),0)</f>
        <v>6303.43</v>
      </c>
      <c r="J29" s="108">
        <f t="shared" si="4"/>
        <v>3590</v>
      </c>
      <c r="K29" s="108" t="s">
        <v>1088</v>
      </c>
      <c r="L29" s="229">
        <f>J29/INVOICE!$O$6</f>
        <v>214.97005988023952</v>
      </c>
      <c r="M29" s="108">
        <v>341</v>
      </c>
      <c r="N29" s="108">
        <v>24</v>
      </c>
      <c r="O29" s="108" t="str">
        <f>IF(INVOICE!$N$16="MANUAL",IF(B29&lt;&gt;"",C29,""),IF(INVOICE!$N$16="AUTOMATE",IF(A29&lt;&gt;"",C29,""),""))</f>
        <v/>
      </c>
      <c r="P29" s="108" t="str">
        <f>"Backup System with "&amp;INVOICE!$O$8&amp;"kVA inverter, "&amp;INVOICE!$O$9&amp;"kWh Battery, "&amp;"and Remote Monitoring"</f>
        <v>Backup System with 5kVA inverter, 60kWh Battery, and Remote Monitoring</v>
      </c>
      <c r="AM29" s="108">
        <v>1.6</v>
      </c>
      <c r="AN29" s="108" t="s">
        <v>2249</v>
      </c>
      <c r="AO29" s="108">
        <f>IF(INVOICE!$N$16="MANUAL",IFERROR(AM29*B29,""),IF(INVOICE!$N$16="AUTOMATE",IFERROR(AM29*A29,""),""))</f>
        <v>0</v>
      </c>
      <c r="AQ29" s="108">
        <v>12</v>
      </c>
      <c r="AR29" s="108" t="s">
        <v>2215</v>
      </c>
      <c r="AS29" s="108">
        <v>1</v>
      </c>
      <c r="AT29" s="108" t="str">
        <f t="shared" si="2"/>
        <v/>
      </c>
      <c r="AV29" s="108" t="str">
        <f t="shared" si="3"/>
        <v/>
      </c>
      <c r="AW29" s="108">
        <v>70</v>
      </c>
      <c r="AZ29" s="245"/>
      <c r="BA29" s="108" cm="1">
        <f t="array" ref="BA29">INDEX(AM$6:AM$161,MATCH(0,COUNTIF($BA$5:BA28,AM$6:AM$161),0))</f>
        <v>33.299999999999997</v>
      </c>
      <c r="BD29" s="108" t="e" cm="1">
        <f t="array" ref="BD29">INDEX(AM$205:AM$236,MATCH(0,COUNTIF($BD$5:BD28,AM$205:AM$236),0))</f>
        <v>#N/A</v>
      </c>
    </row>
    <row r="30" spans="1:67">
      <c r="C30" s="242" t="s">
        <v>1109</v>
      </c>
      <c r="D30" s="272">
        <v>544.51</v>
      </c>
      <c r="E30" s="272">
        <v>512.86</v>
      </c>
      <c r="F30" s="243">
        <f t="shared" si="5"/>
        <v>446.68580803937652</v>
      </c>
      <c r="G30" s="243">
        <f>IFERROR(ROUNDUP(F30*INVOICE!$O$6,2),0)</f>
        <v>7459.66</v>
      </c>
      <c r="H30" s="243">
        <f t="shared" si="6"/>
        <v>420.72190319934373</v>
      </c>
      <c r="I30" s="243">
        <f>IFERROR(ROUNDUP(H30*INVOICE!$O$6,2),0)</f>
        <v>7026.06</v>
      </c>
      <c r="J30" s="108">
        <f t="shared" si="4"/>
        <v>4180</v>
      </c>
      <c r="K30" s="108" t="s">
        <v>1089</v>
      </c>
      <c r="L30" s="229">
        <f>J30/INVOICE!$O$6</f>
        <v>250.29940119760479</v>
      </c>
      <c r="M30" s="108">
        <v>398</v>
      </c>
      <c r="N30" s="108">
        <v>25</v>
      </c>
      <c r="O30" s="108" t="str">
        <f>IF(INVOICE!$N$16="MANUAL",IF(B30&lt;&gt;"",C30,""),IF(INVOICE!$N$16="AUTOMATE",IF(A30&lt;&gt;"",C30,""),""))</f>
        <v/>
      </c>
      <c r="P30" s="108" t="str">
        <f>"Grid-Tied Solar System with "&amp;INVOICE!$O$8&amp;"kVA inverter, "&amp;INVOICE!$O$10&amp;"kWp Solar Panels and Remote Monitoring"</f>
        <v>Grid-Tied Solar System with 5kVA inverter, 22.6kWp Solar Panels and Remote Monitoring</v>
      </c>
      <c r="AM30" s="108">
        <v>2</v>
      </c>
      <c r="AN30" s="246" t="s">
        <v>2252</v>
      </c>
      <c r="AO30" s="108">
        <f>IF(INVOICE!$N$16="MANUAL",IFERROR(AM30*B30,""),IF(INVOICE!$N$16="AUTOMATE",IFERROR(AM30*A30,""),""))</f>
        <v>0</v>
      </c>
      <c r="AQ30" s="108">
        <v>12</v>
      </c>
      <c r="AR30" s="108" t="s">
        <v>2215</v>
      </c>
      <c r="AS30" s="108">
        <v>1</v>
      </c>
      <c r="AT30" s="108" t="str">
        <f t="shared" si="2"/>
        <v/>
      </c>
      <c r="AV30" s="108" t="str">
        <f t="shared" si="3"/>
        <v/>
      </c>
      <c r="AW30" s="108">
        <v>80</v>
      </c>
      <c r="AZ30" s="245"/>
      <c r="BA30" s="108" cm="1">
        <f t="array" ref="BA30">INDEX(AM$6:AM$161,MATCH(0,COUNTIF($BA$5:BA29,AM$6:AM$161),0))</f>
        <v>100</v>
      </c>
      <c r="BD30" s="108" t="e" cm="1">
        <f t="array" ref="BD30">INDEX(AM$205:AM$236,MATCH(0,COUNTIF($BD$5:BD29,AM$205:AM$236),0))</f>
        <v>#N/A</v>
      </c>
    </row>
    <row r="31" spans="1:67">
      <c r="A31" s="108" t="str">
        <f>IF(AND('Customer Base'!D$8=24,'Customer Base'!D$13="Victron",'Customer Base'!E$13="Multiplus",'Customer Base'!D$14&gt;0,'Customer Base'!D$14&lt;=0.5),'Customer Base'!D$15,IF(AND('Customer Base'!D$7="Mini-Grid",'Customer Base'!D$8=24,'Customer Base'!F$13="Victron",'Customer Base'!F$14&gt;0,'Customer Base'!F$14&lt;=0.5),'Customer Base'!F$15,""))</f>
        <v/>
      </c>
      <c r="C31" s="242" t="s">
        <v>1946</v>
      </c>
      <c r="D31" s="272">
        <v>261</v>
      </c>
      <c r="E31" s="272">
        <v>246.64500000000001</v>
      </c>
      <c r="F31" s="243">
        <f t="shared" si="5"/>
        <v>214.10992616899097</v>
      </c>
      <c r="G31" s="243">
        <f>IFERROR(ROUNDUP(F31*INVOICE!$O$6,2),0)</f>
        <v>3575.6400000000003</v>
      </c>
      <c r="H31" s="243">
        <f t="shared" si="6"/>
        <v>202.33388022969646</v>
      </c>
      <c r="I31" s="243">
        <f>IFERROR(ROUNDUP(H31*INVOICE!$O$6,2),0)</f>
        <v>3378.98</v>
      </c>
      <c r="J31" s="108">
        <f t="shared" si="4"/>
        <v>4180</v>
      </c>
      <c r="K31" s="108" t="s">
        <v>1090</v>
      </c>
      <c r="L31" s="229">
        <f>J31/INVOICE!$O$6</f>
        <v>250.29940119760479</v>
      </c>
      <c r="M31" s="108">
        <v>398</v>
      </c>
      <c r="N31" s="108">
        <v>26</v>
      </c>
      <c r="O31" s="108" t="str">
        <f>IF(INVOICE!$N$16="MANUAL",IF(B31&lt;&gt;"",C31,""),IF(INVOICE!$N$16="AUTOMATE",IF(A31&lt;&gt;"",C31,""),""))</f>
        <v/>
      </c>
      <c r="P31" s="108" t="str">
        <f>"Hybrid Solar System with "&amp;INVOICE!$O$8&amp;"kVA inverter, "&amp;INVOICE!$O$9&amp;"kWh Battery, "&amp;INVOICE!$O$10&amp;"kWp Solar Panels and Remote Monitoring"</f>
        <v>Hybrid Solar System with 5kVA inverter, 60kWh Battery, 22.6kWp Solar Panels and Remote Monitoring</v>
      </c>
      <c r="AM31" s="108">
        <v>0.5</v>
      </c>
      <c r="AN31" s="108" t="s">
        <v>2241</v>
      </c>
      <c r="AO31" s="108" t="str">
        <f>IF(INVOICE!$N$16="MANUAL",IFERROR(AM31*B31,""),IF(INVOICE!$N$16="AUTOMATE",IFERROR(AM31*A31,""),""))</f>
        <v/>
      </c>
      <c r="AQ31" s="108">
        <v>24</v>
      </c>
      <c r="AR31" s="108" t="s">
        <v>2215</v>
      </c>
      <c r="AS31" s="108">
        <v>1</v>
      </c>
      <c r="AT31" s="108" t="str">
        <f t="shared" si="2"/>
        <v/>
      </c>
      <c r="AV31" s="108" t="str">
        <f t="shared" si="3"/>
        <v/>
      </c>
      <c r="AW31" s="108">
        <v>20</v>
      </c>
      <c r="BA31" s="108" cm="1">
        <f t="array" ref="BA31">INDEX(AM$6:AM$161,MATCH(0,COUNTIF($BA$5:BA30,AM$6:AM$161),0))</f>
        <v>4</v>
      </c>
      <c r="BD31" s="108" t="e" cm="1">
        <f t="array" ref="BD31">INDEX(AM$205:AM$236,MATCH(0,COUNTIF($BD$5:BD30,AM$205:AM$236),0))</f>
        <v>#N/A</v>
      </c>
    </row>
    <row r="32" spans="1:67">
      <c r="A32" s="108" t="str">
        <f>IF(AND('Customer Base'!D$8=24,'Customer Base'!D$13="Victron",'Customer Base'!E$13="Multiplus",'Customer Base'!D$14&gt;0.5,'Customer Base'!D$14&lt;=0.8),'Customer Base'!D$15,IF(AND('Customer Base'!D$7="Mini-Grid",'Customer Base'!D$8=24,'Customer Base'!F$13="Victron",'Customer Base'!F$14&gt;0.5,'Customer Base'!F$14&lt;=0.8),'Customer Base'!F$15,""))</f>
        <v/>
      </c>
      <c r="C32" s="242" t="s">
        <v>1947</v>
      </c>
      <c r="D32" s="272">
        <v>307.91000000000003</v>
      </c>
      <c r="E32" s="272">
        <v>290.012</v>
      </c>
      <c r="F32" s="243">
        <f t="shared" si="5"/>
        <v>252.59228876127975</v>
      </c>
      <c r="G32" s="243">
        <f>IFERROR(ROUNDUP(F32*INVOICE!$O$6,2),0)</f>
        <v>4218.3</v>
      </c>
      <c r="H32" s="243">
        <f t="shared" si="6"/>
        <v>237.90976210008202</v>
      </c>
      <c r="I32" s="243">
        <f>IFERROR(ROUNDUP(H32*INVOICE!$O$6,2),0)</f>
        <v>3973.1000000000004</v>
      </c>
      <c r="J32" s="108">
        <f t="shared" si="4"/>
        <v>6790</v>
      </c>
      <c r="K32" s="108" t="s">
        <v>1091</v>
      </c>
      <c r="L32" s="229">
        <f>J32/INVOICE!$O$6</f>
        <v>406.58682634730542</v>
      </c>
      <c r="M32" s="108">
        <v>646</v>
      </c>
      <c r="N32" s="108">
        <v>27</v>
      </c>
      <c r="O32" s="108" t="str">
        <f>IF(INVOICE!$N$16="MANUAL",IF(B32&lt;&gt;"",C32,""),IF(INVOICE!$N$16="AUTOMATE",IF(A32&lt;&gt;"",C32,""),""))</f>
        <v/>
      </c>
      <c r="P32" s="108" t="str">
        <f>"Hybrid Solar System with "&amp;INVOICE!$O$8&amp;"kVA inverter, "&amp;INVOICE!$O$9&amp;"kWh Battery, and "&amp;INVOICE!$O$10&amp;"kWp Solar Panels"</f>
        <v>Hybrid Solar System with 5kVA inverter, 60kWh Battery, and 22.6kWp Solar Panels</v>
      </c>
      <c r="AM32" s="108">
        <v>0.8</v>
      </c>
      <c r="AN32" s="108" t="s">
        <v>2242</v>
      </c>
      <c r="AO32" s="108" t="str">
        <f>IF(INVOICE!$N$16="MANUAL",IFERROR(AM32*B32,""),IF(INVOICE!$N$16="AUTOMATE",IFERROR(AM32*A32,""),""))</f>
        <v/>
      </c>
      <c r="AQ32" s="108">
        <v>24</v>
      </c>
      <c r="AR32" s="108" t="s">
        <v>2215</v>
      </c>
      <c r="AS32" s="108">
        <v>1</v>
      </c>
      <c r="AT32" s="108" t="str">
        <f t="shared" si="2"/>
        <v/>
      </c>
      <c r="AV32" s="108" t="str">
        <f t="shared" si="3"/>
        <v/>
      </c>
      <c r="AW32" s="108">
        <v>35</v>
      </c>
      <c r="BA32" s="108" t="e" cm="1">
        <f t="array" ref="BA32">INDEX(AM$6:AM$161,MATCH(0,COUNTIF($BA$5:BA31,AM$6:AM$161),0))</f>
        <v>#N/A</v>
      </c>
      <c r="BD32" s="108" t="e" cm="1">
        <f t="array" ref="BD32">INDEX(AM$205:AM$236,MATCH(0,COUNTIF($BD$5:BD31,AM$205:AM$236),0))</f>
        <v>#N/A</v>
      </c>
    </row>
    <row r="33" spans="1:56">
      <c r="A33" s="108" t="str">
        <f>IF(AND('Customer Base'!D$8=24,'Customer Base'!D$13="Victron",'Customer Base'!E$13="Multiplus",'Customer Base'!D$14&gt;0.8,'Customer Base'!D$14&lt;=1.2),'Customer Base'!D$15,IF(AND('Customer Base'!D$7="Mini-Grid",'Customer Base'!D$8=24,'Customer Base'!F$13="Victron",'Customer Base'!F$14&gt;0.8,'Customer Base'!F$14&lt;=1.2),'Customer Base'!F$15,""))</f>
        <v/>
      </c>
      <c r="C33" s="242" t="s">
        <v>1948</v>
      </c>
      <c r="D33" s="272">
        <v>429.83</v>
      </c>
      <c r="E33" s="272">
        <v>404.83800000000002</v>
      </c>
      <c r="F33" s="243">
        <f t="shared" si="5"/>
        <v>352.60869565217388</v>
      </c>
      <c r="G33" s="243">
        <f>IFERROR(ROUNDUP(F33*INVOICE!$O$6,2),0)</f>
        <v>5888.5700000000006</v>
      </c>
      <c r="H33" s="243">
        <f t="shared" si="6"/>
        <v>332.10664479081214</v>
      </c>
      <c r="I33" s="243">
        <f>IFERROR(ROUNDUP(H33*INVOICE!$O$6,2),0)</f>
        <v>5546.1900000000005</v>
      </c>
      <c r="J33" s="108">
        <f t="shared" si="4"/>
        <v>6790</v>
      </c>
      <c r="K33" s="108" t="s">
        <v>1092</v>
      </c>
      <c r="L33" s="229">
        <f>J33/INVOICE!$O$6</f>
        <v>406.58682634730542</v>
      </c>
      <c r="M33" s="108">
        <v>646</v>
      </c>
      <c r="N33" s="108">
        <v>28</v>
      </c>
      <c r="O33" s="108" t="str">
        <f>IF(INVOICE!$N$16="MANUAL",IF(B33&lt;&gt;"",C33,""),IF(INVOICE!$N$16="AUTOMATE",IF(A33&lt;&gt;"",C33,""),""))</f>
        <v/>
      </c>
      <c r="P33" s="108" t="str">
        <f>"Mini-grid Solar System with "&amp;INVOICE!$O$8&amp;"kVA inverter, "&amp;INVOICE!$O$9&amp;"kWh Battery, "&amp;INVOICE!$O$10&amp;"kWp Solar Panels and Remote Monitoring"</f>
        <v>Mini-grid Solar System with 5kVA inverter, 60kWh Battery, 22.6kWp Solar Panels and Remote Monitoring</v>
      </c>
      <c r="AM33" s="108">
        <v>1.2</v>
      </c>
      <c r="AN33" s="108" t="s">
        <v>2243</v>
      </c>
      <c r="AO33" s="108" t="str">
        <f>IF(INVOICE!$N$16="MANUAL",IFERROR(AM33*B33,""),IF(INVOICE!$N$16="AUTOMATE",IFERROR(AM33*A33,""),""))</f>
        <v/>
      </c>
      <c r="AQ33" s="108">
        <v>24</v>
      </c>
      <c r="AR33" s="108" t="s">
        <v>2215</v>
      </c>
      <c r="AS33" s="108">
        <v>1</v>
      </c>
      <c r="AT33" s="108" t="str">
        <f t="shared" si="2"/>
        <v/>
      </c>
      <c r="AV33" s="108" t="str">
        <f t="shared" si="3"/>
        <v/>
      </c>
      <c r="AW33" s="108">
        <v>50</v>
      </c>
      <c r="BD33" s="108" t="e" cm="1">
        <f t="array" ref="BD33">INDEX(AM$205:AM$236,MATCH(0,COUNTIF($BD$5:BD32,AM$205:AM$236),0))</f>
        <v>#N/A</v>
      </c>
    </row>
    <row r="34" spans="1:56">
      <c r="A34" s="108" t="str">
        <f>IF(AND('Customer Base'!D$8=24,'Customer Base'!D$13="Victron",'Customer Base'!E$13="Multiplus",'Customer Base'!D$14&gt;1.2,'Customer Base'!D$14&lt;=1.6),'Customer Base'!D$15,IF(AND('Customer Base'!D$7="Mini-Grid",'Customer Base'!D$8=24,'Customer Base'!F$13="Victron",'Customer Base'!F$14&gt;1.2,'Customer Base'!F$14&lt;=1.6),'Customer Base'!F$15,""))</f>
        <v/>
      </c>
      <c r="C34" s="242" t="s">
        <v>1949</v>
      </c>
      <c r="D34" s="272">
        <v>488.51</v>
      </c>
      <c r="E34" s="272">
        <v>460.11200000000002</v>
      </c>
      <c r="F34" s="243">
        <f t="shared" si="5"/>
        <v>400.74651353568493</v>
      </c>
      <c r="G34" s="243">
        <f>IFERROR(ROUNDUP(F34*INVOICE!$O$6,2),0)</f>
        <v>6692.47</v>
      </c>
      <c r="H34" s="243">
        <f t="shared" si="6"/>
        <v>377.45036915504511</v>
      </c>
      <c r="I34" s="243">
        <f>IFERROR(ROUNDUP(H34*INVOICE!$O$6,2),0)</f>
        <v>6303.43</v>
      </c>
      <c r="J34" s="108">
        <f t="shared" si="4"/>
        <v>8220</v>
      </c>
      <c r="K34" s="108" t="s">
        <v>1093</v>
      </c>
      <c r="L34" s="229">
        <f>J34/INVOICE!$O$6</f>
        <v>492.21556886227546</v>
      </c>
      <c r="M34" s="108">
        <v>782</v>
      </c>
      <c r="N34" s="108">
        <v>29</v>
      </c>
      <c r="O34" s="108" t="str">
        <f>IF(INVOICE!$N$16="MANUAL",IF(B34&lt;&gt;"",C34,""),IF(INVOICE!$N$16="AUTOMATE",IF(A34&lt;&gt;"",C34,""),""))</f>
        <v/>
      </c>
      <c r="AM34" s="108">
        <v>1.6</v>
      </c>
      <c r="AN34" s="108" t="s">
        <v>2251</v>
      </c>
      <c r="AO34" s="108" t="str">
        <f>IF(INVOICE!$N$16="MANUAL",IFERROR(AM34*B34,""),IF(INVOICE!$N$16="AUTOMATE",IFERROR(AM34*A34,""),""))</f>
        <v/>
      </c>
      <c r="AQ34" s="108">
        <v>24</v>
      </c>
      <c r="AR34" s="108" t="s">
        <v>2215</v>
      </c>
      <c r="AS34" s="108">
        <v>1</v>
      </c>
      <c r="AT34" s="108" t="str">
        <f t="shared" si="2"/>
        <v/>
      </c>
      <c r="AV34" s="108" t="str">
        <f t="shared" si="3"/>
        <v/>
      </c>
      <c r="AW34" s="108">
        <v>70</v>
      </c>
      <c r="BD34" s="108" t="e" cm="1">
        <f t="array" ref="BD34">INDEX(AM$205:AM$236,MATCH(0,COUNTIF($BD$5:BD33,AM$205:AM$236),0))</f>
        <v>#N/A</v>
      </c>
    </row>
    <row r="35" spans="1:56">
      <c r="A35" s="108" t="str">
        <f>IF(AND('Customer Base'!D$8=24,'Customer Base'!D$13="Victron",'Customer Base'!E$13="Multiplus",'Customer Base'!D$14&gt;1.6,'Customer Base'!D$14&lt;=2),'Customer Base'!D$15,IF(AND('Customer Base'!D$7="Mini-Grid",'Customer Base'!D$8=24,'Customer Base'!F$13="Victron",'Customer Base'!F$14&gt;1.6,'Customer Base'!F$14&lt;=2),'Customer Base'!F$15,""))</f>
        <v/>
      </c>
      <c r="C35" s="242" t="s">
        <v>1950</v>
      </c>
      <c r="D35" s="272">
        <v>544.51</v>
      </c>
      <c r="E35" s="272">
        <v>512.86</v>
      </c>
      <c r="F35" s="243">
        <f t="shared" si="5"/>
        <v>446.68580803937652</v>
      </c>
      <c r="G35" s="243">
        <f>IFERROR(ROUNDUP(F35*INVOICE!$O$6,2),0)</f>
        <v>7459.66</v>
      </c>
      <c r="H35" s="243">
        <f t="shared" si="6"/>
        <v>420.72190319934373</v>
      </c>
      <c r="I35" s="243">
        <f>IFERROR(ROUNDUP(H35*INVOICE!$O$6,2),0)</f>
        <v>7026.06</v>
      </c>
      <c r="J35" s="108">
        <f t="shared" si="4"/>
        <v>8220</v>
      </c>
      <c r="K35" s="108" t="s">
        <v>1094</v>
      </c>
      <c r="L35" s="229">
        <f>J35/INVOICE!$O$6</f>
        <v>492.21556886227546</v>
      </c>
      <c r="M35" s="108">
        <v>782</v>
      </c>
      <c r="N35" s="108">
        <v>30</v>
      </c>
      <c r="O35" s="108" t="str">
        <f>IF(INVOICE!$N$16="MANUAL",IF(B35&lt;&gt;"",C35,""),IF(INVOICE!$N$16="AUTOMATE",IF(A35&lt;&gt;"",C35,""),""))</f>
        <v/>
      </c>
      <c r="AM35" s="108">
        <v>2</v>
      </c>
      <c r="AN35" s="108" t="s">
        <v>2250</v>
      </c>
      <c r="AO35" s="108" t="str">
        <f>IF(INVOICE!$N$16="MANUAL",IFERROR(AM35*B35,""),IF(INVOICE!$N$16="AUTOMATE",IFERROR(AM35*A35,""),""))</f>
        <v/>
      </c>
      <c r="AQ35" s="108">
        <v>24</v>
      </c>
      <c r="AR35" s="108" t="s">
        <v>2215</v>
      </c>
      <c r="AS35" s="108">
        <v>1</v>
      </c>
      <c r="AT35" s="108" t="str">
        <f t="shared" si="2"/>
        <v/>
      </c>
      <c r="AV35" s="108" t="str">
        <f t="shared" si="3"/>
        <v/>
      </c>
      <c r="AW35" s="108">
        <v>80</v>
      </c>
      <c r="BD35" s="108" t="e" cm="1">
        <f t="array" ref="BD35">INDEX(AM$205:AM$236,MATCH(0,COUNTIF($BD$5:BD34,AM$205:AM$236),0))</f>
        <v>#N/A</v>
      </c>
    </row>
    <row r="36" spans="1:56">
      <c r="C36" s="242" t="s">
        <v>2725</v>
      </c>
      <c r="D36" s="272">
        <v>1293.0999999999999</v>
      </c>
      <c r="E36" s="272">
        <v>1217.9159999999999</v>
      </c>
      <c r="F36" s="243">
        <f t="shared" si="5"/>
        <v>1060.7875307629204</v>
      </c>
      <c r="G36" s="243">
        <f>IFERROR(ROUNDUP(F36*INVOICE!$O$6,2),0)</f>
        <v>17715.16</v>
      </c>
      <c r="H36" s="243">
        <f t="shared" si="6"/>
        <v>999.11074651353556</v>
      </c>
      <c r="I36" s="243">
        <f>IFERROR(ROUNDUP(H36*INVOICE!$O$6,2),0)</f>
        <v>16685.149999999998</v>
      </c>
      <c r="J36" s="108">
        <f t="shared" si="4"/>
        <v>6600</v>
      </c>
      <c r="K36" s="108" t="s">
        <v>2798</v>
      </c>
      <c r="L36" s="229">
        <f>J36/INVOICE!$O$6</f>
        <v>395.20958083832335</v>
      </c>
      <c r="M36" s="108">
        <v>628</v>
      </c>
      <c r="N36" s="108">
        <v>31</v>
      </c>
      <c r="O36" s="108" t="str">
        <f>IF(INVOICE!$N$16="MANUAL",IF(B36&lt;&gt;"",C36,""),IF(INVOICE!$N$16="AUTOMATE",IF(A36&lt;&gt;"",C36,""),""))</f>
        <v/>
      </c>
      <c r="AM36" s="108">
        <v>3</v>
      </c>
      <c r="AN36" s="108" t="s">
        <v>2327</v>
      </c>
      <c r="AO36" s="108">
        <f>IF(INVOICE!$N$16="MANUAL",IFERROR(AM36*B36,""),IF(INVOICE!$N$16="AUTOMATE",IFERROR(AM36*A36,""),""))</f>
        <v>0</v>
      </c>
      <c r="AQ36" s="108">
        <v>24</v>
      </c>
      <c r="AR36" s="108" t="s">
        <v>2215</v>
      </c>
      <c r="AS36" s="108">
        <v>1</v>
      </c>
      <c r="AT36" s="108" t="str">
        <f t="shared" si="2"/>
        <v/>
      </c>
      <c r="AV36" s="108" t="str">
        <f t="shared" si="3"/>
        <v/>
      </c>
      <c r="AW36" s="108">
        <v>70</v>
      </c>
    </row>
    <row r="37" spans="1:56">
      <c r="A37" s="108" t="str">
        <f>IF(AND('Customer Base'!D$8=48,'Customer Base'!D$13="Victron",'Customer Base'!E$13="Multiplus",'Customer Base'!D$14&gt;0,'Customer Base'!D$14&lt;=0.5),'Customer Base'!D$15,IF(AND('Customer Base'!D$7="Mini-Grid",'Customer Base'!D$8=48,'Customer Base'!F$13="Victron",'Customer Base'!F$14&gt;0,'Customer Base'!F$14&lt;=0.5),'Customer Base'!F$15,""))</f>
        <v/>
      </c>
      <c r="C37" s="242" t="s">
        <v>900</v>
      </c>
      <c r="D37" s="272">
        <v>261</v>
      </c>
      <c r="E37" s="272">
        <v>246.64500000000001</v>
      </c>
      <c r="F37" s="243">
        <f t="shared" si="5"/>
        <v>214.10992616899097</v>
      </c>
      <c r="G37" s="243">
        <f>IFERROR(ROUNDUP(F37*INVOICE!$O$6,2),0)</f>
        <v>3575.6400000000003</v>
      </c>
      <c r="H37" s="243">
        <f t="shared" si="6"/>
        <v>202.33388022969646</v>
      </c>
      <c r="I37" s="243">
        <f>IFERROR(ROUNDUP(H37*INVOICE!$O$6,2),0)</f>
        <v>3378.98</v>
      </c>
      <c r="J37" s="108">
        <f t="shared" si="4"/>
        <v>6600</v>
      </c>
      <c r="K37" s="108" t="s">
        <v>296</v>
      </c>
      <c r="L37" s="229">
        <f>J37/INVOICE!$O$6</f>
        <v>395.20958083832335</v>
      </c>
      <c r="M37" s="108">
        <v>628</v>
      </c>
      <c r="N37" s="108">
        <v>32</v>
      </c>
      <c r="O37" s="108" t="str">
        <f>IF(INVOICE!$N$16="MANUAL",IF(B37&lt;&gt;"",C37,""),IF(INVOICE!$N$16="AUTOMATE",IF(A37&lt;&gt;"",C37,""),""))</f>
        <v/>
      </c>
      <c r="AM37" s="108">
        <v>0.5</v>
      </c>
      <c r="AN37" s="108" t="s">
        <v>2246</v>
      </c>
      <c r="AO37" s="108" t="str">
        <f>IF(INVOICE!$N$16="MANUAL",IFERROR(AM37*B37,""),IF(INVOICE!$N$16="AUTOMATE",IFERROR(AM37*A37,""),""))</f>
        <v/>
      </c>
      <c r="AQ37" s="108">
        <v>48</v>
      </c>
      <c r="AR37" s="108" t="s">
        <v>2215</v>
      </c>
      <c r="AS37" s="108">
        <v>1</v>
      </c>
      <c r="AT37" s="108" t="str">
        <f t="shared" si="2"/>
        <v/>
      </c>
      <c r="AV37" s="108" t="str">
        <f t="shared" si="3"/>
        <v/>
      </c>
      <c r="AW37" s="108">
        <v>6</v>
      </c>
    </row>
    <row r="38" spans="1:56">
      <c r="A38" s="108" t="str">
        <f>IF(AND('Customer Base'!D$8=48,'Customer Base'!D$13="Victron",'Customer Base'!E$13="Multiplus",'Customer Base'!D$14&gt;0.5,'Customer Base'!D$14&lt;=0.8),'Customer Base'!D$15,IF(AND('Customer Base'!D$7="Mini-Grid",'Customer Base'!D$8=48,'Customer Base'!F$13="Victron",'Customer Base'!F$14&gt;0.5,'Customer Base'!F$14&lt;=0.8),'Customer Base'!F$15,""))</f>
        <v/>
      </c>
      <c r="C38" s="242" t="s">
        <v>901</v>
      </c>
      <c r="D38" s="272">
        <v>307.91000000000003</v>
      </c>
      <c r="E38" s="272">
        <v>290.012</v>
      </c>
      <c r="F38" s="243">
        <f t="shared" si="5"/>
        <v>252.59228876127975</v>
      </c>
      <c r="G38" s="243">
        <f>IFERROR(ROUNDUP(F38*INVOICE!$O$6,2),0)</f>
        <v>4218.3</v>
      </c>
      <c r="H38" s="243">
        <f t="shared" si="6"/>
        <v>237.90976210008202</v>
      </c>
      <c r="I38" s="243">
        <f>IFERROR(ROUNDUP(H38*INVOICE!$O$6,2),0)</f>
        <v>3973.1000000000004</v>
      </c>
      <c r="L38" s="108" t="str">
        <f t="shared" ref="L38:L69" si="7">IF(H38&gt;F38,"lkkajdfkj","")</f>
        <v/>
      </c>
      <c r="N38" s="108">
        <v>33</v>
      </c>
      <c r="O38" s="108" t="str">
        <f>IF(INVOICE!$N$16="MANUAL",IF(B38&lt;&gt;"",C38,""),IF(INVOICE!$N$16="AUTOMATE",IF(A38&lt;&gt;"",C38,""),""))</f>
        <v/>
      </c>
      <c r="AM38" s="108">
        <v>0.8</v>
      </c>
      <c r="AN38" s="108" t="s">
        <v>2247</v>
      </c>
      <c r="AO38" s="108" t="str">
        <f>IF(INVOICE!$N$16="MANUAL",IFERROR(AM38*B38,""),IF(INVOICE!$N$16="AUTOMATE",IFERROR(AM38*A38,""),""))</f>
        <v/>
      </c>
      <c r="AQ38" s="108">
        <v>48</v>
      </c>
      <c r="AR38" s="108" t="s">
        <v>2215</v>
      </c>
      <c r="AS38" s="108">
        <v>1</v>
      </c>
      <c r="AT38" s="108" t="str">
        <f t="shared" si="2"/>
        <v/>
      </c>
      <c r="AV38" s="108" t="str">
        <f t="shared" si="3"/>
        <v/>
      </c>
      <c r="AW38" s="108">
        <v>9</v>
      </c>
    </row>
    <row r="39" spans="1:56">
      <c r="A39" s="108" t="str">
        <f>IF(AND('Customer Base'!D$8=48,'Customer Base'!D$13="Victron",'Customer Base'!E$13="Multiplus",'Customer Base'!D$14&gt;0.8,'Customer Base'!D$14&lt;=1.2),'Customer Base'!D$15,IF(AND('Customer Base'!D$7="Mini-Grid",'Customer Base'!D$8=48,'Customer Base'!F$13="Victron",'Customer Base'!F$14&gt;0.8,'Customer Base'!F$14&lt;=1.2),'Customer Base'!F$15,""))</f>
        <v/>
      </c>
      <c r="C39" s="242" t="s">
        <v>902</v>
      </c>
      <c r="D39" s="272">
        <v>429.83</v>
      </c>
      <c r="E39" s="272">
        <v>404.83800000000002</v>
      </c>
      <c r="F39" s="243">
        <f t="shared" si="5"/>
        <v>352.60869565217388</v>
      </c>
      <c r="G39" s="243">
        <f>IFERROR(ROUNDUP(F39*INVOICE!$O$6,2),0)</f>
        <v>5888.5700000000006</v>
      </c>
      <c r="H39" s="243">
        <f t="shared" si="6"/>
        <v>332.10664479081214</v>
      </c>
      <c r="I39" s="243">
        <f>IFERROR(ROUNDUP(H39*INVOICE!$O$6,2),0)</f>
        <v>5546.1900000000005</v>
      </c>
      <c r="L39" s="108" t="str">
        <f t="shared" si="7"/>
        <v/>
      </c>
      <c r="N39" s="108">
        <v>34</v>
      </c>
      <c r="O39" s="108" t="str">
        <f>IF(INVOICE!$N$16="MANUAL",IF(B39&lt;&gt;"",C39,""),IF(INVOICE!$N$16="AUTOMATE",IF(A39&lt;&gt;"",C39,""),""))</f>
        <v/>
      </c>
      <c r="AM39" s="108">
        <v>1.2</v>
      </c>
      <c r="AN39" s="108" t="s">
        <v>2248</v>
      </c>
      <c r="AO39" s="108" t="str">
        <f>IF(INVOICE!$N$16="MANUAL",IFERROR(AM39*B39,""),IF(INVOICE!$N$16="AUTOMATE",IFERROR(AM39*A39,""),""))</f>
        <v/>
      </c>
      <c r="AQ39" s="108">
        <v>48</v>
      </c>
      <c r="AR39" s="108" t="s">
        <v>2215</v>
      </c>
      <c r="AS39" s="108">
        <v>1</v>
      </c>
      <c r="AT39" s="108" t="str">
        <f t="shared" si="2"/>
        <v/>
      </c>
      <c r="AV39" s="108" t="str">
        <f t="shared" si="3"/>
        <v/>
      </c>
      <c r="AW39" s="108">
        <v>13</v>
      </c>
    </row>
    <row r="40" spans="1:56">
      <c r="A40" s="108" t="str">
        <f>IF(AND('Customer Base'!D$8=48,'Customer Base'!D$13="Victron",'Customer Base'!E$13="Multiplus",'Customer Base'!D$14&gt;1.2,'Customer Base'!D$14&lt;=1.6),'Customer Base'!D$15,IF(AND('Customer Base'!D$7="Mini-Grid",'Customer Base'!D$8=48,'Customer Base'!F$13="Victron",'Customer Base'!F$14&gt;1.2,'Customer Base'!F$14&lt;=1.6),'Customer Base'!F$15,""))</f>
        <v/>
      </c>
      <c r="C40" s="242" t="s">
        <v>903</v>
      </c>
      <c r="D40" s="272">
        <v>488.51</v>
      </c>
      <c r="E40" s="272">
        <v>460.11200000000002</v>
      </c>
      <c r="F40" s="243">
        <f t="shared" si="5"/>
        <v>400.74651353568493</v>
      </c>
      <c r="G40" s="243">
        <f>IFERROR(ROUNDUP(F40*INVOICE!$O$6,2),0)</f>
        <v>6692.47</v>
      </c>
      <c r="H40" s="243">
        <f t="shared" si="6"/>
        <v>377.45036915504511</v>
      </c>
      <c r="I40" s="243">
        <f>IFERROR(ROUNDUP(H40*INVOICE!$O$6,2),0)</f>
        <v>6303.43</v>
      </c>
      <c r="L40" s="108" t="str">
        <f t="shared" si="7"/>
        <v/>
      </c>
      <c r="N40" s="108">
        <v>35</v>
      </c>
      <c r="O40" s="108" t="str">
        <f>IF(INVOICE!$N$16="MANUAL",IF(B40&lt;&gt;"",C40,""),IF(INVOICE!$N$16="AUTOMATE",IF(A40&lt;&gt;"",C40,""),""))</f>
        <v/>
      </c>
      <c r="AM40" s="108">
        <v>1.6</v>
      </c>
      <c r="AN40" s="108" t="s">
        <v>2269</v>
      </c>
      <c r="AO40" s="108" t="str">
        <f>IF(INVOICE!$N$16="MANUAL",IFERROR(AM40*B40,""),IF(INVOICE!$N$16="AUTOMATE",IFERROR(AM40*A40,""),""))</f>
        <v/>
      </c>
      <c r="AQ40" s="108">
        <v>48</v>
      </c>
      <c r="AR40" s="108" t="s">
        <v>2215</v>
      </c>
      <c r="AS40" s="108">
        <v>1</v>
      </c>
      <c r="AT40" s="108" t="str">
        <f t="shared" si="2"/>
        <v/>
      </c>
      <c r="AV40" s="108" t="str">
        <f t="shared" ref="AV40:AV93" si="8">IF(AU40&lt;&gt;"",AU40,AT40)</f>
        <v/>
      </c>
      <c r="AW40" s="108">
        <v>20</v>
      </c>
    </row>
    <row r="41" spans="1:56">
      <c r="A41" s="108" t="str">
        <f>IF(AND('Customer Base'!D$8=48,'Customer Base'!D$13="Victron",'Customer Base'!E$13="Multiplus",'Customer Base'!D$14&gt;1.6,'Customer Base'!D$14&lt;=2),'Customer Base'!D$15,IF(AND('Customer Base'!D$7="Mini-Grid",'Customer Base'!D$8=48,'Customer Base'!F$13="Victron",'Customer Base'!F$14&gt;1.6,'Customer Base'!F$14&lt;=2),'Customer Base'!F$15,""))</f>
        <v/>
      </c>
      <c r="C41" s="242" t="s">
        <v>1951</v>
      </c>
      <c r="D41" s="272">
        <v>544.51</v>
      </c>
      <c r="E41" s="272">
        <v>512.86</v>
      </c>
      <c r="F41" s="243">
        <f t="shared" si="5"/>
        <v>446.68580803937652</v>
      </c>
      <c r="G41" s="243">
        <f>IFERROR(ROUNDUP(F41*INVOICE!$O$6,2),0)</f>
        <v>7459.66</v>
      </c>
      <c r="H41" s="243">
        <f t="shared" si="6"/>
        <v>420.72190319934373</v>
      </c>
      <c r="I41" s="243">
        <f>IFERROR(ROUNDUP(H41*INVOICE!$O$6,2),0)</f>
        <v>7026.06</v>
      </c>
      <c r="L41" s="108" t="str">
        <f t="shared" si="7"/>
        <v/>
      </c>
      <c r="N41" s="108">
        <v>36</v>
      </c>
      <c r="O41" s="108" t="str">
        <f>IF(INVOICE!$N$16="MANUAL",IF(B41&lt;&gt;"",C41,""),IF(INVOICE!$N$16="AUTOMATE",IF(A41&lt;&gt;"",C41,""),""))</f>
        <v/>
      </c>
      <c r="AM41" s="108">
        <v>2</v>
      </c>
      <c r="AN41" s="108" t="s">
        <v>2270</v>
      </c>
      <c r="AO41" s="108" t="str">
        <f>IF(INVOICE!$N$16="MANUAL",IFERROR(AM41*B41,""),IF(INVOICE!$N$16="AUTOMATE",IFERROR(AM41*A41,""),""))</f>
        <v/>
      </c>
      <c r="AQ41" s="108">
        <v>48</v>
      </c>
      <c r="AR41" s="108" t="s">
        <v>2215</v>
      </c>
      <c r="AS41" s="108">
        <v>1</v>
      </c>
      <c r="AT41" s="108" t="str">
        <f t="shared" si="2"/>
        <v/>
      </c>
      <c r="AV41" s="108" t="str">
        <f t="shared" si="8"/>
        <v/>
      </c>
      <c r="AW41" s="108">
        <v>25</v>
      </c>
    </row>
    <row r="42" spans="1:56">
      <c r="C42" s="242" t="s">
        <v>904</v>
      </c>
      <c r="D42" s="272">
        <v>829.87</v>
      </c>
      <c r="E42" s="272">
        <v>781.61800000000005</v>
      </c>
      <c r="F42" s="243">
        <f t="shared" si="5"/>
        <v>680.7793273174733</v>
      </c>
      <c r="G42" s="243">
        <f>IFERROR(ROUNDUP(F42*INVOICE!$O$6,2),0)</f>
        <v>11369.02</v>
      </c>
      <c r="H42" s="243">
        <f t="shared" si="6"/>
        <v>641.19606234618539</v>
      </c>
      <c r="I42" s="243">
        <f>IFERROR(ROUNDUP(H42*INVOICE!$O$6,2),0)</f>
        <v>10707.98</v>
      </c>
      <c r="L42" s="108" t="str">
        <f t="shared" si="7"/>
        <v/>
      </c>
      <c r="N42" s="108">
        <v>37</v>
      </c>
      <c r="O42" s="108" t="str">
        <f>IF(INVOICE!$N$16="MANUAL",IF(B42&lt;&gt;"",C42,""),IF(INVOICE!$N$16="AUTOMATE",IF(A42&lt;&gt;"",C42,""),""))</f>
        <v/>
      </c>
      <c r="AM42" s="108">
        <v>3</v>
      </c>
      <c r="AN42" s="108" t="s">
        <v>2328</v>
      </c>
      <c r="AO42" s="108">
        <f>IF(INVOICE!$N$16="MANUAL",IFERROR(AM42*B42,""),IF(INVOICE!$N$16="AUTOMATE",IFERROR(AM42*A42,""),""))</f>
        <v>0</v>
      </c>
      <c r="AQ42" s="108">
        <v>48</v>
      </c>
      <c r="AR42" s="108" t="s">
        <v>2215</v>
      </c>
      <c r="AS42" s="108">
        <v>1</v>
      </c>
      <c r="AT42" s="108" t="str">
        <f t="shared" si="2"/>
        <v/>
      </c>
      <c r="AV42" s="108" t="str">
        <f t="shared" si="8"/>
        <v/>
      </c>
      <c r="AW42" s="108">
        <v>35</v>
      </c>
      <c r="AZ42" s="245"/>
    </row>
    <row r="43" spans="1:56">
      <c r="C43" s="242" t="s">
        <v>905</v>
      </c>
      <c r="D43" s="272">
        <v>865.99</v>
      </c>
      <c r="E43" s="272">
        <v>815.63800000000003</v>
      </c>
      <c r="F43" s="243">
        <f t="shared" si="5"/>
        <v>710.41017227235432</v>
      </c>
      <c r="G43" s="243">
        <f>IFERROR(ROUNDUP(F43*INVOICE!$O$6,2),0)</f>
        <v>11863.85</v>
      </c>
      <c r="H43" s="243">
        <f t="shared" si="6"/>
        <v>669.10418375717802</v>
      </c>
      <c r="I43" s="243">
        <f>IFERROR(ROUNDUP(H43*INVOICE!$O$6,2),0)</f>
        <v>11174.04</v>
      </c>
      <c r="L43" s="108" t="str">
        <f t="shared" si="7"/>
        <v/>
      </c>
      <c r="N43" s="108">
        <v>38</v>
      </c>
      <c r="O43" s="108" t="str">
        <f>IF(INVOICE!$N$16="MANUAL",IF(B43&lt;&gt;"",C43,""),IF(INVOICE!$N$16="AUTOMATE",IF(A43&lt;&gt;"",C43,""),""))</f>
        <v/>
      </c>
      <c r="AM43" s="108">
        <v>3</v>
      </c>
      <c r="AN43" s="108" t="s">
        <v>2329</v>
      </c>
      <c r="AO43" s="108">
        <f>IF(INVOICE!$N$16="MANUAL",IFERROR(AM43*B43,""),IF(INVOICE!$N$16="AUTOMATE",IFERROR(AM43*A43,""),""))</f>
        <v>0</v>
      </c>
      <c r="AQ43" s="108">
        <v>48</v>
      </c>
      <c r="AR43" s="108" t="s">
        <v>2215</v>
      </c>
      <c r="AS43" s="108">
        <v>1</v>
      </c>
      <c r="AT43" s="108">
        <f t="shared" ref="AT43:AT92" si="9">IF(AND(AR43=$AY$1,$AZ$1=AN43),BA$1,"")</f>
        <v>1</v>
      </c>
      <c r="AV43" s="108">
        <f t="shared" si="8"/>
        <v>1</v>
      </c>
      <c r="AW43" s="108">
        <v>35</v>
      </c>
      <c r="AZ43" s="245"/>
    </row>
    <row r="44" spans="1:56">
      <c r="C44" s="242" t="s">
        <v>908</v>
      </c>
      <c r="D44" s="272">
        <v>1174.79</v>
      </c>
      <c r="E44" s="272">
        <v>1106.492</v>
      </c>
      <c r="F44" s="243">
        <f t="shared" si="5"/>
        <v>963.73256767842486</v>
      </c>
      <c r="G44" s="243">
        <f>IFERROR(ROUNDUP(F44*INVOICE!$O$6,2),0)</f>
        <v>16094.34</v>
      </c>
      <c r="H44" s="243">
        <f t="shared" si="6"/>
        <v>907.70467596390472</v>
      </c>
      <c r="I44" s="243">
        <f>IFERROR(ROUNDUP(H44*INVOICE!$O$6,2),0)</f>
        <v>15158.67</v>
      </c>
      <c r="L44" s="108" t="str">
        <f t="shared" si="7"/>
        <v/>
      </c>
      <c r="N44" s="108">
        <v>39</v>
      </c>
      <c r="O44" s="108" t="str">
        <f>IF(INVOICE!$N$16="MANUAL",IF(B44&lt;&gt;"",C44,""),IF(INVOICE!$N$16="AUTOMATE",IF(A44&lt;&gt;"",C44,""),""))</f>
        <v/>
      </c>
      <c r="AM44" s="108">
        <v>5</v>
      </c>
      <c r="AN44" s="108" t="s">
        <v>2272</v>
      </c>
      <c r="AO44" s="108">
        <f>IF(INVOICE!$N$16="MANUAL",IFERROR(AM44*B44,""),IF(INVOICE!$N$16="AUTOMATE",IFERROR(AM44*A44,""),""))</f>
        <v>0</v>
      </c>
      <c r="AQ44" s="108">
        <v>48</v>
      </c>
      <c r="AR44" s="108" t="s">
        <v>2215</v>
      </c>
      <c r="AS44" s="108">
        <v>1</v>
      </c>
      <c r="AT44" s="108" t="str">
        <f t="shared" si="9"/>
        <v/>
      </c>
      <c r="AV44" s="108" t="str">
        <f t="shared" si="8"/>
        <v/>
      </c>
      <c r="AW44" s="108">
        <v>70</v>
      </c>
      <c r="AZ44" s="245"/>
    </row>
    <row r="45" spans="1:56">
      <c r="A45" s="108" t="str">
        <f>IF(AND('Customer Base'!D$8=48,'Customer Base'!D$13="Victron",'Customer Base'!E$13="Multiplus",'Customer Base'!D$14&gt;5,'Customer Base'!D$14&lt;=6),'Customer Base'!D$15,IF(AND('Customer Base'!D$7="Mini-Grid",'Customer Base'!D$8=48,'Customer Base'!F$13="Victron",'Customer Base'!F$14&gt;5,'Customer Base'!F$14&lt;=6),'Customer Base'!F$15,""))</f>
        <v/>
      </c>
      <c r="C45" s="242" t="s">
        <v>1927</v>
      </c>
      <c r="D45" s="272">
        <v>1914.36</v>
      </c>
      <c r="E45" s="272">
        <v>1803.06</v>
      </c>
      <c r="F45" s="243">
        <f>$D45/1.219</f>
        <v>1570.4347826086955</v>
      </c>
      <c r="G45" s="243">
        <f>IFERROR(ROUNDUP(F45*INVOICE!$O$6,2),0)</f>
        <v>26226.269999999997</v>
      </c>
      <c r="H45" s="243">
        <f>$E45/1.219</f>
        <v>1479.1304347826085</v>
      </c>
      <c r="I45" s="243">
        <f>IFERROR(ROUNDUP(H45*INVOICE!$O$6,2),0)</f>
        <v>24701.48</v>
      </c>
      <c r="L45" s="108" t="str">
        <f t="shared" si="7"/>
        <v/>
      </c>
      <c r="N45" s="108">
        <v>40</v>
      </c>
      <c r="O45" s="108" t="str">
        <f>IF(INVOICE!$N$16="MANUAL",IF(B45&lt;&gt;"",C45,""),IF(INVOICE!$N$16="AUTOMATE",IF(A45&lt;&gt;"",C45,""),""))</f>
        <v/>
      </c>
      <c r="AM45" s="108">
        <v>6</v>
      </c>
      <c r="AN45" s="108" t="s">
        <v>2273</v>
      </c>
      <c r="AO45" s="108" t="str">
        <f>IF(INVOICE!$N$16="MANUAL",IFERROR(AM45*B45,""),IF(INVOICE!$N$16="AUTOMATE",IFERROR(AM45*A45,""),""))</f>
        <v/>
      </c>
      <c r="AP45" s="108">
        <v>450</v>
      </c>
      <c r="AQ45" s="108">
        <v>48</v>
      </c>
      <c r="AR45" s="108" t="s">
        <v>2215</v>
      </c>
      <c r="AS45" s="108">
        <v>1</v>
      </c>
      <c r="AT45" s="108" t="str">
        <f t="shared" si="9"/>
        <v/>
      </c>
      <c r="AV45" s="108" t="str">
        <f>IF(AU45&lt;&gt;"",AU45,AT45)</f>
        <v/>
      </c>
      <c r="AW45" s="108">
        <v>100</v>
      </c>
      <c r="AZ45" s="245"/>
    </row>
    <row r="46" spans="1:56">
      <c r="D46" s="324"/>
      <c r="E46" s="324"/>
      <c r="I46" s="229"/>
      <c r="L46" s="108" t="str">
        <f t="shared" si="7"/>
        <v/>
      </c>
      <c r="N46" s="108">
        <v>41</v>
      </c>
      <c r="O46" s="108" t="str">
        <f>IF(INVOICE!$N$16="MANUAL",IF(B46&lt;&gt;"",C46,""),IF(INVOICE!$N$16="AUTOMATE",IF(A46&lt;&gt;"",C46,""),""))</f>
        <v/>
      </c>
      <c r="AO46" s="108">
        <f>IF(INVOICE!$N$16="MANUAL",IFERROR(AM46*B46,""),IF(INVOICE!$N$16="AUTOMATE",IFERROR(AM46*A46,""),""))</f>
        <v>0</v>
      </c>
      <c r="AT46" s="108" t="str">
        <f t="shared" si="9"/>
        <v/>
      </c>
      <c r="AZ46" s="245"/>
    </row>
    <row r="47" spans="1:56">
      <c r="A47" s="108" t="str">
        <f>IF(AND('Customer Base'!D$8=24,'Customer Base'!D$13="Victron",'Customer Base'!E$13="Multiplus",'Customer Base'!D$14&gt;2,'Customer Base'!D$14&lt;=3),'Customer Base'!D$15,IF(AND('Customer Base'!D$7="Mini-Grid",'Customer Base'!D$8=24,'Customer Base'!F$13="Victron",'Customer Base'!F$14&gt;2,'Customer Base'!F$14&lt;=3),'Customer Base'!F$15,""))</f>
        <v/>
      </c>
      <c r="C47" s="242" t="s">
        <v>2726</v>
      </c>
      <c r="D47" s="272">
        <v>988.79</v>
      </c>
      <c r="E47" s="272">
        <v>931.30600000000004</v>
      </c>
      <c r="F47" s="243">
        <f>$D47/1.219</f>
        <v>811.14848236259218</v>
      </c>
      <c r="G47" s="243">
        <f>IFERROR(ROUNDUP(F47*INVOICE!$O$6,2),0)</f>
        <v>13546.18</v>
      </c>
      <c r="H47" s="243">
        <f>$E47/1.219</f>
        <v>763.99179655455293</v>
      </c>
      <c r="I47" s="243">
        <f>IFERROR(ROUNDUP(H47*INVOICE!$O$6,2),0)</f>
        <v>12758.67</v>
      </c>
      <c r="L47" s="108" t="str">
        <f t="shared" si="7"/>
        <v/>
      </c>
      <c r="N47" s="108">
        <v>42</v>
      </c>
      <c r="O47" s="108" t="str">
        <f>IF(INVOICE!$N$16="MANUAL",IF(B47&lt;&gt;"",C47,""),IF(INVOICE!$N$16="AUTOMATE",IF(A47&lt;&gt;"",C47,""),""))</f>
        <v/>
      </c>
      <c r="AM47" s="108">
        <v>3</v>
      </c>
      <c r="AN47" s="108" t="s">
        <v>2267</v>
      </c>
      <c r="AO47" s="108" t="str">
        <f>IF(INVOICE!$N$16="MANUAL",IFERROR(AM47*B47,""),IF(INVOICE!$N$16="AUTOMATE",IFERROR(AM47*A47,""),""))</f>
        <v/>
      </c>
      <c r="AQ47" s="108">
        <v>24</v>
      </c>
      <c r="AR47" s="108" t="s">
        <v>2277</v>
      </c>
      <c r="AS47" s="108">
        <v>1</v>
      </c>
      <c r="AT47" s="108" t="str">
        <f t="shared" si="9"/>
        <v/>
      </c>
      <c r="AV47" s="108" t="str">
        <f>IF(AU47&lt;&gt;"",AU47,AT47)</f>
        <v/>
      </c>
      <c r="AW47" s="108">
        <v>70</v>
      </c>
      <c r="AZ47" s="245"/>
    </row>
    <row r="48" spans="1:56">
      <c r="A48" s="108" t="str">
        <f>IF(AND('Customer Base'!D$8=24,'Customer Base'!D$13="Victron",'Customer Base'!E$13="Multiplus",'Customer Base'!D$14&gt;3,'Customer Base'!D$14&lt;=5),'Customer Base'!D$15,IF(AND('Customer Base'!D$7="Mini-Grid",'Customer Base'!D$8=24,'Customer Base'!F$13="Victron",'Customer Base'!F$14&gt;3,'Customer Base'!F$14&lt;=5),'Customer Base'!F$15,""))</f>
        <v/>
      </c>
      <c r="C48" s="242" t="s">
        <v>2727</v>
      </c>
      <c r="D48" s="272">
        <v>2166.8760000000002</v>
      </c>
      <c r="E48" s="272">
        <v>1950.1880000000001</v>
      </c>
      <c r="F48" s="243">
        <f>$D48/1.219</f>
        <v>1777.5849056603774</v>
      </c>
      <c r="G48" s="243">
        <f>IFERROR(ROUNDUP(F48*INVOICE!$O$6,2),0)</f>
        <v>29685.67</v>
      </c>
      <c r="H48" s="243">
        <f>$E48/1.219</f>
        <v>1599.8260869565217</v>
      </c>
      <c r="I48" s="243">
        <f>IFERROR(ROUNDUP(H48*INVOICE!$O$6,2),0)</f>
        <v>26717.1</v>
      </c>
      <c r="L48" s="108" t="str">
        <f t="shared" si="7"/>
        <v/>
      </c>
      <c r="N48" s="108">
        <v>43</v>
      </c>
      <c r="O48" s="108" t="str">
        <f>IF(INVOICE!$N$16="MANUAL",IF(B48&lt;&gt;"",C48,""),IF(INVOICE!$N$16="AUTOMATE",IF(A48&lt;&gt;"",C48,""),""))</f>
        <v/>
      </c>
      <c r="AM48" s="108">
        <v>5</v>
      </c>
      <c r="AN48" s="108" t="s">
        <v>2268</v>
      </c>
      <c r="AO48" s="108" t="str">
        <f>IF(INVOICE!$N$16="MANUAL",IFERROR(AM48*B48,""),IF(INVOICE!$N$16="AUTOMATE",IFERROR(AM48*A48,""),""))</f>
        <v/>
      </c>
      <c r="AQ48" s="108">
        <v>24</v>
      </c>
      <c r="AR48" s="108" t="s">
        <v>2277</v>
      </c>
      <c r="AS48" s="108">
        <v>1</v>
      </c>
      <c r="AT48" s="108" t="str">
        <f t="shared" si="9"/>
        <v/>
      </c>
      <c r="AV48" s="108" t="str">
        <f>IF(AU48&lt;&gt;"",AU48,AT48)</f>
        <v/>
      </c>
      <c r="AW48" s="108">
        <v>120</v>
      </c>
      <c r="AZ48" s="245"/>
    </row>
    <row r="49" spans="1:52">
      <c r="A49" s="108" t="str">
        <f>IF(AND('Customer Base'!D$8=48,'Customer Base'!D$13="Victron",'Customer Base'!E$13="Multiplus",'Customer Base'!D$14&gt;2,'Customer Base'!D$14&lt;=3),'Customer Base'!D$15,IF(AND('Customer Base'!D$7="Mini-Grid",'Customer Base'!D$8=48,'Customer Base'!F$13="Victron",'Customer Base'!F$14&gt;2,'Customer Base'!F$14&lt;=3),'Customer Base'!F$15,""))</f>
        <v/>
      </c>
      <c r="C49" s="242" t="s">
        <v>906</v>
      </c>
      <c r="D49" s="272">
        <v>592.37</v>
      </c>
      <c r="E49" s="272">
        <v>557.928</v>
      </c>
      <c r="F49" s="243">
        <f t="shared" si="5"/>
        <v>485.94749794913861</v>
      </c>
      <c r="G49" s="243">
        <f>IFERROR(ROUNDUP(F49*INVOICE!$O$6,2),0)</f>
        <v>8115.33</v>
      </c>
      <c r="H49" s="243">
        <f t="shared" si="6"/>
        <v>457.69319114027888</v>
      </c>
      <c r="I49" s="243">
        <f>IFERROR(ROUNDUP(H49*INVOICE!$O$6,2),0)</f>
        <v>7643.4800000000005</v>
      </c>
      <c r="L49" s="108" t="str">
        <f t="shared" si="7"/>
        <v/>
      </c>
      <c r="N49" s="108">
        <v>45</v>
      </c>
      <c r="O49" s="108" t="str">
        <f>IF(INVOICE!$N$16="MANUAL",IF(B49&lt;&gt;"",C49,""),IF(INVOICE!$N$16="AUTOMATE",IF(A49&lt;&gt;"",C49,""),""))</f>
        <v/>
      </c>
      <c r="AM49" s="108">
        <v>3</v>
      </c>
      <c r="AN49" s="108" t="s">
        <v>2271</v>
      </c>
      <c r="AO49" s="108" t="str">
        <f>IF(INVOICE!$N$16="MANUAL",IFERROR(AM49*B49,""),IF(INVOICE!$N$16="AUTOMATE",IFERROR(AM49*A49,""),""))</f>
        <v/>
      </c>
      <c r="AQ49" s="108">
        <v>48</v>
      </c>
      <c r="AR49" s="108" t="s">
        <v>2277</v>
      </c>
      <c r="AS49" s="108">
        <v>1</v>
      </c>
      <c r="AT49" s="108" t="str">
        <f t="shared" si="9"/>
        <v/>
      </c>
      <c r="AV49" s="108" t="str">
        <f t="shared" si="8"/>
        <v/>
      </c>
      <c r="AW49" s="108">
        <v>35</v>
      </c>
      <c r="AZ49" s="245"/>
    </row>
    <row r="50" spans="1:52">
      <c r="A50" s="108">
        <f>IF(AND('Customer Base'!D$8=48,'Customer Base'!D$13="Victron",'Customer Base'!E$13="Multiplus",'Customer Base'!D$14&gt;3,'Customer Base'!D$14&lt;=5),'Customer Base'!D$15,IF(AND('Customer Base'!D$7="Mini-Grid",'Customer Base'!D$8=48,'Customer Base'!F$13="Victron",'Customer Base'!F$14&gt;3,'Customer Base'!F$14&lt;=5),'Customer Base'!F$15,""))</f>
        <v>1</v>
      </c>
      <c r="C50" s="242" t="s">
        <v>909</v>
      </c>
      <c r="D50" s="272">
        <v>937.31</v>
      </c>
      <c r="E50" s="272">
        <v>882.81899999999996</v>
      </c>
      <c r="F50" s="243">
        <f t="shared" ref="F50:F183" si="10">$D50/1.219</f>
        <v>768.91714520098435</v>
      </c>
      <c r="G50" s="243">
        <f>IFERROR(ROUNDUP(F50*INVOICE!$O$6,2),0)</f>
        <v>12840.92</v>
      </c>
      <c r="H50" s="243">
        <f t="shared" ref="H50:H184" si="11">$E50/1.219</f>
        <v>724.21575061525834</v>
      </c>
      <c r="I50" s="243">
        <f>IFERROR(ROUNDUP(H50*INVOICE!$O$6,2),0)</f>
        <v>12094.41</v>
      </c>
      <c r="L50" s="108" t="str">
        <f t="shared" si="7"/>
        <v/>
      </c>
      <c r="N50" s="108">
        <v>46</v>
      </c>
      <c r="O50" s="108" t="str">
        <f>IF(INVOICE!$N$16="MANUAL",IF(B50&lt;&gt;"",C50,""),IF(INVOICE!$N$16="AUTOMATE",IF(A50&lt;&gt;"",C50,""),""))</f>
        <v>Victron MultiPlus-II 48/5000/70-50 230V</v>
      </c>
      <c r="AM50" s="108">
        <v>5</v>
      </c>
      <c r="AN50" s="108" t="s">
        <v>2272</v>
      </c>
      <c r="AO50" s="108">
        <f>IF(INVOICE!$N$16="MANUAL",IFERROR(AM50*B50,""),IF(INVOICE!$N$16="AUTOMATE",IFERROR(AM50*A50,""),""))</f>
        <v>5</v>
      </c>
      <c r="AQ50" s="108">
        <v>48</v>
      </c>
      <c r="AR50" s="108" t="s">
        <v>2277</v>
      </c>
      <c r="AS50" s="108">
        <v>1</v>
      </c>
      <c r="AT50" s="108" t="str">
        <f t="shared" si="9"/>
        <v/>
      </c>
      <c r="AV50" s="108" t="str">
        <f t="shared" si="8"/>
        <v/>
      </c>
      <c r="AW50" s="108">
        <v>70</v>
      </c>
    </row>
    <row r="51" spans="1:52">
      <c r="A51" s="108" t="str">
        <f>IF(AND('Customer Base'!D$8=48,'Customer Base'!D$13="Victron",'Customer Base'!E$13="Multiplus",'Customer Base'!D$14&gt;6,'Customer Base'!D$14&lt;=8),'Customer Base'!D$15,IF(AND('Customer Base'!D$7="Mini-Grid",'Customer Base'!D$8=48,'Customer Base'!F$13="Victron",'Customer Base'!F$14&gt;6,'Customer Base'!F$14&lt;=8),'Customer Base'!F$15,""))</f>
        <v/>
      </c>
      <c r="C51" s="242" t="s">
        <v>1013</v>
      </c>
      <c r="D51" s="272">
        <v>1629.91</v>
      </c>
      <c r="E51" s="272">
        <v>1535.144</v>
      </c>
      <c r="F51" s="243">
        <f t="shared" si="10"/>
        <v>1337.0877768662838</v>
      </c>
      <c r="G51" s="243">
        <f>IFERROR(ROUNDUP(F51*INVOICE!$O$6,2),0)</f>
        <v>22329.37</v>
      </c>
      <c r="H51" s="243">
        <f t="shared" si="11"/>
        <v>1259.3470057424117</v>
      </c>
      <c r="I51" s="243">
        <f>IFERROR(ROUNDUP(H51*INVOICE!$O$6,2),0)</f>
        <v>21031.1</v>
      </c>
      <c r="L51" s="108" t="str">
        <f t="shared" si="7"/>
        <v/>
      </c>
      <c r="N51" s="108">
        <v>47</v>
      </c>
      <c r="O51" s="108" t="str">
        <f>IF(INVOICE!$N$16="MANUAL",IF(B51&lt;&gt;"",C51,""),IF(INVOICE!$N$16="AUTOMATE",IF(A51&lt;&gt;"",C51,""),""))</f>
        <v/>
      </c>
      <c r="AM51" s="108">
        <v>8</v>
      </c>
      <c r="AN51" s="108" t="s">
        <v>2274</v>
      </c>
      <c r="AO51" s="108" t="str">
        <f>IF(INVOICE!$N$16="MANUAL",IFERROR(AM51*B51,""),IF(INVOICE!$N$16="AUTOMATE",IFERROR(AM51*A51,""),""))</f>
        <v/>
      </c>
      <c r="AQ51" s="108">
        <v>48</v>
      </c>
      <c r="AR51" s="108" t="s">
        <v>2277</v>
      </c>
      <c r="AS51" s="108">
        <v>1</v>
      </c>
      <c r="AT51" s="108" t="str">
        <f t="shared" si="9"/>
        <v/>
      </c>
      <c r="AV51" s="108" t="str">
        <f t="shared" si="8"/>
        <v/>
      </c>
      <c r="AW51" s="108">
        <v>110</v>
      </c>
    </row>
    <row r="52" spans="1:52">
      <c r="A52" s="108" t="str">
        <f>IF(AND('Customer Base'!D$8=48,'Customer Base'!D$13="Victron",'Customer Base'!E$13="Multiplus",'Customer Base'!D$14&gt;8,'Customer Base'!D$14&lt;=10),'Customer Base'!D$15,IF(AND('Customer Base'!D$7="Mini-Grid",'Customer Base'!D$8=48,'Customer Base'!F$13="Victron",'Customer Base'!F$14&gt;8,'Customer Base'!F$14&lt;=10),'Customer Base'!F$15,""))</f>
        <v/>
      </c>
      <c r="C52" s="242" t="s">
        <v>2728</v>
      </c>
      <c r="D52" s="272">
        <v>1945.97</v>
      </c>
      <c r="E52" s="272">
        <v>1832.836</v>
      </c>
      <c r="F52" s="243">
        <f t="shared" si="10"/>
        <v>1596.3658736669399</v>
      </c>
      <c r="G52" s="243">
        <f>IFERROR(ROUNDUP(F52*INVOICE!$O$6,2),0)</f>
        <v>26659.32</v>
      </c>
      <c r="H52" s="243">
        <f t="shared" si="11"/>
        <v>1503.5570139458571</v>
      </c>
      <c r="I52" s="243">
        <f>IFERROR(ROUNDUP(H52*INVOICE!$O$6,2),0)</f>
        <v>25109.41</v>
      </c>
      <c r="L52" s="108" t="str">
        <f t="shared" si="7"/>
        <v/>
      </c>
      <c r="N52" s="108">
        <v>48</v>
      </c>
      <c r="O52" s="108" t="str">
        <f>IF(INVOICE!$N$16="MANUAL",IF(B52&lt;&gt;"",C52,""),IF(INVOICE!$N$16="AUTOMATE",IF(A52&lt;&gt;"",C52,""),""))</f>
        <v/>
      </c>
      <c r="AM52" s="108">
        <v>10</v>
      </c>
      <c r="AN52" s="108" t="s">
        <v>2275</v>
      </c>
      <c r="AO52" s="108" t="str">
        <f>IF(INVOICE!$N$16="MANUAL",IFERROR(AM52*B52,""),IF(INVOICE!$N$16="AUTOMATE",IFERROR(AM52*A52,""),""))</f>
        <v/>
      </c>
      <c r="AQ52" s="108">
        <v>48</v>
      </c>
      <c r="AR52" s="108" t="s">
        <v>2277</v>
      </c>
      <c r="AS52" s="108">
        <v>1</v>
      </c>
      <c r="AT52" s="108" t="str">
        <f t="shared" si="9"/>
        <v/>
      </c>
      <c r="AV52" s="108" t="str">
        <f t="shared" si="8"/>
        <v/>
      </c>
      <c r="AW52" s="108">
        <v>140</v>
      </c>
    </row>
    <row r="53" spans="1:52">
      <c r="A53" s="108" t="str">
        <f>IF(AND('Customer Base'!D$8=48,'Customer Base'!D$13="Victron",'Customer Base'!E$13="Multiplus",'Customer Base'!D$14&gt;10,'Customer Base'!D$14&lt;=15),'Customer Base'!D$15,IF(AND('Customer Base'!D$7="Mini-Grid",'Customer Base'!D$8=48,'Customer Base'!F$13="Victron",'Customer Base'!F$14&gt;10,'Customer Base'!F$14&lt;=15),'Customer Base'!F$15,""))</f>
        <v/>
      </c>
      <c r="C53" s="242" t="s">
        <v>2729</v>
      </c>
      <c r="D53" s="272">
        <v>2716.22</v>
      </c>
      <c r="E53" s="272">
        <v>2558.3040000000001</v>
      </c>
      <c r="F53" s="243">
        <f t="shared" si="10"/>
        <v>2228.236259228876</v>
      </c>
      <c r="G53" s="243">
        <f>IFERROR(ROUNDUP(F53*INVOICE!$O$6,2),0)</f>
        <v>37211.550000000003</v>
      </c>
      <c r="H53" s="243">
        <f t="shared" si="11"/>
        <v>2098.6907301066449</v>
      </c>
      <c r="I53" s="243">
        <f>IFERROR(ROUNDUP(H53*INVOICE!$O$6,2),0)</f>
        <v>35048.14</v>
      </c>
      <c r="L53" s="108" t="str">
        <f t="shared" si="7"/>
        <v/>
      </c>
      <c r="N53" s="108">
        <v>49</v>
      </c>
      <c r="O53" s="108" t="str">
        <f>IF(INVOICE!$N$16="MANUAL",IF(B53&lt;&gt;"",C53,""),IF(INVOICE!$N$16="AUTOMATE",IF(A53&lt;&gt;"",C53,""),""))</f>
        <v/>
      </c>
      <c r="AM53" s="108">
        <v>15</v>
      </c>
      <c r="AN53" s="108" t="s">
        <v>2276</v>
      </c>
      <c r="AO53" s="108" t="str">
        <f>IF(INVOICE!$N$16="MANUAL",IFERROR(AM53*B53,""),IF(INVOICE!$N$16="AUTOMATE",IFERROR(AM53*A53,""),""))</f>
        <v/>
      </c>
      <c r="AQ53" s="108">
        <v>48</v>
      </c>
      <c r="AR53" s="108" t="s">
        <v>2277</v>
      </c>
      <c r="AS53" s="108">
        <v>1</v>
      </c>
      <c r="AT53" s="108" t="str">
        <f t="shared" si="9"/>
        <v/>
      </c>
      <c r="AV53" s="108" t="str">
        <f t="shared" si="8"/>
        <v/>
      </c>
      <c r="AW53" s="108">
        <v>200</v>
      </c>
    </row>
    <row r="54" spans="1:52">
      <c r="C54" s="242" t="s">
        <v>907</v>
      </c>
      <c r="D54" s="272">
        <v>674.55</v>
      </c>
      <c r="E54" s="272">
        <v>635.33199999999999</v>
      </c>
      <c r="F54" s="243">
        <f>$D54/1.219</f>
        <v>553.36341263330587</v>
      </c>
      <c r="G54" s="243">
        <f>IFERROR(ROUNDUP(F54*INVOICE!$O$6,2),0)</f>
        <v>9241.17</v>
      </c>
      <c r="H54" s="243">
        <f>$E54/1.219</f>
        <v>521.19114027891715</v>
      </c>
      <c r="I54" s="243">
        <f>IFERROR(ROUNDUP(H54*INVOICE!$O$6,2),0)</f>
        <v>8703.9</v>
      </c>
      <c r="J54" s="108" t="str">
        <f t="shared" ref="J54:J85" si="12">IF(D54&lt;&gt;"",IF(D54&lt;E54,"lkdfjk",""),"")</f>
        <v/>
      </c>
      <c r="L54" s="108" t="str">
        <f t="shared" si="7"/>
        <v/>
      </c>
      <c r="N54" s="108">
        <v>51</v>
      </c>
      <c r="O54" s="108" t="str">
        <f>IF(INVOICE!$N$16="MANUAL",IF(B54&lt;&gt;"",C54,""),IF(INVOICE!$N$16="AUTOMATE",IF(A54&lt;&gt;"",C54,""),""))</f>
        <v/>
      </c>
      <c r="AM54" s="108">
        <v>3</v>
      </c>
      <c r="AN54" s="108" t="s">
        <v>2271</v>
      </c>
      <c r="AO54" s="108">
        <f>IF(INVOICE!$N$16="MANUAL",IFERROR(AM54*B54,""),IF(INVOICE!$N$16="AUTOMATE",IFERROR(AM54*A54,""),""))</f>
        <v>0</v>
      </c>
      <c r="AQ54" s="108">
        <v>48</v>
      </c>
      <c r="AR54" s="108" t="s">
        <v>2278</v>
      </c>
      <c r="AS54" s="108">
        <v>1</v>
      </c>
      <c r="AT54" s="108" t="str">
        <f t="shared" si="9"/>
        <v/>
      </c>
      <c r="AV54" s="108" t="str">
        <f>IF(AU54&lt;&gt;"",AU54,AT54)</f>
        <v/>
      </c>
      <c r="AW54" s="108">
        <v>35</v>
      </c>
    </row>
    <row r="55" spans="1:52">
      <c r="C55" s="242" t="s">
        <v>910</v>
      </c>
      <c r="D55" s="272">
        <v>1038.45</v>
      </c>
      <c r="E55" s="272">
        <v>978.07500000000005</v>
      </c>
      <c r="F55" s="243">
        <f>$D55/1.219</f>
        <v>851.88679245283015</v>
      </c>
      <c r="G55" s="243">
        <f>IFERROR(ROUNDUP(F55*INVOICE!$O$6,2),0)</f>
        <v>14226.51</v>
      </c>
      <c r="H55" s="243">
        <f>$E55/1.219</f>
        <v>802.35849056603774</v>
      </c>
      <c r="I55" s="243">
        <f>IFERROR(ROUNDUP(H55*INVOICE!$O$6,2),0)</f>
        <v>13399.39</v>
      </c>
      <c r="J55" s="108" t="str">
        <f t="shared" si="12"/>
        <v/>
      </c>
      <c r="L55" s="108" t="str">
        <f t="shared" si="7"/>
        <v/>
      </c>
      <c r="N55" s="108">
        <v>52</v>
      </c>
      <c r="O55" s="108" t="str">
        <f>IF(INVOICE!$N$16="MANUAL",IF(B55&lt;&gt;"",C55,""),IF(INVOICE!$N$16="AUTOMATE",IF(A55&lt;&gt;"",C55,""),""))</f>
        <v/>
      </c>
      <c r="AM55" s="108">
        <v>5</v>
      </c>
      <c r="AN55" s="108" t="s">
        <v>2272</v>
      </c>
      <c r="AO55" s="108">
        <f>IF(INVOICE!$N$16="MANUAL",IFERROR(AM55*B55,""),IF(INVOICE!$N$16="AUTOMATE",IFERROR(AM55*A55,""),""))</f>
        <v>0</v>
      </c>
      <c r="AQ55" s="108">
        <v>48</v>
      </c>
      <c r="AR55" s="108" t="s">
        <v>2278</v>
      </c>
      <c r="AS55" s="108">
        <v>1</v>
      </c>
      <c r="AT55" s="108" t="str">
        <f t="shared" si="9"/>
        <v/>
      </c>
      <c r="AV55" s="108" t="str">
        <f>IF(AU55&lt;&gt;"",AU55,AT55)</f>
        <v/>
      </c>
      <c r="AW55" s="108">
        <v>70</v>
      </c>
    </row>
    <row r="56" spans="1:52">
      <c r="C56" s="231"/>
      <c r="D56" s="324"/>
      <c r="E56" s="324"/>
      <c r="F56" s="229">
        <f>$D56/1.219</f>
        <v>0</v>
      </c>
      <c r="G56" s="229">
        <f>IFERROR(ROUNDUP(F56*INVOICE!$O$6,2),0)</f>
        <v>0</v>
      </c>
      <c r="H56" s="229">
        <f>$E56/1.219</f>
        <v>0</v>
      </c>
      <c r="I56" s="229">
        <f>IFERROR(ROUNDUP(H56*INVOICE!$O$6,2),0)</f>
        <v>0</v>
      </c>
      <c r="J56" s="108" t="str">
        <f t="shared" si="12"/>
        <v/>
      </c>
      <c r="L56" s="108" t="str">
        <f t="shared" si="7"/>
        <v/>
      </c>
      <c r="N56" s="108">
        <v>53</v>
      </c>
      <c r="O56" s="108" t="str">
        <f>IF(INVOICE!$N$16="MANUAL",IF(B56&lt;&gt;"",C56,""),IF(INVOICE!$N$16="AUTOMATE",IF(A56&lt;&gt;"",C56,""),""))</f>
        <v/>
      </c>
      <c r="AO56" s="108">
        <f>IF(INVOICE!$N$16="MANUAL",IFERROR(AM56*B56,""),IF(INVOICE!$N$16="AUTOMATE",IFERROR(AM56*A56,""),""))</f>
        <v>0</v>
      </c>
      <c r="AT56" s="108" t="str">
        <f t="shared" si="9"/>
        <v/>
      </c>
      <c r="AV56" s="108" t="str">
        <f>IF(AU56&lt;&gt;"",AU56,AT56)</f>
        <v/>
      </c>
    </row>
    <row r="57" spans="1:52">
      <c r="A57" s="108" t="str">
        <f>IF(AND('Customer Base'!D$8=48,'Customer Base'!D$13="Victron",'Customer Base'!E$13="Quattro",'Customer Base'!D$14=5),'Customer Base'!D$15,IF(AND('Customer Base'!D$7="Mini-Grid",'Customer Base'!D$8=48,'Customer Base'!F$13="Victron",'Customer Base'!F$14=5),'Customer Base'!F$15,""))</f>
        <v/>
      </c>
      <c r="C57" s="248" t="s">
        <v>911</v>
      </c>
      <c r="D57" s="272">
        <v>1672.37</v>
      </c>
      <c r="E57" s="272">
        <v>1575.126</v>
      </c>
      <c r="F57" s="243">
        <f t="shared" si="10"/>
        <v>1371.9196062346184</v>
      </c>
      <c r="G57" s="243">
        <f>IFERROR(ROUNDUP(F57*INVOICE!$O$6,2),0)</f>
        <v>22911.059999999998</v>
      </c>
      <c r="H57" s="243">
        <f t="shared" si="11"/>
        <v>1292.1460213289581</v>
      </c>
      <c r="I57" s="243">
        <f>IFERROR(ROUNDUP(H57*INVOICE!$O$6,2),0)</f>
        <v>21578.84</v>
      </c>
      <c r="J57" s="108" t="str">
        <f t="shared" si="12"/>
        <v/>
      </c>
      <c r="L57" s="108" t="str">
        <f t="shared" si="7"/>
        <v/>
      </c>
      <c r="N57" s="108">
        <v>54</v>
      </c>
      <c r="O57" s="108" t="str">
        <f>IF(INVOICE!$N$16="MANUAL",IF(B57&lt;&gt;"",C57,""),IF(INVOICE!$N$16="AUTOMATE",IF(A57&lt;&gt;"",C57,""),""))</f>
        <v/>
      </c>
      <c r="AM57" s="108">
        <v>5</v>
      </c>
      <c r="AN57" s="108" t="s">
        <v>2272</v>
      </c>
      <c r="AO57" s="108" t="str">
        <f>IF(INVOICE!$N$16="MANUAL",IFERROR(AM57*B57,""),IF(INVOICE!$N$16="AUTOMATE",IFERROR(AM57*A57,""),""))</f>
        <v/>
      </c>
      <c r="AQ57" s="108">
        <v>48</v>
      </c>
      <c r="AR57" s="108" t="s">
        <v>2216</v>
      </c>
      <c r="AS57" s="108">
        <v>1</v>
      </c>
      <c r="AT57" s="108" t="str">
        <f t="shared" si="9"/>
        <v/>
      </c>
      <c r="AV57" s="108" t="str">
        <f t="shared" si="8"/>
        <v/>
      </c>
      <c r="AW57" s="108">
        <v>70</v>
      </c>
    </row>
    <row r="58" spans="1:52">
      <c r="A58" s="108" t="str">
        <f>IF(AND('Customer Base'!D$8=48,'Customer Base'!D$13="Victron",'Customer Base'!E$13="Quattro",'Customer Base'!D$14&gt;5,'Customer Base'!D$14&lt;=8),'Customer Base'!D$15,IF(AND('Customer Base'!D$7="Mini-Grid",'Customer Base'!D$8=48,'Customer Base'!F$13="Victron",'Customer Base'!F$14&gt;5,'Customer Base'!F$14&lt;=8),'Customer Base'!F$15,""))</f>
        <v/>
      </c>
      <c r="C58" s="248" t="s">
        <v>912</v>
      </c>
      <c r="D58" s="272">
        <v>2207.83</v>
      </c>
      <c r="E58" s="272">
        <v>2079.4639999999999</v>
      </c>
      <c r="F58" s="243">
        <f t="shared" si="10"/>
        <v>1811.1812961443804</v>
      </c>
      <c r="G58" s="243">
        <f>IFERROR(ROUNDUP(F58*INVOICE!$O$6,2),0)</f>
        <v>30246.73</v>
      </c>
      <c r="H58" s="243">
        <f t="shared" si="11"/>
        <v>1705.8769483182934</v>
      </c>
      <c r="I58" s="243">
        <f>IFERROR(ROUNDUP(H58*INVOICE!$O$6,2),0)</f>
        <v>28488.149999999998</v>
      </c>
      <c r="J58" s="108" t="str">
        <f t="shared" si="12"/>
        <v/>
      </c>
      <c r="L58" s="108" t="str">
        <f t="shared" si="7"/>
        <v/>
      </c>
      <c r="N58" s="108">
        <v>55</v>
      </c>
      <c r="O58" s="108" t="str">
        <f>IF(INVOICE!$N$16="MANUAL",IF(B58&lt;&gt;"",C58,""),IF(INVOICE!$N$16="AUTOMATE",IF(A58&lt;&gt;"",C58,""),""))</f>
        <v/>
      </c>
      <c r="AM58" s="108">
        <v>8</v>
      </c>
      <c r="AN58" s="108" t="s">
        <v>2274</v>
      </c>
      <c r="AO58" s="108" t="str">
        <f>IF(INVOICE!$N$16="MANUAL",IFERROR(AM58*B58,""),IF(INVOICE!$N$16="AUTOMATE",IFERROR(AM58*A58,""),""))</f>
        <v/>
      </c>
      <c r="AQ58" s="108">
        <v>48</v>
      </c>
      <c r="AR58" s="108" t="s">
        <v>2216</v>
      </c>
      <c r="AS58" s="108">
        <v>1</v>
      </c>
      <c r="AT58" s="108" t="str">
        <f t="shared" si="9"/>
        <v/>
      </c>
      <c r="AV58" s="108" t="str">
        <f t="shared" si="8"/>
        <v/>
      </c>
      <c r="AW58" s="108">
        <v>110</v>
      </c>
    </row>
    <row r="59" spans="1:52">
      <c r="A59" s="108" t="str">
        <f>IF(AND('Customer Base'!D$8=48,'Customer Base'!D$13="Victron",'Customer Base'!E$13="Quattro",'Customer Base'!D$14&gt;8,'Customer Base'!D$14&lt;=10),'Customer Base'!D$15,IF(AND('Customer Base'!D$7="Mini-Grid",'Customer Base'!D$8=48,'Customer Base'!F$13="Victron",'Customer Base'!F$14&gt;8,'Customer Base'!F$14&lt;=10),'Customer Base'!F$15,""))</f>
        <v/>
      </c>
      <c r="C59" s="248" t="s">
        <v>913</v>
      </c>
      <c r="D59" s="272">
        <v>2637.65</v>
      </c>
      <c r="E59" s="272">
        <v>2484.3020000000001</v>
      </c>
      <c r="F59" s="243">
        <f t="shared" si="10"/>
        <v>2163.7817883511075</v>
      </c>
      <c r="G59" s="243">
        <f>IFERROR(ROUNDUP(F59*INVOICE!$O$6,2),0)</f>
        <v>36135.160000000003</v>
      </c>
      <c r="H59" s="243">
        <f t="shared" si="11"/>
        <v>2037.9835931091059</v>
      </c>
      <c r="I59" s="243">
        <f>IFERROR(ROUNDUP(H59*INVOICE!$O$6,2),0)</f>
        <v>34034.33</v>
      </c>
      <c r="J59" s="108" t="str">
        <f t="shared" si="12"/>
        <v/>
      </c>
      <c r="L59" s="108" t="str">
        <f t="shared" si="7"/>
        <v/>
      </c>
      <c r="N59" s="108">
        <v>56</v>
      </c>
      <c r="O59" s="108" t="str">
        <f>IF(INVOICE!$N$16="MANUAL",IF(B59&lt;&gt;"",C59,""),IF(INVOICE!$N$16="AUTOMATE",IF(A59&lt;&gt;"",C59,""),""))</f>
        <v/>
      </c>
      <c r="AM59" s="108">
        <v>10</v>
      </c>
      <c r="AN59" s="108" t="s">
        <v>2275</v>
      </c>
      <c r="AO59" s="108" t="str">
        <f>IF(INVOICE!$N$16="MANUAL",IFERROR(AM59*B59,""),IF(INVOICE!$N$16="AUTOMATE",IFERROR(AM59*A59,""),""))</f>
        <v/>
      </c>
      <c r="AQ59" s="108">
        <v>48</v>
      </c>
      <c r="AR59" s="108" t="s">
        <v>2216</v>
      </c>
      <c r="AS59" s="108">
        <v>1</v>
      </c>
      <c r="AT59" s="108" t="str">
        <f t="shared" si="9"/>
        <v/>
      </c>
      <c r="AV59" s="108" t="str">
        <f t="shared" si="8"/>
        <v/>
      </c>
      <c r="AW59" s="108">
        <v>140</v>
      </c>
    </row>
    <row r="60" spans="1:52">
      <c r="A60" s="108" t="str">
        <f>IF(AND('Customer Base'!D$8=48,'Customer Base'!D$13="Victron",'Customer Base'!E$13="Quattro",'Customer Base'!D$14&gt;10,'Customer Base'!D$14&lt;=15),'Customer Base'!D$15,IF(AND('Customer Base'!D$7="Mini-Grid",'Customer Base'!D$8=48,'Customer Base'!F$13="Victron",'Customer Base'!F$14&gt;10,'Customer Base'!F$14&lt;=15),'Customer Base'!F$15,""))</f>
        <v/>
      </c>
      <c r="C60" s="248" t="s">
        <v>914</v>
      </c>
      <c r="D60" s="272">
        <v>3464.8</v>
      </c>
      <c r="E60" s="272">
        <v>3263.36</v>
      </c>
      <c r="F60" s="243">
        <f t="shared" si="10"/>
        <v>2842.3297785069731</v>
      </c>
      <c r="G60" s="243">
        <f>IFERROR(ROUNDUP(F60*INVOICE!$O$6,2),0)</f>
        <v>47466.91</v>
      </c>
      <c r="H60" s="243">
        <f t="shared" si="11"/>
        <v>2677.0795734208368</v>
      </c>
      <c r="I60" s="243">
        <f>IFERROR(ROUNDUP(H60*INVOICE!$O$6,2),0)</f>
        <v>44707.23</v>
      </c>
      <c r="J60" s="108" t="str">
        <f t="shared" si="12"/>
        <v/>
      </c>
      <c r="L60" s="108" t="str">
        <f t="shared" si="7"/>
        <v/>
      </c>
      <c r="N60" s="108">
        <v>57</v>
      </c>
      <c r="O60" s="108" t="str">
        <f>IF(INVOICE!$N$16="MANUAL",IF(B60&lt;&gt;"",C60,""),IF(INVOICE!$N$16="AUTOMATE",IF(A60&lt;&gt;"",C60,""),""))</f>
        <v/>
      </c>
      <c r="AM60" s="108">
        <v>15</v>
      </c>
      <c r="AN60" s="108" t="s">
        <v>2276</v>
      </c>
      <c r="AO60" s="108" t="str">
        <f>IF(INVOICE!$N$16="MANUAL",IFERROR(AM60*B60,""),IF(INVOICE!$N$16="AUTOMATE",IFERROR(AM60*A60,""),""))</f>
        <v/>
      </c>
      <c r="AQ60" s="108">
        <v>48</v>
      </c>
      <c r="AR60" s="108" t="s">
        <v>2216</v>
      </c>
      <c r="AS60" s="108">
        <v>1</v>
      </c>
      <c r="AT60" s="108" t="str">
        <f t="shared" si="9"/>
        <v/>
      </c>
      <c r="AV60" s="108" t="str">
        <f t="shared" si="8"/>
        <v/>
      </c>
      <c r="AW60" s="108">
        <v>200</v>
      </c>
    </row>
    <row r="61" spans="1:52">
      <c r="C61" s="231"/>
      <c r="D61" s="324"/>
      <c r="E61" s="324"/>
      <c r="F61" s="229">
        <f t="shared" si="10"/>
        <v>0</v>
      </c>
      <c r="G61" s="229">
        <f>IFERROR(ROUNDUP(F61*INVOICE!$O$6,2),0)</f>
        <v>0</v>
      </c>
      <c r="H61" s="229">
        <f t="shared" si="11"/>
        <v>0</v>
      </c>
      <c r="I61" s="229">
        <f>IFERROR(ROUNDUP(H61*INVOICE!$O$6,2),0)</f>
        <v>0</v>
      </c>
      <c r="J61" s="108" t="str">
        <f t="shared" si="12"/>
        <v/>
      </c>
      <c r="L61" s="108" t="str">
        <f t="shared" si="7"/>
        <v/>
      </c>
      <c r="N61" s="108">
        <v>58</v>
      </c>
      <c r="O61" s="108" t="str">
        <f>IF(INVOICE!$N$16="MANUAL",IF(B61&lt;&gt;"",C61,""),IF(INVOICE!$N$16="AUTOMATE",IF(A61&lt;&gt;"",C61,""),""))</f>
        <v/>
      </c>
      <c r="AO61" s="108">
        <f>IF(INVOICE!$N$16="MANUAL",IFERROR(AM61*B61,""),IF(INVOICE!$N$16="AUTOMATE",IFERROR(AM61*A61,""),""))</f>
        <v>0</v>
      </c>
      <c r="AT61" s="108" t="str">
        <f t="shared" si="9"/>
        <v/>
      </c>
      <c r="AV61" s="108" t="str">
        <f t="shared" si="8"/>
        <v/>
      </c>
    </row>
    <row r="62" spans="1:52">
      <c r="C62" s="248" t="s">
        <v>2730</v>
      </c>
      <c r="D62" s="272">
        <v>1462.86</v>
      </c>
      <c r="E62" s="272">
        <v>1377.81</v>
      </c>
      <c r="F62" s="243">
        <f t="shared" si="10"/>
        <v>1200.0492206726824</v>
      </c>
      <c r="G62" s="243">
        <f>IFERROR(ROUNDUP(F62*INVOICE!$O$6,2),0)</f>
        <v>20040.829999999998</v>
      </c>
      <c r="H62" s="243">
        <f t="shared" si="11"/>
        <v>1130.2789171452009</v>
      </c>
      <c r="I62" s="243">
        <f>IFERROR(ROUNDUP(H62*INVOICE!$O$6,2),0)</f>
        <v>18875.66</v>
      </c>
      <c r="J62" s="108" t="str">
        <f t="shared" si="12"/>
        <v/>
      </c>
      <c r="L62" s="108" t="str">
        <f t="shared" si="7"/>
        <v/>
      </c>
      <c r="N62" s="108">
        <v>59</v>
      </c>
      <c r="O62" s="108" t="str">
        <f>IF(INVOICE!$N$16="MANUAL",IF(B62&lt;&gt;"",C62,""),IF(INVOICE!$N$16="AUTOMATE",IF(A62&lt;&gt;"",C62,""),""))</f>
        <v/>
      </c>
      <c r="AM62" s="108">
        <v>5</v>
      </c>
      <c r="AN62" s="108" t="s">
        <v>2272</v>
      </c>
      <c r="AO62" s="108">
        <f>IF(INVOICE!$N$16="MANUAL",IFERROR(AM62*B62,""),IF(INVOICE!$N$16="AUTOMATE",IFERROR(AM62*A62,""),""))</f>
        <v>0</v>
      </c>
      <c r="AQ62" s="108">
        <v>48</v>
      </c>
      <c r="AR62" s="108" t="s">
        <v>2217</v>
      </c>
      <c r="AS62" s="108">
        <v>1</v>
      </c>
      <c r="AT62" s="108" t="str">
        <f t="shared" si="9"/>
        <v/>
      </c>
      <c r="AV62" s="108" t="str">
        <f t="shared" si="8"/>
        <v/>
      </c>
      <c r="AW62" s="108">
        <v>70</v>
      </c>
    </row>
    <row r="63" spans="1:52">
      <c r="C63" s="231"/>
      <c r="D63" s="324"/>
      <c r="E63" s="324"/>
      <c r="F63" s="229">
        <f t="shared" si="10"/>
        <v>0</v>
      </c>
      <c r="G63" s="229">
        <f>IFERROR(ROUNDUP(F63*INVOICE!$O$6,2),0)</f>
        <v>0</v>
      </c>
      <c r="H63" s="229">
        <f t="shared" si="11"/>
        <v>0</v>
      </c>
      <c r="I63" s="229">
        <f>IFERROR(ROUNDUP(H63*INVOICE!$O$6,2),0)</f>
        <v>0</v>
      </c>
      <c r="J63" s="108" t="str">
        <f t="shared" si="12"/>
        <v/>
      </c>
      <c r="L63" s="108" t="str">
        <f t="shared" si="7"/>
        <v/>
      </c>
      <c r="N63" s="108">
        <v>60</v>
      </c>
      <c r="O63" s="108" t="str">
        <f>IF(INVOICE!$N$16="MANUAL",IF(B63&lt;&gt;"",C63,""),IF(INVOICE!$N$16="AUTOMATE",IF(A63&lt;&gt;"",C63,""),""))</f>
        <v/>
      </c>
      <c r="AO63" s="108">
        <f>IF(INVOICE!$N$16="MANUAL",IFERROR(AM63*B63,""),IF(INVOICE!$N$16="AUTOMATE",IFERROR(AM63*A63,""),""))</f>
        <v>0</v>
      </c>
      <c r="AT63" s="108" t="str">
        <f t="shared" si="9"/>
        <v/>
      </c>
      <c r="AV63" s="108" t="str">
        <f t="shared" si="8"/>
        <v/>
      </c>
    </row>
    <row r="64" spans="1:52">
      <c r="C64" s="248" t="s">
        <v>1014</v>
      </c>
      <c r="D64" s="272">
        <v>1342.77</v>
      </c>
      <c r="E64" s="272">
        <v>1264.702</v>
      </c>
      <c r="F64" s="243">
        <f t="shared" si="10"/>
        <v>1101.5340442986053</v>
      </c>
      <c r="G64" s="243">
        <f>IFERROR(ROUNDUP(F64*INVOICE!$O$6,2),0)</f>
        <v>18395.62</v>
      </c>
      <c r="H64" s="243">
        <f t="shared" si="11"/>
        <v>1037.4913863822806</v>
      </c>
      <c r="I64" s="243">
        <f>IFERROR(ROUNDUP(H64*INVOICE!$O$6,2),0)</f>
        <v>17326.109999999997</v>
      </c>
      <c r="J64" s="108" t="str">
        <f t="shared" si="12"/>
        <v/>
      </c>
      <c r="L64" s="108" t="str">
        <f t="shared" si="7"/>
        <v/>
      </c>
      <c r="N64" s="108">
        <v>61</v>
      </c>
      <c r="O64" s="108" t="str">
        <f>IF(INVOICE!$N$16="MANUAL",IF(B64&lt;&gt;"",C64,""),IF(INVOICE!$N$16="AUTOMATE",IF(A64&lt;&gt;"",C64,""),""))</f>
        <v/>
      </c>
      <c r="AM64" s="108">
        <v>3</v>
      </c>
      <c r="AN64" s="108" t="s">
        <v>2267</v>
      </c>
      <c r="AO64" s="108">
        <f>IF(INVOICE!$N$16="MANUAL",IFERROR(AM64*B64,""),IF(INVOICE!$N$16="AUTOMATE",IFERROR(AM64*A64,""),""))</f>
        <v>0</v>
      </c>
      <c r="AQ64" s="108">
        <v>24</v>
      </c>
      <c r="AR64" s="108" t="s">
        <v>2279</v>
      </c>
      <c r="AS64" s="108">
        <v>1</v>
      </c>
      <c r="AT64" s="108" t="str">
        <f t="shared" si="9"/>
        <v/>
      </c>
      <c r="AV64" s="108" t="str">
        <f t="shared" si="8"/>
        <v/>
      </c>
      <c r="AW64" s="108">
        <v>70</v>
      </c>
    </row>
    <row r="65" spans="1:49">
      <c r="C65" s="248" t="s">
        <v>915</v>
      </c>
      <c r="D65" s="272">
        <v>1342.77</v>
      </c>
      <c r="E65" s="272">
        <v>1264.702</v>
      </c>
      <c r="F65" s="243">
        <f t="shared" si="10"/>
        <v>1101.5340442986053</v>
      </c>
      <c r="G65" s="243">
        <f>IFERROR(ROUNDUP(F65*INVOICE!$O$6,2),0)</f>
        <v>18395.62</v>
      </c>
      <c r="H65" s="243">
        <f t="shared" si="11"/>
        <v>1037.4913863822806</v>
      </c>
      <c r="I65" s="243">
        <f>IFERROR(ROUNDUP(H65*INVOICE!$O$6,2),0)</f>
        <v>17326.109999999997</v>
      </c>
      <c r="J65" s="108" t="str">
        <f t="shared" si="12"/>
        <v/>
      </c>
      <c r="L65" s="108" t="str">
        <f t="shared" si="7"/>
        <v/>
      </c>
      <c r="N65" s="108">
        <v>62</v>
      </c>
      <c r="O65" s="108" t="str">
        <f>IF(INVOICE!$N$16="MANUAL",IF(B65&lt;&gt;"",C65,""),IF(INVOICE!$N$16="AUTOMATE",IF(A65&lt;&gt;"",C65,""),""))</f>
        <v/>
      </c>
      <c r="AM65" s="108">
        <v>3</v>
      </c>
      <c r="AN65" s="108" t="s">
        <v>2271</v>
      </c>
      <c r="AO65" s="108">
        <f>IF(INVOICE!$N$16="MANUAL",IFERROR(AM65*B65,""),IF(INVOICE!$N$16="AUTOMATE",IFERROR(AM65*A65,""),""))</f>
        <v>0</v>
      </c>
      <c r="AQ65" s="108">
        <v>48</v>
      </c>
      <c r="AR65" s="108" t="s">
        <v>2279</v>
      </c>
      <c r="AS65" s="108">
        <v>1</v>
      </c>
      <c r="AT65" s="108" t="str">
        <f t="shared" si="9"/>
        <v/>
      </c>
      <c r="AV65" s="108" t="str">
        <f t="shared" si="8"/>
        <v/>
      </c>
      <c r="AW65" s="108">
        <v>35</v>
      </c>
    </row>
    <row r="66" spans="1:49">
      <c r="C66" s="248" t="s">
        <v>1015</v>
      </c>
      <c r="D66" s="272">
        <v>1893.58</v>
      </c>
      <c r="E66" s="272">
        <v>1783.49</v>
      </c>
      <c r="F66" s="243">
        <f t="shared" si="10"/>
        <v>1553.3880229696472</v>
      </c>
      <c r="G66" s="243">
        <f>IFERROR(ROUNDUP(F66*INVOICE!$O$6,2),0)</f>
        <v>25941.579999999998</v>
      </c>
      <c r="H66" s="243">
        <f t="shared" si="11"/>
        <v>1463.0762920426578</v>
      </c>
      <c r="I66" s="243">
        <f>IFERROR(ROUNDUP(H66*INVOICE!$O$6,2),0)</f>
        <v>24433.379999999997</v>
      </c>
      <c r="J66" s="108" t="str">
        <f t="shared" si="12"/>
        <v/>
      </c>
      <c r="L66" s="108" t="str">
        <f t="shared" si="7"/>
        <v/>
      </c>
      <c r="N66" s="108">
        <v>63</v>
      </c>
      <c r="O66" s="108" t="str">
        <f>IF(INVOICE!$N$16="MANUAL",IF(B66&lt;&gt;"",C66,""),IF(INVOICE!$N$16="AUTOMATE",IF(A66&lt;&gt;"",C66,""),""))</f>
        <v/>
      </c>
      <c r="AM66" s="108">
        <v>5</v>
      </c>
      <c r="AN66" s="108" t="s">
        <v>2272</v>
      </c>
      <c r="AO66" s="108">
        <f>IF(INVOICE!$N$16="MANUAL",IFERROR(AM66*B66,""),IF(INVOICE!$N$16="AUTOMATE",IFERROR(AM66*A66,""),""))</f>
        <v>0</v>
      </c>
      <c r="AQ66" s="108">
        <v>48</v>
      </c>
      <c r="AR66" s="108" t="s">
        <v>2279</v>
      </c>
      <c r="AS66" s="108">
        <v>1</v>
      </c>
      <c r="AT66" s="108" t="str">
        <f t="shared" si="9"/>
        <v/>
      </c>
      <c r="AV66" s="108" t="str">
        <f t="shared" si="8"/>
        <v/>
      </c>
      <c r="AW66" s="108">
        <v>70</v>
      </c>
    </row>
    <row r="67" spans="1:49">
      <c r="C67" s="231"/>
      <c r="D67" s="324"/>
      <c r="E67" s="324"/>
      <c r="I67" s="229"/>
      <c r="J67" s="108" t="str">
        <f t="shared" si="12"/>
        <v/>
      </c>
      <c r="L67" s="108" t="str">
        <f t="shared" si="7"/>
        <v/>
      </c>
      <c r="N67" s="108">
        <v>64</v>
      </c>
      <c r="O67" s="108" t="str">
        <f>IF(INVOICE!$N$16="MANUAL",IF(B67&lt;&gt;"",C67,""),IF(INVOICE!$N$16="AUTOMATE",IF(A67&lt;&gt;"",C67,""),""))</f>
        <v/>
      </c>
      <c r="AO67" s="108">
        <f>IF(INVOICE!$N$16="MANUAL",IFERROR(AM67*B67,""),IF(INVOICE!$N$16="AUTOMATE",IFERROR(AM67*A67,""),""))</f>
        <v>0</v>
      </c>
      <c r="AT67" s="108" t="str">
        <f t="shared" si="9"/>
        <v/>
      </c>
      <c r="AV67" s="108" t="str">
        <f t="shared" si="8"/>
        <v/>
      </c>
    </row>
    <row r="68" spans="1:49">
      <c r="C68" s="251" t="s">
        <v>1899</v>
      </c>
      <c r="D68" s="325"/>
      <c r="E68" s="325"/>
      <c r="F68" s="239"/>
      <c r="G68" s="239"/>
      <c r="H68" s="239"/>
      <c r="I68" s="239"/>
      <c r="J68" s="108" t="str">
        <f t="shared" si="12"/>
        <v/>
      </c>
      <c r="L68" s="108" t="str">
        <f t="shared" si="7"/>
        <v/>
      </c>
      <c r="N68" s="108">
        <v>65</v>
      </c>
      <c r="O68" s="108" t="str">
        <f>IF(INVOICE!$N$16="MANUAL",IF(B68&lt;&gt;"",C68,""),IF(INVOICE!$N$16="AUTOMATE",IF(A68&lt;&gt;"",C68,""),""))</f>
        <v/>
      </c>
      <c r="AO68" s="108">
        <f>IF(INVOICE!$N$16="MANUAL",IFERROR(AM68*B68,""),IF(INVOICE!$N$16="AUTOMATE",IFERROR(AM68*A68,""),""))</f>
        <v>0</v>
      </c>
      <c r="AT68" s="108" t="str">
        <f t="shared" si="9"/>
        <v/>
      </c>
      <c r="AV68" s="108" t="str">
        <f t="shared" si="8"/>
        <v/>
      </c>
    </row>
    <row r="69" spans="1:49">
      <c r="A69" s="108" t="str">
        <f>IF(AND('Customer Base'!D$9=1,'Customer Base'!D$13="Phocos",'Customer Base'!D$14&gt;0,'Customer Base'!D$14&lt;=3),'Customer Base'!D$15,IF(AND('Customer Base'!D$7="Mini-Grid",'Customer Base'!D$9=1,'Customer Base'!F$13="Phocos",'Customer Base'!F$14&gt;0,'Customer Base'!F$14&lt;=3),'Customer Base'!F$15,""))</f>
        <v/>
      </c>
      <c r="C69" s="358" t="s">
        <v>1778</v>
      </c>
      <c r="D69" s="337">
        <v>1170.4100000000001</v>
      </c>
      <c r="E69" s="337">
        <v>1102.3610000000001</v>
      </c>
      <c r="F69" s="271">
        <f t="shared" si="10"/>
        <v>960.13945857260046</v>
      </c>
      <c r="G69" s="271">
        <f>IFERROR(ROUNDUP(F69*INVOICE!$O$6,2),0)</f>
        <v>16034.33</v>
      </c>
      <c r="H69" s="271">
        <f t="shared" si="11"/>
        <v>904.31583264971289</v>
      </c>
      <c r="I69" s="271">
        <f>IFERROR(ROUNDUP(H69*INVOICE!$O$6,2),0)</f>
        <v>15102.08</v>
      </c>
      <c r="J69" s="108" t="str">
        <f t="shared" si="12"/>
        <v/>
      </c>
      <c r="L69" s="108" t="str">
        <f t="shared" si="7"/>
        <v/>
      </c>
      <c r="N69" s="108">
        <v>66</v>
      </c>
      <c r="O69" s="108" t="str">
        <f>IF(INVOICE!$N$16="MANUAL",IF(B69&lt;&gt;"",C69,""),IF(INVOICE!$N$16="AUTOMATE",IF(A69&lt;&gt;"",C69,""),""))</f>
        <v/>
      </c>
      <c r="AM69" s="108">
        <v>3</v>
      </c>
      <c r="AN69" s="108" t="s">
        <v>2267</v>
      </c>
      <c r="AO69" s="108" t="str">
        <f>IF(INVOICE!$N$16="MANUAL",IFERROR(AM69*B69,""),IF(INVOICE!$N$16="AUTOMATE",IFERROR(AM69*A69,""),""))</f>
        <v/>
      </c>
      <c r="AP69" s="108">
        <v>450</v>
      </c>
      <c r="AQ69" s="108">
        <v>24</v>
      </c>
      <c r="AR69" s="108" t="s">
        <v>2280</v>
      </c>
      <c r="AS69" s="108">
        <v>1</v>
      </c>
      <c r="AT69" s="108" t="str">
        <f t="shared" si="9"/>
        <v/>
      </c>
      <c r="AV69" s="108" t="str">
        <f t="shared" si="8"/>
        <v/>
      </c>
      <c r="AW69" s="108">
        <v>80</v>
      </c>
    </row>
    <row r="70" spans="1:49">
      <c r="A70" s="108" t="str">
        <f>IF(AND('Customer Base'!D$9=1,'Customer Base'!D$13="Phocos",'Customer Base'!D$14&gt;3,'Customer Base'!D$14&lt;=5),'Customer Base'!D$15,IF(AND('Customer Base'!D$7="Mini-Grid",'Customer Base'!D$9=1,'Customer Base'!F$13="Phocos",'Customer Base'!F$14&gt;3,'Customer Base'!F$14&lt;=5),'Customer Base'!F$15,""))</f>
        <v/>
      </c>
      <c r="C70" s="358" t="s">
        <v>1779</v>
      </c>
      <c r="D70" s="337">
        <v>1204</v>
      </c>
      <c r="E70" s="337">
        <v>1134</v>
      </c>
      <c r="F70" s="271">
        <f t="shared" si="10"/>
        <v>987.69483182936824</v>
      </c>
      <c r="G70" s="271">
        <f>IFERROR(ROUNDUP(F70*INVOICE!$O$6,2),0)</f>
        <v>16494.509999999998</v>
      </c>
      <c r="H70" s="271">
        <f t="shared" si="11"/>
        <v>930.27071369975386</v>
      </c>
      <c r="I70" s="271">
        <f>IFERROR(ROUNDUP(H70*INVOICE!$O$6,2),0)</f>
        <v>15535.53</v>
      </c>
      <c r="J70" s="108" t="str">
        <f t="shared" si="12"/>
        <v/>
      </c>
      <c r="L70" s="108" t="str">
        <f t="shared" ref="L70:L101" si="13">IF(H70&gt;F70,"lkkajdfkj","")</f>
        <v/>
      </c>
      <c r="N70" s="108">
        <v>67</v>
      </c>
      <c r="O70" s="108" t="str">
        <f>IF(INVOICE!$N$16="MANUAL",IF(B70&lt;&gt;"",C70,""),IF(INVOICE!$N$16="AUTOMATE",IF(A70&lt;&gt;"",C70,""),""))</f>
        <v/>
      </c>
      <c r="AM70" s="108">
        <v>5</v>
      </c>
      <c r="AN70" s="108" t="s">
        <v>2272</v>
      </c>
      <c r="AO70" s="108" t="str">
        <f>IF(INVOICE!$N$16="MANUAL",IFERROR(AM70*B70,""),IF(INVOICE!$N$16="AUTOMATE",IFERROR(AM70*A70,""),""))</f>
        <v/>
      </c>
      <c r="AP70" s="108">
        <v>450</v>
      </c>
      <c r="AQ70" s="108">
        <v>48</v>
      </c>
      <c r="AR70" s="108" t="s">
        <v>2280</v>
      </c>
      <c r="AS70" s="108">
        <v>1</v>
      </c>
      <c r="AT70" s="108" t="str">
        <f t="shared" si="9"/>
        <v/>
      </c>
      <c r="AV70" s="108" t="str">
        <f t="shared" si="8"/>
        <v/>
      </c>
      <c r="AW70" s="108">
        <v>80</v>
      </c>
    </row>
    <row r="71" spans="1:49">
      <c r="A71" s="108" t="str">
        <f>IF(AND('Customer Base'!D$9=1,'Customer Base'!D$13="Phocos",'Customer Base'!D$14&gt;5,'Customer Base'!D$14&lt;=8),'Customer Base'!D$15,IF(AND('Customer Base'!D$7="Mini-Grid",'Customer Base'!D$9=1,'Customer Base'!F$13="Phocos",'Customer Base'!F$14&gt;5,'Customer Base'!F$14&lt;=8),'Customer Base'!F$15,""))</f>
        <v/>
      </c>
      <c r="C71" s="358" t="s">
        <v>1781</v>
      </c>
      <c r="D71" s="337">
        <v>1582.4</v>
      </c>
      <c r="E71" s="337">
        <v>1490.4</v>
      </c>
      <c r="F71" s="271">
        <f t="shared" si="10"/>
        <v>1298.1132075471698</v>
      </c>
      <c r="G71" s="271">
        <f>IFERROR(ROUNDUP(F71*INVOICE!$O$6,2),0)</f>
        <v>21678.5</v>
      </c>
      <c r="H71" s="271">
        <f t="shared" si="11"/>
        <v>1222.6415094339623</v>
      </c>
      <c r="I71" s="271">
        <f>IFERROR(ROUNDUP(H71*INVOICE!$O$6,2),0)</f>
        <v>20418.12</v>
      </c>
      <c r="J71" s="108" t="str">
        <f t="shared" si="12"/>
        <v/>
      </c>
      <c r="L71" s="108" t="str">
        <f t="shared" si="13"/>
        <v/>
      </c>
      <c r="N71" s="108">
        <v>68</v>
      </c>
      <c r="O71" s="108" t="str">
        <f>IF(INVOICE!$N$16="MANUAL",IF(B71&lt;&gt;"",C71,""),IF(INVOICE!$N$16="AUTOMATE",IF(A71&lt;&gt;"",C71,""),""))</f>
        <v/>
      </c>
      <c r="AM71" s="108">
        <v>8</v>
      </c>
      <c r="AN71" s="108" t="s">
        <v>2274</v>
      </c>
      <c r="AO71" s="108" t="str">
        <f>IF(INVOICE!$N$16="MANUAL",IFERROR(AM71*B71,""),IF(INVOICE!$N$16="AUTOMATE",IFERROR(AM71*A71,""),""))</f>
        <v/>
      </c>
      <c r="AP71" s="108">
        <v>500</v>
      </c>
      <c r="AQ71" s="108">
        <v>48</v>
      </c>
      <c r="AR71" s="108" t="s">
        <v>2280</v>
      </c>
      <c r="AS71" s="108">
        <v>1</v>
      </c>
      <c r="AT71" s="108" t="str">
        <f t="shared" si="9"/>
        <v/>
      </c>
      <c r="AV71" s="108" t="str">
        <f t="shared" si="8"/>
        <v/>
      </c>
      <c r="AW71" s="108">
        <v>120</v>
      </c>
    </row>
    <row r="72" spans="1:49" ht="17">
      <c r="C72" s="359" t="s">
        <v>1780</v>
      </c>
      <c r="D72" s="337">
        <v>757.69</v>
      </c>
      <c r="E72" s="337">
        <v>713.64200000000005</v>
      </c>
      <c r="F72" s="271">
        <f t="shared" si="10"/>
        <v>621.56685808039379</v>
      </c>
      <c r="G72" s="271">
        <f>IFERROR(ROUNDUP(F72*INVOICE!$O$6,2),0)</f>
        <v>10380.17</v>
      </c>
      <c r="H72" s="271">
        <f t="shared" si="11"/>
        <v>585.43232157506156</v>
      </c>
      <c r="I72" s="271">
        <f>IFERROR(ROUNDUP(H72*INVOICE!$O$6,2),0)</f>
        <v>9776.7199999999993</v>
      </c>
      <c r="J72" s="108" t="str">
        <f t="shared" si="12"/>
        <v/>
      </c>
      <c r="L72" s="108" t="str">
        <f t="shared" si="13"/>
        <v/>
      </c>
      <c r="N72" s="108">
        <v>69</v>
      </c>
      <c r="O72" s="108" t="str">
        <f>IF(INVOICE!$N$16="MANUAL",IF(B72&lt;&gt;"",C72,""),IF(INVOICE!$N$16="AUTOMATE",IF(A72&lt;&gt;"",C72,""),""))</f>
        <v/>
      </c>
      <c r="AM72" s="108">
        <v>3</v>
      </c>
      <c r="AN72" s="108" t="s">
        <v>2267</v>
      </c>
      <c r="AO72" s="108">
        <f>IF(INVOICE!$N$16="MANUAL",IFERROR(AM72*B72,""),IF(INVOICE!$N$16="AUTOMATE",IFERROR(AM72*A72,""),""))</f>
        <v>0</v>
      </c>
      <c r="AP72" s="108">
        <v>145</v>
      </c>
      <c r="AQ72" s="108">
        <v>24</v>
      </c>
      <c r="AR72" s="108" t="s">
        <v>2281</v>
      </c>
      <c r="AS72" s="108">
        <v>1</v>
      </c>
      <c r="AT72" s="108" t="str">
        <f t="shared" si="9"/>
        <v/>
      </c>
      <c r="AV72" s="108" t="str">
        <f t="shared" si="8"/>
        <v/>
      </c>
      <c r="AW72" s="108">
        <v>60</v>
      </c>
    </row>
    <row r="73" spans="1:49">
      <c r="C73" s="358" t="s">
        <v>1776</v>
      </c>
      <c r="D73" s="337">
        <v>342.28</v>
      </c>
      <c r="E73" s="337">
        <v>322.38</v>
      </c>
      <c r="F73" s="271">
        <f t="shared" si="10"/>
        <v>280.78753076292037</v>
      </c>
      <c r="G73" s="271">
        <f>IFERROR(ROUNDUP(F73*INVOICE!$O$6,2),0)</f>
        <v>4689.16</v>
      </c>
      <c r="H73" s="271">
        <f t="shared" si="11"/>
        <v>264.46267432321571</v>
      </c>
      <c r="I73" s="271">
        <f>IFERROR(ROUNDUP(H73*INVOICE!$O$6,2),0)</f>
        <v>4416.5300000000007</v>
      </c>
      <c r="J73" s="108" t="str">
        <f t="shared" si="12"/>
        <v/>
      </c>
      <c r="L73" s="108" t="str">
        <f t="shared" si="13"/>
        <v/>
      </c>
      <c r="N73" s="108">
        <v>70</v>
      </c>
      <c r="O73" s="108" t="str">
        <f>IF(INVOICE!$N$16="MANUAL",IF(B73&lt;&gt;"",C73,""),IF(INVOICE!$N$16="AUTOMATE",IF(A73&lt;&gt;"",C73,""),""))</f>
        <v/>
      </c>
      <c r="AO73" s="108">
        <f>IF(INVOICE!$N$16="MANUAL",IFERROR(AM73*B73,""),IF(INVOICE!$N$16="AUTOMATE",IFERROR(AM73*A73,""),""))</f>
        <v>0</v>
      </c>
      <c r="AT73" s="108" t="str">
        <f t="shared" si="9"/>
        <v/>
      </c>
      <c r="AV73" s="108" t="str">
        <f t="shared" si="8"/>
        <v/>
      </c>
    </row>
    <row r="74" spans="1:49">
      <c r="C74" s="358" t="s">
        <v>1936</v>
      </c>
      <c r="D74" s="337">
        <v>368.15</v>
      </c>
      <c r="E74" s="337">
        <v>318.39999999999998</v>
      </c>
      <c r="F74" s="271">
        <f t="shared" si="10"/>
        <v>302.00984413453648</v>
      </c>
      <c r="G74" s="271">
        <f>IFERROR(ROUNDUP(F74*INVOICE!$O$6,2),0)</f>
        <v>5043.5700000000006</v>
      </c>
      <c r="H74" s="271">
        <f t="shared" si="11"/>
        <v>261.1977030352748</v>
      </c>
      <c r="I74" s="271">
        <f>IFERROR(ROUNDUP(H74*INVOICE!$O$6,2),0)</f>
        <v>4362.01</v>
      </c>
      <c r="J74" s="108" t="str">
        <f t="shared" si="12"/>
        <v/>
      </c>
      <c r="L74" s="108" t="str">
        <f t="shared" si="13"/>
        <v/>
      </c>
      <c r="N74" s="108">
        <v>71</v>
      </c>
      <c r="O74" s="108" t="str">
        <f>IF(INVOICE!$N$16="MANUAL",IF(B74&lt;&gt;"",C74,""),IF(INVOICE!$N$16="AUTOMATE",IF(A74&lt;&gt;"",C74,""),""))</f>
        <v/>
      </c>
      <c r="AO74" s="108">
        <f>IF(INVOICE!$N$16="MANUAL",IFERROR(AM74*B74,""),IF(INVOICE!$N$16="AUTOMATE",IFERROR(AM74*A74,""),""))</f>
        <v>0</v>
      </c>
      <c r="AT74" s="108" t="str">
        <f t="shared" si="9"/>
        <v/>
      </c>
      <c r="AV74" s="108" t="str">
        <f t="shared" si="8"/>
        <v/>
      </c>
    </row>
    <row r="75" spans="1:49">
      <c r="C75" s="231"/>
      <c r="D75" s="324"/>
      <c r="E75" s="324"/>
      <c r="I75" s="229"/>
      <c r="J75" s="108" t="str">
        <f t="shared" si="12"/>
        <v/>
      </c>
      <c r="L75" s="108" t="str">
        <f t="shared" si="13"/>
        <v/>
      </c>
      <c r="N75" s="108">
        <v>72</v>
      </c>
      <c r="O75" s="108" t="str">
        <f>IF(INVOICE!$N$16="MANUAL",IF(B75&lt;&gt;"",C75,""),IF(INVOICE!$N$16="AUTOMATE",IF(A75&lt;&gt;"",C75,""),""))</f>
        <v/>
      </c>
      <c r="AO75" s="108">
        <f>IF(INVOICE!$N$16="MANUAL",IFERROR(AM75*B75,""),IF(INVOICE!$N$16="AUTOMATE",IFERROR(AM75*A75,""),""))</f>
        <v>0</v>
      </c>
      <c r="AT75" s="108" t="str">
        <f t="shared" si="9"/>
        <v/>
      </c>
      <c r="AV75" s="108" t="str">
        <f t="shared" si="8"/>
        <v/>
      </c>
    </row>
    <row r="76" spans="1:49">
      <c r="C76" s="251" t="s">
        <v>1928</v>
      </c>
      <c r="D76" s="325"/>
      <c r="E76" s="325"/>
      <c r="F76" s="239"/>
      <c r="G76" s="239"/>
      <c r="H76" s="239"/>
      <c r="I76" s="239"/>
      <c r="J76" s="108" t="str">
        <f t="shared" si="12"/>
        <v/>
      </c>
      <c r="L76" s="108" t="str">
        <f t="shared" si="13"/>
        <v/>
      </c>
      <c r="N76" s="108">
        <v>73</v>
      </c>
      <c r="O76" s="108" t="str">
        <f>IF(INVOICE!$N$16="MANUAL",IF(B76&lt;&gt;"",C76,""),IF(INVOICE!$N$16="AUTOMATE",IF(A76&lt;&gt;"",C76,""),""))</f>
        <v/>
      </c>
      <c r="AO76" s="108">
        <f>IF(INVOICE!$N$16="MANUAL",IFERROR(AM76*B76,""),IF(INVOICE!$N$16="AUTOMATE",IFERROR(AM76*A76,""),""))</f>
        <v>0</v>
      </c>
      <c r="AT76" s="108" t="str">
        <f t="shared" si="9"/>
        <v/>
      </c>
      <c r="AV76" s="108" t="str">
        <f t="shared" si="8"/>
        <v/>
      </c>
    </row>
    <row r="77" spans="1:49">
      <c r="A77" s="108" t="str">
        <f>IF(AND('Customer Base'!D$9=1,'Customer Base'!D$13="Deye",'Customer Base'!D$14&gt;0,'Customer Base'!D$14&lt;=3),'Customer Base'!D$15,IF(AND('Customer Base'!D$7="Mini-Grid",'Customer Base'!D$9=1,'Customer Base'!F$13="Deye",'Customer Base'!F$14&gt;0,'Customer Base'!F$14&lt;=3),'Customer Base'!F$15,""))</f>
        <v/>
      </c>
      <c r="C77" s="267" t="s">
        <v>1929</v>
      </c>
      <c r="D77" s="335">
        <v>1276.5</v>
      </c>
      <c r="E77" s="335">
        <v>1138.5</v>
      </c>
      <c r="F77" s="268">
        <f t="shared" ref="F77:F83" si="14">$D77/1.219</f>
        <v>1047.1698113207547</v>
      </c>
      <c r="G77" s="268">
        <f>IFERROR(ROUNDUP(F77*INVOICE!$O$6,2),0)</f>
        <v>17487.739999999998</v>
      </c>
      <c r="H77" s="268">
        <f t="shared" ref="H77:H83" si="15">$E77/1.219</f>
        <v>933.96226415094338</v>
      </c>
      <c r="I77" s="268">
        <f>IFERROR(ROUNDUP(H77*INVOICE!$O$6,2),0)</f>
        <v>15597.17</v>
      </c>
      <c r="J77" s="108" t="str">
        <f t="shared" si="12"/>
        <v/>
      </c>
      <c r="L77" s="108" t="str">
        <f t="shared" si="13"/>
        <v/>
      </c>
      <c r="N77" s="108">
        <v>74</v>
      </c>
      <c r="O77" s="108" t="str">
        <f>IF(INVOICE!$N$16="MANUAL",IF(B77&lt;&gt;"",C77,""),IF(INVOICE!$N$16="AUTOMATE",IF(A77&lt;&gt;"",C77,""),""))</f>
        <v/>
      </c>
      <c r="AM77" s="108">
        <v>3</v>
      </c>
      <c r="AN77" s="108" t="s">
        <v>2271</v>
      </c>
      <c r="AO77" s="108" t="str">
        <f>IF(INVOICE!$N$16="MANUAL",IFERROR(AM77*B77,""),IF(INVOICE!$N$16="AUTOMATE",IFERROR(AM77*A77,""),""))</f>
        <v/>
      </c>
      <c r="AP77" s="108">
        <v>500</v>
      </c>
      <c r="AQ77" s="108">
        <v>48</v>
      </c>
      <c r="AR77" s="108" t="s">
        <v>2219</v>
      </c>
      <c r="AS77" s="108">
        <v>1</v>
      </c>
      <c r="AT77" s="108" t="str">
        <f t="shared" si="9"/>
        <v/>
      </c>
      <c r="AV77" s="108" t="str">
        <f t="shared" si="8"/>
        <v/>
      </c>
      <c r="AW77" s="108">
        <v>70</v>
      </c>
    </row>
    <row r="78" spans="1:49">
      <c r="A78" s="108" t="str">
        <f>IF(AND('Customer Base'!D$9=1,'Customer Base'!D$13="Deye",'Customer Base'!D$14&gt;3,'Customer Base'!D$14&lt;=5),'Customer Base'!D$15,IF(AND('Customer Base'!D$7="Mini-Grid",'Customer Base'!D$9=1,'Customer Base'!F$13="Deye",'Customer Base'!F$14&gt;3,'Customer Base'!F$14&lt;=5),'Customer Base'!F$15,""))</f>
        <v/>
      </c>
      <c r="C78" s="267" t="s">
        <v>1930</v>
      </c>
      <c r="D78" s="335">
        <v>1554</v>
      </c>
      <c r="E78" s="335">
        <v>1386</v>
      </c>
      <c r="F78" s="268">
        <f t="shared" si="14"/>
        <v>1274.8154224774405</v>
      </c>
      <c r="G78" s="268">
        <f>IFERROR(ROUNDUP(F78*INVOICE!$O$6,2),0)</f>
        <v>21289.42</v>
      </c>
      <c r="H78" s="268">
        <f t="shared" si="15"/>
        <v>1136.9975389663657</v>
      </c>
      <c r="I78" s="268">
        <f>IFERROR(ROUNDUP(H78*INVOICE!$O$6,2),0)</f>
        <v>18987.859999999997</v>
      </c>
      <c r="J78" s="108" t="str">
        <f t="shared" si="12"/>
        <v/>
      </c>
      <c r="L78" s="108" t="str">
        <f t="shared" si="13"/>
        <v/>
      </c>
      <c r="N78" s="108">
        <v>75</v>
      </c>
      <c r="O78" s="108" t="str">
        <f>IF(INVOICE!$N$16="MANUAL",IF(B78&lt;&gt;"",C78,""),IF(INVOICE!$N$16="AUTOMATE",IF(A78&lt;&gt;"",C78,""),""))</f>
        <v/>
      </c>
      <c r="AM78" s="108">
        <v>5</v>
      </c>
      <c r="AN78" s="108" t="s">
        <v>2272</v>
      </c>
      <c r="AO78" s="108" t="str">
        <f>IF(INVOICE!$N$16="MANUAL",IFERROR(AM78*B78,""),IF(INVOICE!$N$16="AUTOMATE",IFERROR(AM78*A78,""),""))</f>
        <v/>
      </c>
      <c r="AP78" s="108">
        <v>500</v>
      </c>
      <c r="AQ78" s="108">
        <v>48</v>
      </c>
      <c r="AR78" s="108" t="s">
        <v>2219</v>
      </c>
      <c r="AS78" s="108">
        <v>1</v>
      </c>
      <c r="AT78" s="108" t="str">
        <f t="shared" si="9"/>
        <v/>
      </c>
      <c r="AV78" s="108" t="str">
        <f t="shared" si="8"/>
        <v/>
      </c>
      <c r="AW78" s="108">
        <v>120</v>
      </c>
    </row>
    <row r="79" spans="1:49">
      <c r="A79" s="108" t="str">
        <f>IF(AND('Customer Base'!D$9=1,'Customer Base'!D$13="Deye",'Customer Base'!D$14&gt;5,'Customer Base'!D$14&lt;=6),'Customer Base'!D$15,IF(AND('Customer Base'!D$7="Mini-Grid",'Customer Base'!D$9=1,'Customer Base'!F$13="Deye",'Customer Base'!F$14&gt;5,'Customer Base'!F$14&lt;=6),'Customer Base'!F$15,""))</f>
        <v/>
      </c>
      <c r="C79" s="267" t="s">
        <v>1931</v>
      </c>
      <c r="D79" s="335">
        <v>1646.5</v>
      </c>
      <c r="E79" s="335">
        <v>1468.5</v>
      </c>
      <c r="F79" s="268">
        <f t="shared" si="14"/>
        <v>1350.6972928630023</v>
      </c>
      <c r="G79" s="268">
        <f>IFERROR(ROUNDUP(F79*INVOICE!$O$6,2),0)</f>
        <v>22556.649999999998</v>
      </c>
      <c r="H79" s="268">
        <f t="shared" si="15"/>
        <v>1204.67596390484</v>
      </c>
      <c r="I79" s="268">
        <f>IFERROR(ROUNDUP(H79*INVOICE!$O$6,2),0)</f>
        <v>20118.09</v>
      </c>
      <c r="J79" s="108" t="str">
        <f t="shared" si="12"/>
        <v/>
      </c>
      <c r="L79" s="108" t="str">
        <f t="shared" si="13"/>
        <v/>
      </c>
      <c r="N79" s="108">
        <v>76</v>
      </c>
      <c r="O79" s="108" t="str">
        <f>IF(INVOICE!$N$16="MANUAL",IF(B79&lt;&gt;"",C79,""),IF(INVOICE!$N$16="AUTOMATE",IF(A79&lt;&gt;"",C79,""),""))</f>
        <v/>
      </c>
      <c r="AM79" s="108">
        <v>6</v>
      </c>
      <c r="AN79" s="108" t="s">
        <v>2273</v>
      </c>
      <c r="AO79" s="108" t="str">
        <f>IF(INVOICE!$N$16="MANUAL",IFERROR(AM79*B79,""),IF(INVOICE!$N$16="AUTOMATE",IFERROR(AM79*A79,""),""))</f>
        <v/>
      </c>
      <c r="AP79" s="108">
        <v>500</v>
      </c>
      <c r="AQ79" s="108">
        <v>48</v>
      </c>
      <c r="AR79" s="108" t="s">
        <v>2219</v>
      </c>
      <c r="AS79" s="108">
        <v>1</v>
      </c>
      <c r="AT79" s="108" t="str">
        <f t="shared" si="9"/>
        <v/>
      </c>
      <c r="AV79" s="108" t="str">
        <f t="shared" si="8"/>
        <v/>
      </c>
      <c r="AW79" s="108">
        <v>135</v>
      </c>
    </row>
    <row r="80" spans="1:49">
      <c r="A80" s="108" t="str">
        <f>IF(AND('Customer Base'!D$9=1,'Customer Base'!D$13="Deye",'Customer Base'!D$14&gt;6,'Customer Base'!D$14&lt;=8),'Customer Base'!D$15,IF(AND('Customer Base'!D$7="Mini-Grid",'Customer Base'!D$9=1,'Customer Base'!F$13="Deye",'Customer Base'!F$14&gt;6,'Customer Base'!F$14&lt;=8),'Customer Base'!F$15,""))</f>
        <v/>
      </c>
      <c r="C80" s="267" t="s">
        <v>1932</v>
      </c>
      <c r="D80" s="335">
        <v>2525.25</v>
      </c>
      <c r="E80" s="335">
        <v>2252.25</v>
      </c>
      <c r="F80" s="268">
        <f t="shared" si="14"/>
        <v>2071.5750615258407</v>
      </c>
      <c r="G80" s="268">
        <f>IFERROR(ROUNDUP(F80*INVOICE!$O$6,2),0)</f>
        <v>34595.310000000005</v>
      </c>
      <c r="H80" s="268">
        <f t="shared" si="15"/>
        <v>1847.6210008203443</v>
      </c>
      <c r="I80" s="268">
        <f>IFERROR(ROUNDUP(H80*INVOICE!$O$6,2),0)</f>
        <v>30855.279999999999</v>
      </c>
      <c r="J80" s="108" t="str">
        <f t="shared" si="12"/>
        <v/>
      </c>
      <c r="L80" s="108" t="str">
        <f t="shared" si="13"/>
        <v/>
      </c>
      <c r="N80" s="108">
        <v>77</v>
      </c>
      <c r="O80" s="108" t="str">
        <f>IF(INVOICE!$N$16="MANUAL",IF(B80&lt;&gt;"",C80,""),IF(INVOICE!$N$16="AUTOMATE",IF(A80&lt;&gt;"",C80,""),""))</f>
        <v/>
      </c>
      <c r="AM80" s="108">
        <v>8</v>
      </c>
      <c r="AN80" s="108" t="s">
        <v>2274</v>
      </c>
      <c r="AO80" s="108" t="str">
        <f>IF(INVOICE!$N$16="MANUAL",IFERROR(AM80*B80,""),IF(INVOICE!$N$16="AUTOMATE",IFERROR(AM80*A80,""),""))</f>
        <v/>
      </c>
      <c r="AP80" s="108">
        <v>500</v>
      </c>
      <c r="AQ80" s="108">
        <v>48</v>
      </c>
      <c r="AR80" s="108" t="s">
        <v>2219</v>
      </c>
      <c r="AS80" s="108">
        <v>1</v>
      </c>
      <c r="AT80" s="108" t="str">
        <f t="shared" si="9"/>
        <v/>
      </c>
      <c r="AV80" s="108" t="str">
        <f t="shared" si="8"/>
        <v/>
      </c>
      <c r="AW80" s="108">
        <v>190</v>
      </c>
    </row>
    <row r="81" spans="1:49">
      <c r="A81" s="108" t="str">
        <f>IF(AND('Customer Base'!D$9=1,'Customer Base'!D$13="Deye",'Customer Base'!D$14&gt;8,'Customer Base'!D$14&lt;=16),'Customer Base'!D$15,IF(AND('Customer Base'!D$7="Mini-Grid",'Customer Base'!D$9=1,'Customer Base'!F$13="Deye",'Customer Base'!F$14&gt;8,'Customer Base'!F$14&lt;=16),'Customer Base'!F$15,""))</f>
        <v/>
      </c>
      <c r="C81" s="267" t="s">
        <v>1933</v>
      </c>
      <c r="D81" s="335">
        <v>4810</v>
      </c>
      <c r="E81" s="335">
        <v>4290</v>
      </c>
      <c r="F81" s="268">
        <f t="shared" si="14"/>
        <v>3945.8572600492203</v>
      </c>
      <c r="G81" s="268">
        <f>IFERROR(ROUNDUP(F81*INVOICE!$O$6,2),0)</f>
        <v>65895.819999999992</v>
      </c>
      <c r="H81" s="268">
        <f t="shared" si="15"/>
        <v>3519.2780968006559</v>
      </c>
      <c r="I81" s="268">
        <f>IFERROR(ROUNDUP(H81*INVOICE!$O$6,2),0)</f>
        <v>58771.950000000004</v>
      </c>
      <c r="J81" s="108" t="str">
        <f t="shared" si="12"/>
        <v/>
      </c>
      <c r="L81" s="108" t="str">
        <f t="shared" si="13"/>
        <v/>
      </c>
      <c r="N81" s="108">
        <v>78</v>
      </c>
      <c r="O81" s="108" t="str">
        <f>IF(INVOICE!$N$16="MANUAL",IF(B81&lt;&gt;"",C81,""),IF(INVOICE!$N$16="AUTOMATE",IF(A81&lt;&gt;"",C81,""),""))</f>
        <v/>
      </c>
      <c r="AM81" s="108">
        <v>16</v>
      </c>
      <c r="AN81" s="108" t="s">
        <v>2282</v>
      </c>
      <c r="AO81" s="108" t="str">
        <f>IF(INVOICE!$N$16="MANUAL",IFERROR(AM81*B81,""),IF(INVOICE!$N$16="AUTOMATE",IFERROR(AM81*A81,""),""))</f>
        <v/>
      </c>
      <c r="AP81" s="108">
        <v>500</v>
      </c>
      <c r="AQ81" s="108">
        <v>48</v>
      </c>
      <c r="AR81" s="108" t="s">
        <v>2219</v>
      </c>
      <c r="AS81" s="108">
        <v>1</v>
      </c>
      <c r="AT81" s="108" t="str">
        <f t="shared" si="9"/>
        <v/>
      </c>
      <c r="AV81" s="108" t="str">
        <f t="shared" si="8"/>
        <v/>
      </c>
      <c r="AW81" s="108">
        <v>290</v>
      </c>
    </row>
    <row r="82" spans="1:49">
      <c r="A82" s="108" t="str">
        <f>IF(AND('Customer Base'!D$9=3,'Customer Base'!D$13="Deye",'Customer Base'!D$14&gt;0,'Customer Base'!D$14&lt;=10),'Customer Base'!D$15,IF(AND('Customer Base'!D$7="Mini-Grid",'Customer Base'!D$9=3,'Customer Base'!F$13="Deye",'Customer Base'!F$14&gt;0,'Customer Base'!F$14&lt;=10),'Customer Base'!F$15,""))</f>
        <v/>
      </c>
      <c r="C82" s="267" t="s">
        <v>1934</v>
      </c>
      <c r="D82" s="335">
        <v>3400.3</v>
      </c>
      <c r="E82" s="335">
        <v>3032.7</v>
      </c>
      <c r="F82" s="268">
        <f t="shared" si="14"/>
        <v>2789.4175553732566</v>
      </c>
      <c r="G82" s="268">
        <f>IFERROR(ROUNDUP(F82*INVOICE!$O$6,2),0)</f>
        <v>46583.28</v>
      </c>
      <c r="H82" s="268">
        <f t="shared" si="15"/>
        <v>2487.8589007383098</v>
      </c>
      <c r="I82" s="268">
        <f>IFERROR(ROUNDUP(H82*INVOICE!$O$6,2),0)</f>
        <v>41547.25</v>
      </c>
      <c r="J82" s="108" t="str">
        <f t="shared" si="12"/>
        <v/>
      </c>
      <c r="L82" s="108" t="str">
        <f t="shared" si="13"/>
        <v/>
      </c>
      <c r="N82" s="108">
        <v>79</v>
      </c>
      <c r="O82" s="108" t="str">
        <f>IF(INVOICE!$N$16="MANUAL",IF(B82&lt;&gt;"",C82,""),IF(INVOICE!$N$16="AUTOMATE",IF(A82&lt;&gt;"",C82,""),""))</f>
        <v/>
      </c>
      <c r="AM82" s="108">
        <v>10</v>
      </c>
      <c r="AN82" s="108" t="s">
        <v>2275</v>
      </c>
      <c r="AO82" s="108" t="str">
        <f>IF(INVOICE!$N$16="MANUAL",IFERROR(AM82*B82,""),IF(INVOICE!$N$16="AUTOMATE",IFERROR(AM82*A82,""),""))</f>
        <v/>
      </c>
      <c r="AP82" s="108">
        <v>800</v>
      </c>
      <c r="AQ82" s="108">
        <v>48</v>
      </c>
      <c r="AR82" s="108" t="s">
        <v>2219</v>
      </c>
      <c r="AS82" s="108">
        <v>3</v>
      </c>
      <c r="AT82" s="108" t="str">
        <f t="shared" si="9"/>
        <v/>
      </c>
      <c r="AV82" s="108" t="str">
        <f t="shared" si="8"/>
        <v/>
      </c>
      <c r="AW82" s="108">
        <v>210</v>
      </c>
    </row>
    <row r="83" spans="1:49">
      <c r="A83" s="108" t="str">
        <f>IF(AND('Customer Base'!D$9=3,'Customer Base'!D$13="Deye",'Customer Base'!D$14&gt;10,'Customer Base'!D$14&lt;=12),'Customer Base'!D$15,IF(AND('Customer Base'!D$7="Mini-Grid",'Customer Base'!D$9=3,'Customer Base'!F$13="Deye",'Customer Base'!F$14&gt;10,'Customer Base'!F$14&lt;=12),'Customer Base'!F$15,""))</f>
        <v/>
      </c>
      <c r="C83" s="267" t="s">
        <v>1935</v>
      </c>
      <c r="D83" s="335">
        <v>3594.55</v>
      </c>
      <c r="E83" s="335">
        <v>3205.95</v>
      </c>
      <c r="F83" s="268">
        <f t="shared" si="14"/>
        <v>2948.7694831829367</v>
      </c>
      <c r="G83" s="268">
        <f>IFERROR(ROUNDUP(F83*INVOICE!$O$6,2),0)</f>
        <v>49244.46</v>
      </c>
      <c r="H83" s="268">
        <f t="shared" si="15"/>
        <v>2629.9835931091056</v>
      </c>
      <c r="I83" s="268">
        <f>IFERROR(ROUNDUP(H83*INVOICE!$O$6,2),0)</f>
        <v>43920.73</v>
      </c>
      <c r="J83" s="108" t="str">
        <f t="shared" si="12"/>
        <v/>
      </c>
      <c r="L83" s="108" t="str">
        <f t="shared" si="13"/>
        <v/>
      </c>
      <c r="N83" s="108">
        <v>80</v>
      </c>
      <c r="O83" s="108" t="str">
        <f>IF(INVOICE!$N$16="MANUAL",IF(B83&lt;&gt;"",C83,""),IF(INVOICE!$N$16="AUTOMATE",IF(A83&lt;&gt;"",C83,""),""))</f>
        <v/>
      </c>
      <c r="AM83" s="108">
        <v>12</v>
      </c>
      <c r="AN83" s="108" t="s">
        <v>2283</v>
      </c>
      <c r="AO83" s="108" t="str">
        <f>IF(INVOICE!$N$16="MANUAL",IFERROR(AM83*B83,""),IF(INVOICE!$N$16="AUTOMATE",IFERROR(AM83*A83,""),""))</f>
        <v/>
      </c>
      <c r="AP83" s="108">
        <v>800</v>
      </c>
      <c r="AQ83" s="108">
        <v>48</v>
      </c>
      <c r="AR83" s="108" t="s">
        <v>2219</v>
      </c>
      <c r="AS83" s="108">
        <v>3</v>
      </c>
      <c r="AT83" s="108" t="str">
        <f t="shared" si="9"/>
        <v/>
      </c>
      <c r="AV83" s="108" t="str">
        <f t="shared" si="8"/>
        <v/>
      </c>
      <c r="AW83" s="108">
        <v>240</v>
      </c>
    </row>
    <row r="84" spans="1:49">
      <c r="D84" s="324"/>
      <c r="E84" s="324"/>
      <c r="I84" s="229"/>
      <c r="J84" s="108" t="str">
        <f t="shared" si="12"/>
        <v/>
      </c>
      <c r="L84" s="108" t="str">
        <f t="shared" si="13"/>
        <v/>
      </c>
      <c r="N84" s="108">
        <v>81</v>
      </c>
      <c r="O84" s="108" t="str">
        <f>IF(INVOICE!$N$16="MANUAL",IF(B84&lt;&gt;"",C84,""),IF(INVOICE!$N$16="AUTOMATE",IF(A84&lt;&gt;"",C84,""),""))</f>
        <v/>
      </c>
      <c r="AO84" s="108">
        <f>IF(INVOICE!$N$16="MANUAL",IFERROR(AM84*B84,""),IF(INVOICE!$N$16="AUTOMATE",IFERROR(AM84*A84,""),""))</f>
        <v>0</v>
      </c>
      <c r="AT84" s="108" t="str">
        <f t="shared" si="9"/>
        <v/>
      </c>
      <c r="AV84" s="108" t="str">
        <f t="shared" si="8"/>
        <v/>
      </c>
    </row>
    <row r="85" spans="1:49">
      <c r="C85" s="237" t="s">
        <v>1958</v>
      </c>
      <c r="D85" s="325"/>
      <c r="E85" s="325"/>
      <c r="F85" s="239"/>
      <c r="G85" s="239"/>
      <c r="H85" s="239"/>
      <c r="I85" s="239"/>
      <c r="J85" s="108" t="str">
        <f t="shared" si="12"/>
        <v/>
      </c>
      <c r="L85" s="108" t="str">
        <f t="shared" si="13"/>
        <v/>
      </c>
      <c r="N85" s="108">
        <v>82</v>
      </c>
      <c r="O85" s="108" t="str">
        <f>IF(INVOICE!$N$16="MANUAL",IF(B85&lt;&gt;"",C85,""),IF(INVOICE!$N$16="AUTOMATE",IF(A85&lt;&gt;"",C85,""),""))</f>
        <v/>
      </c>
      <c r="AO85" s="108">
        <f>IF(INVOICE!$N$16="MANUAL",IFERROR(AM85*B85,""),IF(INVOICE!$N$16="AUTOMATE",IFERROR(AM85*A85,""),""))</f>
        <v>0</v>
      </c>
      <c r="AT85" s="108" t="str">
        <f t="shared" si="9"/>
        <v/>
      </c>
      <c r="AV85" s="108" t="str">
        <f t="shared" si="8"/>
        <v/>
      </c>
    </row>
    <row r="86" spans="1:49">
      <c r="A86" s="108" t="str">
        <f>IF(AND('Customer Base'!D$9=1,'Customer Base'!D$13="Huawei",'Customer Base'!D$14&gt;0,'Customer Base'!D$14&lt;=2),'Customer Base'!D$15,IF(AND('Customer Base'!D$7="Mini-Grid",'Customer Base'!D$9=1,'Customer Base'!F$13="Huawei",'Customer Base'!F$14&gt;0,'Customer Base'!F$14&lt;=2),'Customer Base'!F$15,""))</f>
        <v/>
      </c>
      <c r="C86" s="242" t="s">
        <v>2353</v>
      </c>
      <c r="D86" s="272">
        <v>729.28</v>
      </c>
      <c r="E86" s="272">
        <v>686.88</v>
      </c>
      <c r="F86" s="243">
        <f t="shared" ref="F86:F100" si="16">$D86/1.219</f>
        <v>598.26086956521738</v>
      </c>
      <c r="G86" s="243">
        <f>IFERROR(ROUNDUP(F86*INVOICE!$O$6,2),0)</f>
        <v>9990.9600000000009</v>
      </c>
      <c r="H86" s="243">
        <f t="shared" ref="H86:H100" si="17">$E86/1.219</f>
        <v>563.47826086956513</v>
      </c>
      <c r="I86" s="243">
        <f>IFERROR(ROUNDUP(H86*INVOICE!$O$6,2),0)</f>
        <v>9410.09</v>
      </c>
      <c r="J86" s="108" t="str">
        <f t="shared" ref="J86:J114" si="18">IF(D86&lt;&gt;"",IF(D86&lt;E86,"lkdfjk",""),"")</f>
        <v/>
      </c>
      <c r="L86" s="108" t="str">
        <f t="shared" si="13"/>
        <v/>
      </c>
      <c r="N86" s="108">
        <v>83</v>
      </c>
      <c r="O86" s="108" t="str">
        <f>IF(INVOICE!$N$16="MANUAL",IF(B86&lt;&gt;"",C86,""),IF(INVOICE!$N$16="AUTOMATE",IF(A86&lt;&gt;"",C86,""),""))</f>
        <v/>
      </c>
      <c r="AM86" s="108">
        <v>2</v>
      </c>
      <c r="AN86" s="108" t="s">
        <v>2270</v>
      </c>
      <c r="AO86" s="108" t="str">
        <f>IF(INVOICE!$N$16="MANUAL",IFERROR(AM86*B86,""),IF(INVOICE!$N$16="AUTOMATE",IFERROR(AM86*A86,""),""))</f>
        <v/>
      </c>
      <c r="AP86" s="108">
        <v>600</v>
      </c>
      <c r="AQ86" s="108">
        <v>48</v>
      </c>
      <c r="AR86" s="108" t="s">
        <v>2220</v>
      </c>
      <c r="AS86" s="108">
        <v>1</v>
      </c>
      <c r="AT86" s="108" t="str">
        <f t="shared" si="9"/>
        <v/>
      </c>
      <c r="AV86" s="108" t="str">
        <f t="shared" si="8"/>
        <v/>
      </c>
    </row>
    <row r="87" spans="1:49">
      <c r="A87" s="108" t="str">
        <f>IF(AND('Customer Base'!D$9=1,'Customer Base'!D$13="Huawei",'Customer Base'!D$14&gt;2,'Customer Base'!D$14&lt;=3),'Customer Base'!D$15,IF(AND('Customer Base'!D$7="Mini-Grid",'Customer Base'!D$9=1,'Customer Base'!F$13="Huawei",'Customer Base'!F$14&gt;2,'Customer Base'!F$14&lt;=3),'Customer Base'!F$15,""))</f>
        <v/>
      </c>
      <c r="C87" s="242" t="s">
        <v>2354</v>
      </c>
      <c r="D87" s="272">
        <v>846.14</v>
      </c>
      <c r="E87" s="272">
        <v>796.94299999999998</v>
      </c>
      <c r="F87" s="243">
        <f t="shared" si="16"/>
        <v>694.12633305988504</v>
      </c>
      <c r="G87" s="243">
        <f>IFERROR(ROUNDUP(F87*INVOICE!$O$6,2),0)</f>
        <v>11591.91</v>
      </c>
      <c r="H87" s="243">
        <f t="shared" si="17"/>
        <v>653.76784249384741</v>
      </c>
      <c r="I87" s="243">
        <f>IFERROR(ROUNDUP(H87*INVOICE!$O$6,2),0)</f>
        <v>10917.93</v>
      </c>
      <c r="J87" s="108" t="str">
        <f t="shared" si="18"/>
        <v/>
      </c>
      <c r="L87" s="108" t="str">
        <f t="shared" si="13"/>
        <v/>
      </c>
      <c r="N87" s="108">
        <v>84</v>
      </c>
      <c r="O87" s="108" t="str">
        <f>IF(INVOICE!$N$16="MANUAL",IF(B87&lt;&gt;"",C87,""),IF(INVOICE!$N$16="AUTOMATE",IF(A87&lt;&gt;"",C87,""),""))</f>
        <v/>
      </c>
      <c r="AM87" s="108">
        <v>3</v>
      </c>
      <c r="AN87" s="108" t="s">
        <v>2271</v>
      </c>
      <c r="AO87" s="108" t="str">
        <f>IF(INVOICE!$N$16="MANUAL",IFERROR(AM87*B87,""),IF(INVOICE!$N$16="AUTOMATE",IFERROR(AM87*A87,""),""))</f>
        <v/>
      </c>
      <c r="AP87" s="108">
        <v>600</v>
      </c>
      <c r="AQ87" s="108">
        <v>48</v>
      </c>
      <c r="AR87" s="108" t="s">
        <v>2220</v>
      </c>
      <c r="AS87" s="108">
        <v>1</v>
      </c>
      <c r="AT87" s="108" t="str">
        <f t="shared" si="9"/>
        <v/>
      </c>
      <c r="AV87" s="108" t="str">
        <f t="shared" si="8"/>
        <v/>
      </c>
    </row>
    <row r="88" spans="1:49">
      <c r="A88" s="108" t="str">
        <f>IF(AND('Customer Base'!D$9=1,'Customer Base'!D$13="Huawei",'Customer Base'!D$14&gt;3,'Customer Base'!D$14&lt;=5),'Customer Base'!D$15,IF(AND('Customer Base'!D$7="Mini-Grid",'Customer Base'!D$9=1,'Customer Base'!F$13="Huawei",'Customer Base'!F$14&gt;3,'Customer Base'!F$14&lt;=5),'Customer Base'!F$15,""))</f>
        <v/>
      </c>
      <c r="C88" s="242" t="s">
        <v>2355</v>
      </c>
      <c r="D88" s="272">
        <v>1086.1300000000001</v>
      </c>
      <c r="E88" s="272">
        <v>1022.981</v>
      </c>
      <c r="F88" s="243">
        <f t="shared" si="16"/>
        <v>891.00082034454476</v>
      </c>
      <c r="G88" s="243">
        <f>IFERROR(ROUNDUP(F88*INVOICE!$O$6,2),0)</f>
        <v>14879.72</v>
      </c>
      <c r="H88" s="243">
        <f t="shared" si="17"/>
        <v>839.19688269073004</v>
      </c>
      <c r="I88" s="243">
        <f>IFERROR(ROUNDUP(H88*INVOICE!$O$6,2),0)</f>
        <v>14014.59</v>
      </c>
      <c r="J88" s="108" t="str">
        <f t="shared" si="18"/>
        <v/>
      </c>
      <c r="L88" s="108" t="str">
        <f t="shared" si="13"/>
        <v/>
      </c>
      <c r="N88" s="108">
        <v>85</v>
      </c>
      <c r="O88" s="108" t="str">
        <f>IF(INVOICE!$N$16="MANUAL",IF(B88&lt;&gt;"",C88,""),IF(INVOICE!$N$16="AUTOMATE",IF(A88&lt;&gt;"",C88,""),""))</f>
        <v/>
      </c>
      <c r="AM88" s="108">
        <v>5</v>
      </c>
      <c r="AN88" s="108" t="s">
        <v>2272</v>
      </c>
      <c r="AO88" s="108" t="str">
        <f>IF(INVOICE!$N$16="MANUAL",IFERROR(AM88*B88,""),IF(INVOICE!$N$16="AUTOMATE",IFERROR(AM88*A88,""),""))</f>
        <v/>
      </c>
      <c r="AP88" s="108">
        <v>600</v>
      </c>
      <c r="AQ88" s="108">
        <v>48</v>
      </c>
      <c r="AR88" s="108" t="s">
        <v>2220</v>
      </c>
      <c r="AS88" s="108">
        <v>1</v>
      </c>
      <c r="AT88" s="108" t="str">
        <f t="shared" si="9"/>
        <v/>
      </c>
      <c r="AV88" s="108" t="str">
        <f t="shared" si="8"/>
        <v/>
      </c>
    </row>
    <row r="89" spans="1:49">
      <c r="A89" s="108" t="str">
        <f>IF(AND('Customer Base'!D$9=3,'Customer Base'!D$13="Huawei",'Customer Base'!D$14&gt;0,'Customer Base'!D$14&lt;=5),'Customer Base'!D$15,IF(AND('Customer Base'!D$7="Mini-Grid",'Customer Base'!D$9=3,'Customer Base'!F$13="Huawei",'Customer Base'!F$14&gt;0,'Customer Base'!F$14&lt;=5),'Customer Base'!F$15,""))</f>
        <v/>
      </c>
      <c r="C89" s="242" t="s">
        <v>2356</v>
      </c>
      <c r="D89" s="272">
        <v>1266.3499999999999</v>
      </c>
      <c r="E89" s="272">
        <v>1192.7249999999999</v>
      </c>
      <c r="F89" s="243">
        <f t="shared" si="16"/>
        <v>1038.8433141919604</v>
      </c>
      <c r="G89" s="243">
        <f>IFERROR(ROUNDUP(F89*INVOICE!$O$6,2),0)</f>
        <v>17348.689999999999</v>
      </c>
      <c r="H89" s="243">
        <f t="shared" si="17"/>
        <v>978.44544708777676</v>
      </c>
      <c r="I89" s="243">
        <f>IFERROR(ROUNDUP(H89*INVOICE!$O$6,2),0)</f>
        <v>16340.04</v>
      </c>
      <c r="J89" s="108" t="str">
        <f t="shared" si="18"/>
        <v/>
      </c>
      <c r="L89" s="108" t="str">
        <f t="shared" si="13"/>
        <v/>
      </c>
      <c r="N89" s="108">
        <v>86</v>
      </c>
      <c r="O89" s="108" t="str">
        <f>IF(INVOICE!$N$16="MANUAL",IF(B89&lt;&gt;"",C89,""),IF(INVOICE!$N$16="AUTOMATE",IF(A89&lt;&gt;"",C89,""),""))</f>
        <v/>
      </c>
      <c r="AM89" s="108">
        <v>5</v>
      </c>
      <c r="AN89" s="108" t="s">
        <v>2272</v>
      </c>
      <c r="AO89" s="108" t="str">
        <f>IF(INVOICE!$N$16="MANUAL",IFERROR(AM89*B89,""),IF(INVOICE!$N$16="AUTOMATE",IFERROR(AM89*A89,""),""))</f>
        <v/>
      </c>
      <c r="AP89" s="108">
        <v>1100</v>
      </c>
      <c r="AQ89" s="108">
        <v>48</v>
      </c>
      <c r="AR89" s="108" t="s">
        <v>2220</v>
      </c>
      <c r="AS89" s="108">
        <v>1</v>
      </c>
      <c r="AT89" s="108" t="str">
        <f t="shared" si="9"/>
        <v/>
      </c>
      <c r="AV89" s="108" t="str">
        <f t="shared" si="8"/>
        <v/>
      </c>
    </row>
    <row r="90" spans="1:49">
      <c r="A90" s="108" t="str">
        <f>IF(AND('Customer Base'!D$9=3,'Customer Base'!D$13="Huawei",'Customer Base'!D$14&gt;5,'Customer Base'!D$14&lt;=10),'Customer Base'!D$15,IF(AND('Customer Base'!D$7="Mini-Grid",'Customer Base'!D$9=3,'Customer Base'!F$13="Huawei",'Customer Base'!F$14&gt;5,'Customer Base'!F$14&lt;=10),'Customer Base'!F$15,""))</f>
        <v/>
      </c>
      <c r="C90" s="242" t="s">
        <v>2357</v>
      </c>
      <c r="D90" s="272">
        <v>1884.04</v>
      </c>
      <c r="E90" s="272">
        <v>1774.499</v>
      </c>
      <c r="F90" s="243">
        <f t="shared" si="16"/>
        <v>1545.5619360131254</v>
      </c>
      <c r="G90" s="243">
        <f>IFERROR(ROUNDUP(F90*INVOICE!$O$6,2),0)</f>
        <v>25810.89</v>
      </c>
      <c r="H90" s="243">
        <f t="shared" si="17"/>
        <v>1455.7005742411811</v>
      </c>
      <c r="I90" s="243">
        <f>IFERROR(ROUNDUP(H90*INVOICE!$O$6,2),0)</f>
        <v>24310.199999999997</v>
      </c>
      <c r="J90" s="108" t="str">
        <f t="shared" si="18"/>
        <v/>
      </c>
      <c r="L90" s="108" t="str">
        <f t="shared" si="13"/>
        <v/>
      </c>
      <c r="N90" s="108">
        <v>87</v>
      </c>
      <c r="O90" s="108" t="str">
        <f>IF(INVOICE!$N$16="MANUAL",IF(B90&lt;&gt;"",C90,""),IF(INVOICE!$N$16="AUTOMATE",IF(A90&lt;&gt;"",C90,""),""))</f>
        <v/>
      </c>
      <c r="AM90" s="108">
        <v>10</v>
      </c>
      <c r="AN90" s="108" t="s">
        <v>2275</v>
      </c>
      <c r="AO90" s="108" t="str">
        <f>IF(INVOICE!$N$16="MANUAL",IFERROR(AM90*B90,""),IF(INVOICE!$N$16="AUTOMATE",IFERROR(AM90*A90,""),""))</f>
        <v/>
      </c>
      <c r="AP90" s="108">
        <v>1100</v>
      </c>
      <c r="AQ90" s="108">
        <v>48</v>
      </c>
      <c r="AR90" s="108" t="s">
        <v>2220</v>
      </c>
      <c r="AS90" s="108">
        <v>1</v>
      </c>
      <c r="AT90" s="108" t="str">
        <f t="shared" si="9"/>
        <v/>
      </c>
      <c r="AV90" s="108" t="str">
        <f t="shared" si="8"/>
        <v/>
      </c>
    </row>
    <row r="91" spans="1:49">
      <c r="A91" s="108" t="str">
        <f>IF(AND('Customer Base'!D$9=3,'Customer Base'!D$13="Huawei",'Customer Base'!D$14&gt;10,'Customer Base'!D$14&lt;=20),'Customer Base'!D$15,IF(AND('Customer Base'!D$7="Mini-Grid",'Customer Base'!D$9=3,'Customer Base'!F$13="Huawei",'Customer Base'!F$14&gt;10,'Customer Base'!F$14&lt;=20),'Customer Base'!F$15,""))</f>
        <v/>
      </c>
      <c r="C91" s="242" t="s">
        <v>2358</v>
      </c>
      <c r="D91" s="272">
        <v>2491.11</v>
      </c>
      <c r="E91" s="272">
        <v>2346.2779999999998</v>
      </c>
      <c r="F91" s="243">
        <f t="shared" si="16"/>
        <v>2043.5684987694831</v>
      </c>
      <c r="G91" s="243">
        <f>IFERROR(ROUNDUP(F91*INVOICE!$O$6,2),0)</f>
        <v>34127.599999999999</v>
      </c>
      <c r="H91" s="243">
        <f t="shared" si="17"/>
        <v>1924.7563576702212</v>
      </c>
      <c r="I91" s="243">
        <f>IFERROR(ROUNDUP(H91*INVOICE!$O$6,2),0)</f>
        <v>32143.439999999999</v>
      </c>
      <c r="J91" s="108" t="str">
        <f t="shared" si="18"/>
        <v/>
      </c>
      <c r="L91" s="108" t="str">
        <f t="shared" si="13"/>
        <v/>
      </c>
      <c r="N91" s="108">
        <v>88</v>
      </c>
      <c r="O91" s="108" t="str">
        <f>IF(INVOICE!$N$16="MANUAL",IF(B91&lt;&gt;"",C91,""),IF(INVOICE!$N$16="AUTOMATE",IF(A91&lt;&gt;"",C91,""),""))</f>
        <v/>
      </c>
      <c r="AM91" s="108">
        <v>20</v>
      </c>
      <c r="AN91" s="108" t="s">
        <v>2284</v>
      </c>
      <c r="AO91" s="108" t="str">
        <f>IF(INVOICE!$N$16="MANUAL",IFERROR(AM91*B91,""),IF(INVOICE!$N$16="AUTOMATE",IFERROR(AM91*A91,""),""))</f>
        <v/>
      </c>
      <c r="AP91" s="108">
        <v>1100</v>
      </c>
      <c r="AQ91" s="108">
        <v>48</v>
      </c>
      <c r="AR91" s="108" t="s">
        <v>2220</v>
      </c>
      <c r="AS91" s="108">
        <v>3</v>
      </c>
      <c r="AT91" s="108" t="str">
        <f t="shared" si="9"/>
        <v/>
      </c>
      <c r="AV91" s="108" t="str">
        <f t="shared" si="8"/>
        <v/>
      </c>
    </row>
    <row r="92" spans="1:49">
      <c r="A92" s="108" t="str">
        <f>IF(AND('Customer Base'!D$9=3,'Customer Base'!D$13="Huawei",'Customer Base'!D$14&gt;20,'Customer Base'!D$14&lt;=30),'Customer Base'!D$15,IF(AND('Customer Base'!D$7="Mini-Grid",'Customer Base'!D$9=3,'Customer Base'!F$13="Huawei",'Customer Base'!F$14&gt;20,'Customer Base'!F$14&lt;=30),'Customer Base'!F$15,""))</f>
        <v/>
      </c>
      <c r="C92" s="242" t="s">
        <v>2359</v>
      </c>
      <c r="D92" s="272">
        <v>2913.47</v>
      </c>
      <c r="E92" s="272">
        <v>2744.0859999999998</v>
      </c>
      <c r="F92" s="243">
        <f t="shared" si="16"/>
        <v>2390.0492206726822</v>
      </c>
      <c r="G92" s="243">
        <f>IFERROR(ROUNDUP(F92*INVOICE!$O$6,2),0)</f>
        <v>39913.83</v>
      </c>
      <c r="H92" s="243">
        <f t="shared" si="17"/>
        <v>2251.0959803117307</v>
      </c>
      <c r="I92" s="243">
        <f>IFERROR(ROUNDUP(H92*INVOICE!$O$6,2),0)</f>
        <v>37593.310000000005</v>
      </c>
      <c r="J92" s="108" t="str">
        <f t="shared" si="18"/>
        <v/>
      </c>
      <c r="L92" s="108" t="str">
        <f t="shared" si="13"/>
        <v/>
      </c>
      <c r="N92" s="108">
        <v>89</v>
      </c>
      <c r="O92" s="108" t="str">
        <f>IF(INVOICE!$N$16="MANUAL",IF(B92&lt;&gt;"",C92,""),IF(INVOICE!$N$16="AUTOMATE",IF(A92&lt;&gt;"",C92,""),""))</f>
        <v/>
      </c>
      <c r="AM92" s="108">
        <v>30</v>
      </c>
      <c r="AN92" s="108" t="s">
        <v>2285</v>
      </c>
      <c r="AO92" s="108" t="str">
        <f>IF(INVOICE!$N$16="MANUAL",IFERROR(AM92*B92,""),IF(INVOICE!$N$16="AUTOMATE",IFERROR(AM92*A92,""),""))</f>
        <v/>
      </c>
      <c r="AP92" s="108">
        <v>1100</v>
      </c>
      <c r="AQ92" s="108">
        <v>48</v>
      </c>
      <c r="AR92" s="108" t="s">
        <v>2220</v>
      </c>
      <c r="AS92" s="108">
        <v>3</v>
      </c>
      <c r="AT92" s="108" t="str">
        <f t="shared" si="9"/>
        <v/>
      </c>
      <c r="AV92" s="108" t="str">
        <f t="shared" si="8"/>
        <v/>
      </c>
    </row>
    <row r="93" spans="1:49">
      <c r="A93" s="108" t="str">
        <f>IF(AND('Customer Base'!D$9=3,'Customer Base'!D$13="Huawei",'Customer Base'!D$14&gt;30,'Customer Base'!D$14&lt;=40),'Customer Base'!D$15,IF(AND('Customer Base'!D$7="Mini-Grid",'Customer Base'!D$9=3,'Customer Base'!F$13="Huawei",'Customer Base'!F$14&gt;30,'Customer Base'!F$14&lt;=40),'Customer Base'!F$15,""))</f>
        <v/>
      </c>
      <c r="C93" s="242" t="s">
        <v>2360</v>
      </c>
      <c r="D93" s="272">
        <v>3448.48</v>
      </c>
      <c r="E93" s="272">
        <v>3247.9870000000001</v>
      </c>
      <c r="F93" s="243">
        <f t="shared" si="16"/>
        <v>2828.9417555373257</v>
      </c>
      <c r="G93" s="243">
        <f>IFERROR(ROUNDUP(F93*INVOICE!$O$6,2),0)</f>
        <v>47243.33</v>
      </c>
      <c r="H93" s="243">
        <f t="shared" si="17"/>
        <v>2664.4684167350288</v>
      </c>
      <c r="I93" s="243">
        <f>IFERROR(ROUNDUP(H93*INVOICE!$O$6,2),0)</f>
        <v>44496.630000000005</v>
      </c>
      <c r="J93" s="108" t="str">
        <f t="shared" si="18"/>
        <v/>
      </c>
      <c r="L93" s="108" t="str">
        <f t="shared" si="13"/>
        <v/>
      </c>
      <c r="N93" s="108">
        <v>90</v>
      </c>
      <c r="O93" s="108" t="str">
        <f>IF(INVOICE!$N$16="MANUAL",IF(B93&lt;&gt;"",C93,""),IF(INVOICE!$N$16="AUTOMATE",IF(A93&lt;&gt;"",C93,""),""))</f>
        <v/>
      </c>
      <c r="AM93" s="108">
        <v>40</v>
      </c>
      <c r="AN93" s="108" t="s">
        <v>2286</v>
      </c>
      <c r="AO93" s="108" t="str">
        <f>IF(INVOICE!$N$16="MANUAL",IFERROR(AM93*B93,""),IF(INVOICE!$N$16="AUTOMATE",IFERROR(AM93*A93,""),""))</f>
        <v/>
      </c>
      <c r="AP93" s="108">
        <v>1100</v>
      </c>
      <c r="AQ93" s="108">
        <v>48</v>
      </c>
      <c r="AR93" s="108" t="s">
        <v>2220</v>
      </c>
      <c r="AS93" s="108">
        <v>3</v>
      </c>
      <c r="AT93" s="108" t="str">
        <f t="shared" ref="AT93:AT164" si="19">IF(AND(AR93=$AY$1,$AZ$1=AN93),BA$1,"")</f>
        <v/>
      </c>
      <c r="AV93" s="108" t="str">
        <f t="shared" si="8"/>
        <v/>
      </c>
    </row>
    <row r="94" spans="1:49">
      <c r="A94" s="108" t="str">
        <f>IF(AND('Customer Base'!D$9=3,'Customer Base'!D$13="Huawei",'Customer Base'!D$14&gt;40,'Customer Base'!D$14&lt;=50),'Customer Base'!D$15,IF(AND('Customer Base'!D$7="Mini-Grid",'Customer Base'!D$9=3,'Customer Base'!F$13="Huawei",'Customer Base'!F$14&gt;40,'Customer Base'!F$14&lt;=50),'Customer Base'!F$15,""))</f>
        <v/>
      </c>
      <c r="C94" s="242" t="s">
        <v>2361</v>
      </c>
      <c r="D94" s="272">
        <v>3756.7</v>
      </c>
      <c r="E94" s="272">
        <v>3538.2910000000002</v>
      </c>
      <c r="F94" s="243">
        <f t="shared" si="16"/>
        <v>3081.7883511074647</v>
      </c>
      <c r="G94" s="243">
        <f>IFERROR(ROUNDUP(F94*INVOICE!$O$6,2),0)</f>
        <v>51465.87</v>
      </c>
      <c r="H94" s="243">
        <f t="shared" si="17"/>
        <v>2902.6177194421657</v>
      </c>
      <c r="I94" s="243">
        <f>IFERROR(ROUNDUP(H94*INVOICE!$O$6,2),0)</f>
        <v>48473.72</v>
      </c>
      <c r="J94" s="108" t="str">
        <f t="shared" si="18"/>
        <v/>
      </c>
      <c r="L94" s="108" t="str">
        <f t="shared" si="13"/>
        <v/>
      </c>
      <c r="N94" s="108">
        <v>91</v>
      </c>
      <c r="O94" s="108" t="str">
        <f>IF(INVOICE!$N$16="MANUAL",IF(B94&lt;&gt;"",C94,""),IF(INVOICE!$N$16="AUTOMATE",IF(A94&lt;&gt;"",C94,""),""))</f>
        <v/>
      </c>
      <c r="AM94" s="108">
        <v>50</v>
      </c>
      <c r="AN94" s="108" t="s">
        <v>2287</v>
      </c>
      <c r="AO94" s="108" t="str">
        <f>IF(INVOICE!$N$16="MANUAL",IFERROR(AM94*B94,""),IF(INVOICE!$N$16="AUTOMATE",IFERROR(AM94*A94,""),""))</f>
        <v/>
      </c>
      <c r="AP94" s="108">
        <v>1100</v>
      </c>
      <c r="AQ94" s="108">
        <v>48</v>
      </c>
      <c r="AR94" s="108" t="s">
        <v>2220</v>
      </c>
      <c r="AS94" s="108">
        <v>3</v>
      </c>
      <c r="AT94" s="108" t="str">
        <f t="shared" si="19"/>
        <v/>
      </c>
      <c r="AV94" s="108" t="str">
        <f t="shared" ref="AV94:AV165" si="20">IF(AU94&lt;&gt;"",AU94,AT94)</f>
        <v/>
      </c>
    </row>
    <row r="95" spans="1:49" ht="17">
      <c r="A95" s="108" t="str">
        <f>IFERROR(IF(AND('Customer Base'!D7="Grid-Tied",'Customer Base'!D13="Huawei",'Customer Base'!D34="No"),1,""),"")</f>
        <v/>
      </c>
      <c r="C95" s="357" t="s">
        <v>2362</v>
      </c>
      <c r="D95" s="272">
        <v>65.12</v>
      </c>
      <c r="E95" s="272">
        <v>61.235999999999997</v>
      </c>
      <c r="F95" s="243">
        <f t="shared" si="16"/>
        <v>53.420836751435601</v>
      </c>
      <c r="G95" s="243">
        <f>IFERROR(ROUNDUP(F95*INVOICE!$O$6,2),0)</f>
        <v>892.13</v>
      </c>
      <c r="H95" s="243">
        <f t="shared" si="17"/>
        <v>50.234618539786702</v>
      </c>
      <c r="I95" s="243">
        <f>IFERROR(ROUNDUP(H95*INVOICE!$O$6,2),0)</f>
        <v>838.92</v>
      </c>
      <c r="J95" s="108" t="str">
        <f t="shared" si="18"/>
        <v/>
      </c>
      <c r="L95" s="108" t="str">
        <f t="shared" si="13"/>
        <v/>
      </c>
      <c r="N95" s="108">
        <v>92</v>
      </c>
      <c r="O95" s="108" t="str">
        <f>IF(INVOICE!$N$16="MANUAL",IF(B95&lt;&gt;"",C95,""),IF(INVOICE!$N$16="AUTOMATE",IF(A95&lt;&gt;"",C95,""),""))</f>
        <v/>
      </c>
      <c r="AO95" s="108" t="str">
        <f>IF(INVOICE!$N$16="MANUAL",IFERROR(AM95*B95,""),IF(INVOICE!$N$16="AUTOMATE",IFERROR(AM95*A95,""),""))</f>
        <v/>
      </c>
      <c r="AT95" s="108" t="str">
        <f t="shared" si="19"/>
        <v/>
      </c>
      <c r="AV95" s="108" t="str">
        <f t="shared" si="20"/>
        <v/>
      </c>
    </row>
    <row r="96" spans="1:49">
      <c r="C96" s="242" t="s">
        <v>2363</v>
      </c>
      <c r="D96" s="272">
        <v>158.93</v>
      </c>
      <c r="E96" s="272">
        <v>149.68799999999999</v>
      </c>
      <c r="F96" s="243">
        <f t="shared" si="16"/>
        <v>130.37735849056602</v>
      </c>
      <c r="G96" s="243">
        <f>IFERROR(ROUNDUP(F96*INVOICE!$O$6,2),0)</f>
        <v>2177.3100000000004</v>
      </c>
      <c r="H96" s="243">
        <f t="shared" si="17"/>
        <v>122.79573420836749</v>
      </c>
      <c r="I96" s="243">
        <f>IFERROR(ROUNDUP(H96*INVOICE!$O$6,2),0)</f>
        <v>2050.69</v>
      </c>
      <c r="J96" s="108" t="str">
        <f t="shared" si="18"/>
        <v/>
      </c>
      <c r="L96" s="108" t="str">
        <f t="shared" si="13"/>
        <v/>
      </c>
      <c r="N96" s="108">
        <v>93</v>
      </c>
      <c r="O96" s="108" t="str">
        <f>IF(INVOICE!$N$16="MANUAL",IF(B96&lt;&gt;"",C96,""),IF(INVOICE!$N$16="AUTOMATE",IF(A96&lt;&gt;"",C96,""),""))</f>
        <v/>
      </c>
      <c r="AO96" s="108">
        <f>IF(INVOICE!$N$16="MANUAL",IFERROR(AM96*B96,""),IF(INVOICE!$N$16="AUTOMATE",IFERROR(AM96*A96,""),""))</f>
        <v>0</v>
      </c>
      <c r="AT96" s="108" t="str">
        <f t="shared" si="19"/>
        <v/>
      </c>
      <c r="AV96" s="108" t="str">
        <f t="shared" si="20"/>
        <v/>
      </c>
    </row>
    <row r="97" spans="1:48">
      <c r="C97" s="242" t="s">
        <v>2364</v>
      </c>
      <c r="D97" s="272">
        <v>605.01</v>
      </c>
      <c r="E97" s="272">
        <v>569.83500000000004</v>
      </c>
      <c r="F97" s="243">
        <f t="shared" si="16"/>
        <v>496.31665299425754</v>
      </c>
      <c r="G97" s="243">
        <f>IFERROR(ROUNDUP(F97*INVOICE!$O$6,2),0)</f>
        <v>8288.49</v>
      </c>
      <c r="H97" s="243">
        <f t="shared" si="17"/>
        <v>467.46103363412635</v>
      </c>
      <c r="I97" s="243">
        <f>IFERROR(ROUNDUP(H97*INVOICE!$O$6,2),0)</f>
        <v>7806.6</v>
      </c>
      <c r="J97" s="108" t="str">
        <f t="shared" si="18"/>
        <v/>
      </c>
      <c r="L97" s="108" t="str">
        <f t="shared" si="13"/>
        <v/>
      </c>
      <c r="N97" s="108">
        <v>94</v>
      </c>
      <c r="O97" s="108" t="str">
        <f>IF(INVOICE!$N$16="MANUAL",IF(B97&lt;&gt;"",C97,""),IF(INVOICE!$N$16="AUTOMATE",IF(A97&lt;&gt;"",C97,""),""))</f>
        <v/>
      </c>
      <c r="AO97" s="108">
        <f>IF(INVOICE!$N$16="MANUAL",IFERROR(AM97*B97,""),IF(INVOICE!$N$16="AUTOMATE",IFERROR(AM97*A97,""),""))</f>
        <v>0</v>
      </c>
      <c r="AT97" s="108" t="str">
        <f t="shared" si="19"/>
        <v/>
      </c>
      <c r="AV97" s="108" t="str">
        <f t="shared" si="20"/>
        <v/>
      </c>
    </row>
    <row r="98" spans="1:48">
      <c r="A98" s="108" t="str">
        <f>IFERROR(IF(AND('Customer Base'!D7="Grid-Tied",'Customer Base'!D13="Huawei",'Customer Base'!D34="No"),1,""),"")</f>
        <v/>
      </c>
      <c r="C98" s="242" t="s">
        <v>2365</v>
      </c>
      <c r="D98" s="272">
        <v>101.51</v>
      </c>
      <c r="E98" s="272">
        <v>95.611999999999995</v>
      </c>
      <c r="F98" s="243">
        <f t="shared" si="16"/>
        <v>83.273174733388018</v>
      </c>
      <c r="G98" s="243">
        <f>IFERROR(ROUNDUP(F98*INVOICE!$O$6,2),0)</f>
        <v>1390.67</v>
      </c>
      <c r="H98" s="243">
        <f t="shared" si="17"/>
        <v>78.434782608695642</v>
      </c>
      <c r="I98" s="243">
        <f>IFERROR(ROUNDUP(H98*INVOICE!$O$6,2),0)</f>
        <v>1309.8699999999999</v>
      </c>
      <c r="J98" s="108" t="str">
        <f t="shared" si="18"/>
        <v/>
      </c>
      <c r="L98" s="108" t="str">
        <f t="shared" si="13"/>
        <v/>
      </c>
      <c r="N98" s="108">
        <v>95</v>
      </c>
      <c r="O98" s="108" t="str">
        <f>IF(INVOICE!$N$16="MANUAL",IF(B98&lt;&gt;"",C98,""),IF(INVOICE!$N$16="AUTOMATE",IF(A98&lt;&gt;"",C98,""),""))</f>
        <v/>
      </c>
      <c r="AO98" s="108" t="str">
        <f>IF(INVOICE!$N$16="MANUAL",IFERROR(AM98*B98,""),IF(INVOICE!$N$16="AUTOMATE",IFERROR(AM98*A98,""),""))</f>
        <v/>
      </c>
      <c r="AT98" s="108" t="str">
        <f t="shared" si="19"/>
        <v/>
      </c>
      <c r="AV98" s="108" t="str">
        <f t="shared" si="20"/>
        <v/>
      </c>
    </row>
    <row r="99" spans="1:48">
      <c r="C99" s="242" t="s">
        <v>2366</v>
      </c>
      <c r="D99" s="272">
        <v>66.75</v>
      </c>
      <c r="E99" s="272">
        <v>62.872</v>
      </c>
      <c r="F99" s="243">
        <f t="shared" si="16"/>
        <v>54.757998359310903</v>
      </c>
      <c r="G99" s="243">
        <f>IFERROR(ROUNDUP(F99*INVOICE!$O$6,2),0)</f>
        <v>914.46</v>
      </c>
      <c r="H99" s="243">
        <f t="shared" si="17"/>
        <v>51.576702214930265</v>
      </c>
      <c r="I99" s="243">
        <f>IFERROR(ROUNDUP(H99*INVOICE!$O$6,2),0)</f>
        <v>861.34</v>
      </c>
      <c r="J99" s="108" t="str">
        <f t="shared" si="18"/>
        <v/>
      </c>
      <c r="L99" s="108" t="str">
        <f t="shared" si="13"/>
        <v/>
      </c>
      <c r="N99" s="108">
        <v>96</v>
      </c>
      <c r="O99" s="108" t="str">
        <f>IF(INVOICE!$N$16="MANUAL",IF(B99&lt;&gt;"",C99,""),IF(INVOICE!$N$16="AUTOMATE",IF(A99&lt;&gt;"",C99,""),""))</f>
        <v/>
      </c>
      <c r="AO99" s="108">
        <f>IF(INVOICE!$N$16="MANUAL",IFERROR(AM99*B99,""),IF(INVOICE!$N$16="AUTOMATE",IFERROR(AM99*A99,""),""))</f>
        <v>0</v>
      </c>
      <c r="AT99" s="108" t="str">
        <f t="shared" si="19"/>
        <v/>
      </c>
      <c r="AV99" s="108" t="str">
        <f t="shared" si="20"/>
        <v/>
      </c>
    </row>
    <row r="100" spans="1:48">
      <c r="C100" s="242" t="s">
        <v>2367</v>
      </c>
      <c r="D100" s="272">
        <v>294.12</v>
      </c>
      <c r="E100" s="272">
        <v>277.02</v>
      </c>
      <c r="F100" s="243">
        <f t="shared" si="16"/>
        <v>241.27973748974568</v>
      </c>
      <c r="G100" s="243">
        <f>IFERROR(ROUNDUP(F100*INVOICE!$O$6,2),0)</f>
        <v>4029.38</v>
      </c>
      <c r="H100" s="243">
        <f t="shared" si="17"/>
        <v>227.25184577522558</v>
      </c>
      <c r="I100" s="243">
        <f>IFERROR(ROUNDUP(H100*INVOICE!$O$6,2),0)</f>
        <v>3795.11</v>
      </c>
      <c r="J100" s="108" t="str">
        <f t="shared" si="18"/>
        <v/>
      </c>
      <c r="L100" s="108" t="str">
        <f t="shared" si="13"/>
        <v/>
      </c>
      <c r="N100" s="108">
        <v>97</v>
      </c>
      <c r="O100" s="108" t="str">
        <f>IF(INVOICE!$N$16="MANUAL",IF(B100&lt;&gt;"",C100,""),IF(INVOICE!$N$16="AUTOMATE",IF(A100&lt;&gt;"",C100,""),""))</f>
        <v/>
      </c>
      <c r="AO100" s="108">
        <f>IF(INVOICE!$N$16="MANUAL",IFERROR(AM100*B100,""),IF(INVOICE!$N$16="AUTOMATE",IFERROR(AM100*A100,""),""))</f>
        <v>0</v>
      </c>
      <c r="AT100" s="108" t="str">
        <f t="shared" si="19"/>
        <v/>
      </c>
      <c r="AV100" s="108" t="str">
        <f t="shared" si="20"/>
        <v/>
      </c>
    </row>
    <row r="101" spans="1:48">
      <c r="D101" s="324"/>
      <c r="E101" s="324"/>
      <c r="I101" s="229"/>
      <c r="J101" s="108" t="str">
        <f t="shared" si="18"/>
        <v/>
      </c>
      <c r="L101" s="108" t="str">
        <f t="shared" si="13"/>
        <v/>
      </c>
      <c r="N101" s="108">
        <v>98</v>
      </c>
      <c r="O101" s="108" t="str">
        <f>IF(INVOICE!$N$16="MANUAL",IF(B101&lt;&gt;"",C101,""),IF(INVOICE!$N$16="AUTOMATE",IF(A101&lt;&gt;"",C101,""),""))</f>
        <v/>
      </c>
      <c r="AO101" s="108">
        <f>IF(INVOICE!$N$16="MANUAL",IFERROR(AM101*B101,""),IF(INVOICE!$N$16="AUTOMATE",IFERROR(AM101*A101,""),""))</f>
        <v>0</v>
      </c>
      <c r="AT101" s="108" t="str">
        <f t="shared" si="19"/>
        <v/>
      </c>
      <c r="AV101" s="108" t="str">
        <f t="shared" si="20"/>
        <v/>
      </c>
    </row>
    <row r="102" spans="1:48">
      <c r="C102" s="251" t="s">
        <v>1913</v>
      </c>
      <c r="D102" s="325"/>
      <c r="E102" s="325"/>
      <c r="F102" s="239">
        <f t="shared" si="10"/>
        <v>0</v>
      </c>
      <c r="G102" s="239">
        <f>IFERROR(ROUNDUP(F102*INVOICE!$O$6,2),0)</f>
        <v>0</v>
      </c>
      <c r="H102" s="239">
        <f t="shared" si="11"/>
        <v>0</v>
      </c>
      <c r="I102" s="239">
        <f>IFERROR(ROUNDUP(H102*INVOICE!$O$6,2),0)</f>
        <v>0</v>
      </c>
      <c r="J102" s="108" t="str">
        <f t="shared" si="18"/>
        <v/>
      </c>
      <c r="L102" s="108" t="str">
        <f t="shared" ref="L102:L133" si="21">IF(H102&gt;F102,"lkkajdfkj","")</f>
        <v/>
      </c>
      <c r="N102" s="108">
        <v>99</v>
      </c>
      <c r="O102" s="108" t="str">
        <f>IF(INVOICE!$N$16="MANUAL",IF(B102&lt;&gt;"",C102,""),IF(INVOICE!$N$16="AUTOMATE",IF(A102&lt;&gt;"",C102,""),""))</f>
        <v/>
      </c>
      <c r="AO102" s="108">
        <f>IF(INVOICE!$N$16="MANUAL",IFERROR(AM102*B102,""),IF(INVOICE!$N$16="AUTOMATE",IFERROR(AM102*A102,""),""))</f>
        <v>0</v>
      </c>
      <c r="AT102" s="108" t="str">
        <f t="shared" si="19"/>
        <v/>
      </c>
      <c r="AV102" s="108" t="str">
        <f t="shared" si="20"/>
        <v/>
      </c>
    </row>
    <row r="103" spans="1:48">
      <c r="A103" s="108" t="str">
        <f>IF(AND('Customer Base'!D$9=1,'Customer Base'!D$13="Fronius",'Customer Base'!D$14&gt;0,'Customer Base'!D$14&lt;=3),'Customer Base'!D$15,IF(AND('Customer Base'!D$7="Mini-Grid",'Customer Base'!D$9=1,'Customer Base'!F$13="Fronius",'Customer Base'!F$14&gt;0,'Customer Base'!F$14&lt;=3),'Customer Base'!F$15,""))</f>
        <v/>
      </c>
      <c r="C103" s="253" t="s">
        <v>24</v>
      </c>
      <c r="D103" s="326">
        <v>1337.82</v>
      </c>
      <c r="E103" s="326">
        <v>1260.0360000000001</v>
      </c>
      <c r="F103" s="254">
        <f t="shared" si="10"/>
        <v>1097.4733388022969</v>
      </c>
      <c r="G103" s="254">
        <f>IFERROR(ROUNDUP(F103*INVOICE!$O$6,2),0)</f>
        <v>18327.809999999998</v>
      </c>
      <c r="H103" s="254">
        <f t="shared" si="11"/>
        <v>1033.6636587366693</v>
      </c>
      <c r="I103" s="254">
        <f>IFERROR(ROUNDUP(H103*INVOICE!$O$6,2),0)</f>
        <v>17262.189999999999</v>
      </c>
      <c r="J103" s="108" t="str">
        <f t="shared" si="18"/>
        <v/>
      </c>
      <c r="L103" s="108" t="str">
        <f t="shared" si="21"/>
        <v/>
      </c>
      <c r="N103" s="108">
        <v>100</v>
      </c>
      <c r="O103" s="108" t="str">
        <f>IF(INVOICE!$N$16="MANUAL",IF(B103&lt;&gt;"",C103,""),IF(INVOICE!$N$16="AUTOMATE",IF(A103&lt;&gt;"",C103,""),""))</f>
        <v/>
      </c>
      <c r="AM103" s="108">
        <v>3</v>
      </c>
      <c r="AN103" s="108" t="s">
        <v>2290</v>
      </c>
      <c r="AO103" s="108" t="str">
        <f>IF(INVOICE!$N$16="MANUAL",IFERROR(AM103*B103,""),IF(INVOICE!$N$16="AUTOMATE",IFERROR(AM103*A103,""),""))</f>
        <v/>
      </c>
      <c r="AP103" s="108">
        <v>1000</v>
      </c>
      <c r="AQ103" s="108" t="s">
        <v>2214</v>
      </c>
      <c r="AR103" s="108" t="s">
        <v>2221</v>
      </c>
      <c r="AS103" s="108">
        <v>1</v>
      </c>
      <c r="AT103" s="108" t="str">
        <f t="shared" si="19"/>
        <v/>
      </c>
      <c r="AV103" s="108" t="str">
        <f t="shared" si="20"/>
        <v/>
      </c>
    </row>
    <row r="104" spans="1:48">
      <c r="A104" s="108" t="str">
        <f>IF(AND('Customer Base'!D$9=1,'Customer Base'!D$13="Fronius",'Customer Base'!D$14&gt;3,'Customer Base'!D$14&lt;=5),'Customer Base'!D$15,IF(AND('Customer Base'!D$7="Mini-Grid",'Customer Base'!D$9=1,'Customer Base'!F$13="Fronius",'Customer Base'!F$14&gt;3,'Customer Base'!F$14&lt;=5),'Customer Base'!F$15,""))</f>
        <v/>
      </c>
      <c r="C104" s="253" t="s">
        <v>25</v>
      </c>
      <c r="D104" s="326">
        <v>1666.9</v>
      </c>
      <c r="E104" s="326">
        <v>1570.0070000000001</v>
      </c>
      <c r="F104" s="254">
        <f t="shared" si="10"/>
        <v>1367.4323215750615</v>
      </c>
      <c r="G104" s="254">
        <f>IFERROR(ROUNDUP(F104*INVOICE!$O$6,2),0)</f>
        <v>22836.12</v>
      </c>
      <c r="H104" s="254">
        <f t="shared" si="11"/>
        <v>1287.9466776045938</v>
      </c>
      <c r="I104" s="254">
        <f>IFERROR(ROUNDUP(H104*INVOICE!$O$6,2),0)</f>
        <v>21508.71</v>
      </c>
      <c r="J104" s="108" t="str">
        <f t="shared" si="18"/>
        <v/>
      </c>
      <c r="L104" s="108" t="str">
        <f t="shared" si="21"/>
        <v/>
      </c>
      <c r="N104" s="108">
        <v>101</v>
      </c>
      <c r="O104" s="108" t="str">
        <f>IF(INVOICE!$N$16="MANUAL",IF(B104&lt;&gt;"",C104,""),IF(INVOICE!$N$16="AUTOMATE",IF(A104&lt;&gt;"",C104,""),""))</f>
        <v/>
      </c>
      <c r="AM104" s="108">
        <v>5</v>
      </c>
      <c r="AN104" s="108" t="s">
        <v>2291</v>
      </c>
      <c r="AO104" s="108" t="str">
        <f>IF(INVOICE!$N$16="MANUAL",IFERROR(AM104*B104,""),IF(INVOICE!$N$16="AUTOMATE",IFERROR(AM104*A104,""),""))</f>
        <v/>
      </c>
      <c r="AP104" s="108">
        <v>1000</v>
      </c>
      <c r="AQ104" s="108" t="s">
        <v>2214</v>
      </c>
      <c r="AR104" s="108" t="s">
        <v>2222</v>
      </c>
      <c r="AS104" s="108">
        <v>1</v>
      </c>
      <c r="AT104" s="108" t="str">
        <f t="shared" si="19"/>
        <v/>
      </c>
      <c r="AV104" s="108" t="str">
        <f t="shared" si="20"/>
        <v/>
      </c>
    </row>
    <row r="105" spans="1:48">
      <c r="A105" s="108" t="str">
        <f>IF(AND('Customer Base'!D$9=1,'Customer Base'!D$13="Fronius",'Customer Base'!D$14&gt;5,'Customer Base'!D$14&lt;=6),'Customer Base'!D$15,IF(AND('Customer Base'!D$7="Mini-Grid",'Customer Base'!D$9=1,'Customer Base'!F$13="Fronius",'Customer Base'!F$14&gt;5,'Customer Base'!F$14&lt;=6),'Customer Base'!F$15,""))</f>
        <v/>
      </c>
      <c r="C105" s="253" t="s">
        <v>2731</v>
      </c>
      <c r="D105" s="326">
        <v>2224.0632000000001</v>
      </c>
      <c r="E105" s="326">
        <v>2094.7570000000001</v>
      </c>
      <c r="F105" s="254">
        <f t="shared" si="10"/>
        <v>1824.498113207547</v>
      </c>
      <c r="G105" s="254">
        <f>IFERROR(ROUNDUP(F105*INVOICE!$O$6,2),0)</f>
        <v>30469.119999999999</v>
      </c>
      <c r="H105" s="254">
        <f t="shared" si="11"/>
        <v>1718.422477440525</v>
      </c>
      <c r="I105" s="254">
        <f>IFERROR(ROUNDUP(H105*INVOICE!$O$6,2),0)</f>
        <v>28697.66</v>
      </c>
      <c r="J105" s="108" t="str">
        <f t="shared" si="18"/>
        <v/>
      </c>
      <c r="L105" s="108" t="str">
        <f t="shared" si="21"/>
        <v/>
      </c>
      <c r="N105" s="108">
        <v>102</v>
      </c>
      <c r="O105" s="108" t="str">
        <f>IF(INVOICE!$N$16="MANUAL",IF(B105&lt;&gt;"",C105,""),IF(INVOICE!$N$16="AUTOMATE",IF(A105&lt;&gt;"",C105,""),""))</f>
        <v/>
      </c>
      <c r="AM105" s="108">
        <v>6</v>
      </c>
      <c r="AN105" s="108" t="s">
        <v>2293</v>
      </c>
      <c r="AO105" s="108" t="str">
        <f>IF(INVOICE!$N$16="MANUAL",IFERROR(AM105*B105,""),IF(INVOICE!$N$16="AUTOMATE",IFERROR(AM105*A105,""),""))</f>
        <v/>
      </c>
      <c r="AP105" s="108">
        <v>1000</v>
      </c>
      <c r="AQ105" s="108" t="s">
        <v>2214</v>
      </c>
      <c r="AR105" s="108" t="s">
        <v>2222</v>
      </c>
      <c r="AS105" s="108">
        <v>1</v>
      </c>
      <c r="AT105" s="108" t="str">
        <f t="shared" si="19"/>
        <v/>
      </c>
      <c r="AV105" s="108" t="str">
        <f t="shared" si="20"/>
        <v/>
      </c>
    </row>
    <row r="106" spans="1:48">
      <c r="A106" s="108" t="str">
        <f>IF(AND('Customer Base'!D$9=1,'Customer Base'!D$13="Fronius",'Customer Base'!D$14&gt;6,'Customer Base'!D$14&lt;=8.2),'Customer Base'!D$15,IF(AND('Customer Base'!D$7="Mini-Grid",'Customer Base'!D$9=1,'Customer Base'!F$13="Fronius",'Customer Base'!F$14&gt;6,'Customer Base'!F$14&lt;=8.2),'Customer Base'!F$15,""))</f>
        <v/>
      </c>
      <c r="C106" s="253" t="s">
        <v>26</v>
      </c>
      <c r="D106" s="326">
        <v>2563.2471999999998</v>
      </c>
      <c r="E106" s="326">
        <v>2414.221</v>
      </c>
      <c r="F106" s="254">
        <f t="shared" si="10"/>
        <v>2102.745857260049</v>
      </c>
      <c r="G106" s="254">
        <f>IFERROR(ROUNDUP(F106*INVOICE!$O$6,2),0)</f>
        <v>35115.86</v>
      </c>
      <c r="H106" s="254">
        <f t="shared" si="11"/>
        <v>1980.4930270713699</v>
      </c>
      <c r="I106" s="254">
        <f>IFERROR(ROUNDUP(H106*INVOICE!$O$6,2),0)</f>
        <v>33074.240000000005</v>
      </c>
      <c r="J106" s="108" t="str">
        <f t="shared" si="18"/>
        <v/>
      </c>
      <c r="L106" s="108" t="str">
        <f t="shared" si="21"/>
        <v/>
      </c>
      <c r="N106" s="108">
        <v>103</v>
      </c>
      <c r="O106" s="108" t="str">
        <f>IF(INVOICE!$N$16="MANUAL",IF(B106&lt;&gt;"",C106,""),IF(INVOICE!$N$16="AUTOMATE",IF(A106&lt;&gt;"",C106,""),""))</f>
        <v/>
      </c>
      <c r="AM106" s="108">
        <v>8.1999999999999993</v>
      </c>
      <c r="AN106" s="108" t="s">
        <v>2292</v>
      </c>
      <c r="AO106" s="108" t="str">
        <f>IF(INVOICE!$N$16="MANUAL",IFERROR(AM106*B106,""),IF(INVOICE!$N$16="AUTOMATE",IFERROR(AM106*A106,""),""))</f>
        <v/>
      </c>
      <c r="AP106" s="108">
        <v>1000</v>
      </c>
      <c r="AQ106" s="108" t="s">
        <v>2214</v>
      </c>
      <c r="AR106" s="108" t="s">
        <v>2222</v>
      </c>
      <c r="AS106" s="108">
        <v>1</v>
      </c>
      <c r="AT106" s="108" t="str">
        <f t="shared" si="19"/>
        <v/>
      </c>
      <c r="AV106" s="108" t="str">
        <f t="shared" si="20"/>
        <v/>
      </c>
    </row>
    <row r="107" spans="1:48">
      <c r="A107" s="108" t="str">
        <f>IF(AND('Customer Base'!D$9=3,'Customer Base'!D$13="Fronius",'Customer Base'!D$14&gt;0,'Customer Base'!D$14&lt;=3),'Customer Base'!D$15,IF(AND('Customer Base'!D$7="Mini-Grid",'Customer Base'!D$9=3,'Customer Base'!F$13="Fronius",'Customer Base'!F$14&gt;0,'Customer Base'!F$14&lt;=3),'Customer Base'!F$15,""))</f>
        <v/>
      </c>
      <c r="C107" s="253" t="s">
        <v>1125</v>
      </c>
      <c r="D107" s="326">
        <v>1733.12</v>
      </c>
      <c r="E107" s="326">
        <v>1632.261</v>
      </c>
      <c r="F107" s="254">
        <f t="shared" si="10"/>
        <v>1421.7555373256766</v>
      </c>
      <c r="G107" s="254">
        <f>IFERROR(ROUNDUP(F107*INVOICE!$O$6,2),0)</f>
        <v>23743.32</v>
      </c>
      <c r="H107" s="254">
        <f t="shared" si="11"/>
        <v>1339.0164068908941</v>
      </c>
      <c r="I107" s="254">
        <f>IFERROR(ROUNDUP(H107*INVOICE!$O$6,2),0)</f>
        <v>22361.579999999998</v>
      </c>
      <c r="J107" s="108" t="str">
        <f t="shared" si="18"/>
        <v/>
      </c>
      <c r="L107" s="108" t="str">
        <f t="shared" si="21"/>
        <v/>
      </c>
      <c r="N107" s="108">
        <v>104</v>
      </c>
      <c r="O107" s="108" t="str">
        <f>IF(INVOICE!$N$16="MANUAL",IF(B107&lt;&gt;"",C107,""),IF(INVOICE!$N$16="AUTOMATE",IF(A107&lt;&gt;"",C107,""),""))</f>
        <v/>
      </c>
      <c r="AM107" s="108">
        <v>3</v>
      </c>
      <c r="AN107" s="108" t="s">
        <v>2290</v>
      </c>
      <c r="AO107" s="108" t="str">
        <f>IF(INVOICE!$N$16="MANUAL",IFERROR(AM107*B107,""),IF(INVOICE!$N$16="AUTOMATE",IFERROR(AM107*A107,""),""))</f>
        <v/>
      </c>
      <c r="AP107" s="108">
        <v>1000</v>
      </c>
      <c r="AQ107" s="108" t="s">
        <v>2214</v>
      </c>
      <c r="AR107" s="108" t="s">
        <v>2223</v>
      </c>
      <c r="AS107" s="108">
        <v>3</v>
      </c>
      <c r="AT107" s="108" t="str">
        <f t="shared" si="19"/>
        <v/>
      </c>
      <c r="AV107" s="108" t="str">
        <f t="shared" si="20"/>
        <v/>
      </c>
    </row>
    <row r="108" spans="1:48">
      <c r="A108" s="108" t="str">
        <f>IF(AND('Customer Base'!D$9=3,'Customer Base'!D$13="Fronius",'Customer Base'!D$14&gt;3,'Customer Base'!D$14&lt;=5),'Customer Base'!D$15,IF(AND('Customer Base'!D$7="Mini-Grid",'Customer Base'!D$9=3,'Customer Base'!F$13="Fronius",'Customer Base'!F$14&gt;3,'Customer Base'!F$14&lt;=5),'Customer Base'!F$15,""))</f>
        <v/>
      </c>
      <c r="C108" s="253" t="s">
        <v>1123</v>
      </c>
      <c r="D108" s="326">
        <v>1895.82</v>
      </c>
      <c r="E108" s="326">
        <v>1785.596</v>
      </c>
      <c r="F108" s="254">
        <f t="shared" si="10"/>
        <v>1555.2255947497947</v>
      </c>
      <c r="G108" s="254">
        <f>IFERROR(ROUNDUP(F108*INVOICE!$O$6,2),0)</f>
        <v>25972.269999999997</v>
      </c>
      <c r="H108" s="254">
        <f t="shared" si="11"/>
        <v>1464.8039376538145</v>
      </c>
      <c r="I108" s="254">
        <f>IFERROR(ROUNDUP(H108*INVOICE!$O$6,2),0)</f>
        <v>24462.23</v>
      </c>
      <c r="J108" s="108" t="str">
        <f t="shared" si="18"/>
        <v/>
      </c>
      <c r="L108" s="108" t="str">
        <f t="shared" si="21"/>
        <v/>
      </c>
      <c r="N108" s="108">
        <v>105</v>
      </c>
      <c r="O108" s="108" t="str">
        <f>IF(INVOICE!$N$16="MANUAL",IF(B108&lt;&gt;"",C108,""),IF(INVOICE!$N$16="AUTOMATE",IF(A108&lt;&gt;"",C108,""),""))</f>
        <v/>
      </c>
      <c r="AM108" s="108">
        <v>5</v>
      </c>
      <c r="AN108" s="108" t="s">
        <v>2291</v>
      </c>
      <c r="AO108" s="108" t="str">
        <f>IF(INVOICE!$N$16="MANUAL",IFERROR(AM108*B108,""),IF(INVOICE!$N$16="AUTOMATE",IFERROR(AM108*A108,""),""))</f>
        <v/>
      </c>
      <c r="AP108" s="108">
        <v>1000</v>
      </c>
      <c r="AQ108" s="108" t="s">
        <v>2214</v>
      </c>
      <c r="AR108" s="108" t="s">
        <v>2223</v>
      </c>
      <c r="AS108" s="108">
        <v>3</v>
      </c>
      <c r="AT108" s="108" t="str">
        <f t="shared" si="19"/>
        <v/>
      </c>
      <c r="AV108" s="108" t="str">
        <f t="shared" si="20"/>
        <v/>
      </c>
    </row>
    <row r="109" spans="1:48">
      <c r="A109" s="108" t="str">
        <f>IF(AND('Customer Base'!D$9=3,'Customer Base'!D$13="Fronius",'Customer Base'!D$14&gt;5,'Customer Base'!D$14&lt;=6),'Customer Base'!D$15,IF(AND('Customer Base'!D$7="Mini-Grid",'Customer Base'!D$9=3,'Customer Base'!F$13="Fronius",'Customer Base'!F$14&gt;5,'Customer Base'!F$14&lt;=6),'Customer Base'!F$15,""))</f>
        <v/>
      </c>
      <c r="C109" s="253" t="s">
        <v>1124</v>
      </c>
      <c r="D109" s="326">
        <v>1938.42</v>
      </c>
      <c r="E109" s="326">
        <v>1825.7239999999999</v>
      </c>
      <c r="F109" s="254">
        <f t="shared" si="10"/>
        <v>1590.1722723543887</v>
      </c>
      <c r="G109" s="254">
        <f>IFERROR(ROUNDUP(F109*INVOICE!$O$6,2),0)</f>
        <v>26555.879999999997</v>
      </c>
      <c r="H109" s="254">
        <f t="shared" si="11"/>
        <v>1497.7227235438884</v>
      </c>
      <c r="I109" s="254">
        <f>IFERROR(ROUNDUP(H109*INVOICE!$O$6,2),0)</f>
        <v>25011.969999999998</v>
      </c>
      <c r="J109" s="108" t="str">
        <f t="shared" si="18"/>
        <v/>
      </c>
      <c r="L109" s="108" t="str">
        <f t="shared" si="21"/>
        <v/>
      </c>
      <c r="N109" s="108">
        <v>106</v>
      </c>
      <c r="O109" s="108" t="str">
        <f>IF(INVOICE!$N$16="MANUAL",IF(B109&lt;&gt;"",C109,""),IF(INVOICE!$N$16="AUTOMATE",IF(A109&lt;&gt;"",C109,""),""))</f>
        <v/>
      </c>
      <c r="AM109" s="108">
        <v>6</v>
      </c>
      <c r="AN109" s="108" t="s">
        <v>2293</v>
      </c>
      <c r="AO109" s="108" t="str">
        <f>IF(INVOICE!$N$16="MANUAL",IFERROR(AM109*B109,""),IF(INVOICE!$N$16="AUTOMATE",IFERROR(AM109*A109,""),""))</f>
        <v/>
      </c>
      <c r="AP109" s="108">
        <v>1000</v>
      </c>
      <c r="AQ109" s="108" t="s">
        <v>2214</v>
      </c>
      <c r="AR109" s="108" t="s">
        <v>2223</v>
      </c>
      <c r="AS109" s="108">
        <v>3</v>
      </c>
      <c r="AT109" s="108" t="str">
        <f t="shared" si="19"/>
        <v/>
      </c>
      <c r="AV109" s="108" t="str">
        <f t="shared" si="20"/>
        <v/>
      </c>
    </row>
    <row r="110" spans="1:48">
      <c r="A110" s="108" t="str">
        <f>IF(AND('Customer Base'!D$9=3,'Customer Base'!D$13="Fronius",'Customer Base'!D$14&gt;6,'Customer Base'!D$14&lt;=10),'Customer Base'!D$15,IF(AND('Customer Base'!D$7="Mini-Grid",'Customer Base'!D$9=3,'Customer Base'!F$13="Fronius",'Customer Base'!F$14&gt;6,'Customer Base'!F$14&lt;=10),'Customer Base'!F$15,""))</f>
        <v/>
      </c>
      <c r="C110" s="253" t="s">
        <v>2778</v>
      </c>
      <c r="D110" s="326">
        <v>2600.6055999999999</v>
      </c>
      <c r="E110" s="326">
        <v>2449.4079999999999</v>
      </c>
      <c r="F110" s="254">
        <f t="shared" si="10"/>
        <v>2133.3926168990974</v>
      </c>
      <c r="G110" s="254">
        <f>IFERROR(ROUNDUP(F110*INVOICE!$O$6,2),0)</f>
        <v>35627.660000000003</v>
      </c>
      <c r="H110" s="254">
        <f t="shared" si="11"/>
        <v>2009.3584905660375</v>
      </c>
      <c r="I110" s="254">
        <f>IFERROR(ROUNDUP(H110*INVOICE!$O$6,2),0)</f>
        <v>33556.29</v>
      </c>
      <c r="J110" s="108" t="str">
        <f t="shared" si="18"/>
        <v/>
      </c>
      <c r="L110" s="108" t="str">
        <f t="shared" si="21"/>
        <v/>
      </c>
      <c r="N110" s="108">
        <v>107</v>
      </c>
      <c r="O110" s="108" t="str">
        <f>IF(INVOICE!$N$16="MANUAL",IF(B110&lt;&gt;"",C110,""),IF(INVOICE!$N$16="AUTOMATE",IF(A110&lt;&gt;"",C110,""),""))</f>
        <v/>
      </c>
      <c r="AM110" s="108">
        <v>10</v>
      </c>
      <c r="AN110" s="108" t="s">
        <v>2294</v>
      </c>
      <c r="AO110" s="108" t="str">
        <f>IF(INVOICE!$N$16="MANUAL",IFERROR(AM110*B110,""),IF(INVOICE!$N$16="AUTOMATE",IFERROR(AM110*A110,""),""))</f>
        <v/>
      </c>
      <c r="AP110" s="108">
        <v>1000</v>
      </c>
      <c r="AQ110" s="108" t="s">
        <v>2214</v>
      </c>
      <c r="AR110" s="108" t="s">
        <v>2223</v>
      </c>
      <c r="AS110" s="108">
        <v>3</v>
      </c>
      <c r="AT110" s="108" t="str">
        <f t="shared" si="19"/>
        <v/>
      </c>
      <c r="AV110" s="108" t="str">
        <f t="shared" si="20"/>
        <v/>
      </c>
    </row>
    <row r="111" spans="1:48">
      <c r="A111" s="108" t="str">
        <f>IF(AND('Customer Base'!D$9=3,'Customer Base'!D$13="Fronius",'Customer Base'!D$14&gt;10,'Customer Base'!D$14&lt;=15),'Customer Base'!D$15,IF(AND('Customer Base'!D$7="Mini-Grid",'Customer Base'!D$9=3,'Customer Base'!F$13="Fronius",'Customer Base'!F$14&gt;10,'Customer Base'!F$14&lt;=15),'Customer Base'!F$15,""))</f>
        <v/>
      </c>
      <c r="C111" s="253" t="s">
        <v>2779</v>
      </c>
      <c r="D111" s="326">
        <v>3004.7195999999999</v>
      </c>
      <c r="E111" s="326">
        <v>2830.027</v>
      </c>
      <c r="F111" s="254">
        <f t="shared" si="10"/>
        <v>2464.9053322395403</v>
      </c>
      <c r="G111" s="254">
        <f>IFERROR(ROUNDUP(F111*INVOICE!$O$6,2),0)</f>
        <v>41163.920000000006</v>
      </c>
      <c r="H111" s="254">
        <f t="shared" si="11"/>
        <v>2321.5972108285478</v>
      </c>
      <c r="I111" s="254">
        <f>IFERROR(ROUNDUP(H111*INVOICE!$O$6,2),0)</f>
        <v>38770.68</v>
      </c>
      <c r="J111" s="108" t="str">
        <f t="shared" si="18"/>
        <v/>
      </c>
      <c r="L111" s="108" t="str">
        <f t="shared" si="21"/>
        <v/>
      </c>
      <c r="N111" s="108">
        <v>108</v>
      </c>
      <c r="O111" s="108" t="str">
        <f>IF(INVOICE!$N$16="MANUAL",IF(B111&lt;&gt;"",C111,""),IF(INVOICE!$N$16="AUTOMATE",IF(A111&lt;&gt;"",C111,""),""))</f>
        <v/>
      </c>
      <c r="AM111" s="108">
        <v>15</v>
      </c>
      <c r="AN111" s="108" t="s">
        <v>2295</v>
      </c>
      <c r="AO111" s="108" t="str">
        <f>IF(INVOICE!$N$16="MANUAL",IFERROR(AM111*B111,""),IF(INVOICE!$N$16="AUTOMATE",IFERROR(AM111*A111,""),""))</f>
        <v/>
      </c>
      <c r="AP111" s="108">
        <v>1000</v>
      </c>
      <c r="AQ111" s="108" t="s">
        <v>2214</v>
      </c>
      <c r="AR111" s="108" t="s">
        <v>2223</v>
      </c>
      <c r="AS111" s="108">
        <v>3</v>
      </c>
      <c r="AT111" s="108" t="str">
        <f t="shared" si="19"/>
        <v/>
      </c>
      <c r="AV111" s="108" t="str">
        <f t="shared" si="20"/>
        <v/>
      </c>
    </row>
    <row r="112" spans="1:48">
      <c r="A112" s="108" t="str">
        <f>IF(AND('Customer Base'!D$9=3,'Customer Base'!D$13="Fronius",'Customer Base'!D$14&gt;17.5,'Customer Base'!D$14&lt;=20),'Customer Base'!D$15,IF(AND('Customer Base'!D$7="Mini-Grid",'Customer Base'!D$9=3,'Customer Base'!F$13="Fronius",'Customer Base'!F$14&gt;17.5,'Customer Base'!F$14&lt;=20),'Customer Base'!F$15,""))</f>
        <v/>
      </c>
      <c r="C112" s="253" t="s">
        <v>2780</v>
      </c>
      <c r="D112" s="326">
        <v>3365.7647999999999</v>
      </c>
      <c r="E112" s="326">
        <v>3170.0810000000001</v>
      </c>
      <c r="F112" s="254">
        <f t="shared" si="10"/>
        <v>2761.0867924528297</v>
      </c>
      <c r="G112" s="254">
        <f>IFERROR(ROUNDUP(F112*INVOICE!$O$6,2),0)</f>
        <v>46110.15</v>
      </c>
      <c r="H112" s="254">
        <f t="shared" si="11"/>
        <v>2600.5586546349468</v>
      </c>
      <c r="I112" s="254">
        <f>IFERROR(ROUNDUP(H112*INVOICE!$O$6,2),0)</f>
        <v>43429.33</v>
      </c>
      <c r="J112" s="108" t="str">
        <f t="shared" si="18"/>
        <v/>
      </c>
      <c r="L112" s="108" t="str">
        <f t="shared" si="21"/>
        <v/>
      </c>
      <c r="N112" s="108">
        <v>109</v>
      </c>
      <c r="O112" s="108" t="str">
        <f>IF(INVOICE!$N$16="MANUAL",IF(B112&lt;&gt;"",C112,""),IF(INVOICE!$N$16="AUTOMATE",IF(A112&lt;&gt;"",C112,""),""))</f>
        <v/>
      </c>
      <c r="AM112" s="108">
        <v>20</v>
      </c>
      <c r="AN112" s="108" t="s">
        <v>2296</v>
      </c>
      <c r="AO112" s="108" t="str">
        <f>IF(INVOICE!$N$16="MANUAL",IFERROR(AM112*B112,""),IF(INVOICE!$N$16="AUTOMATE",IFERROR(AM112*A112,""),""))</f>
        <v/>
      </c>
      <c r="AP112" s="108">
        <v>1000</v>
      </c>
      <c r="AQ112" s="108" t="s">
        <v>2214</v>
      </c>
      <c r="AR112" s="108" t="s">
        <v>2223</v>
      </c>
      <c r="AS112" s="108">
        <v>3</v>
      </c>
      <c r="AT112" s="108" t="str">
        <f t="shared" si="19"/>
        <v/>
      </c>
      <c r="AV112" s="108" t="str">
        <f t="shared" si="20"/>
        <v/>
      </c>
    </row>
    <row r="113" spans="1:48">
      <c r="A113" s="108" t="str">
        <f>IF(AND('Customer Base'!D$9=3,'Customer Base'!D$13="Fronius",'Customer Base'!D$14&gt;20,'Customer Base'!D$14&lt;=25),'Customer Base'!D$15,IF(AND('Customer Base'!D$7="Mini-Grid",'Customer Base'!D$9=3,'Customer Base'!F$13="Fronius",'Customer Base'!F$14&gt;20,'Customer Base'!F$14&lt;=25),'Customer Base'!F$15,""))</f>
        <v/>
      </c>
      <c r="C113" s="253" t="s">
        <v>1126</v>
      </c>
      <c r="D113" s="326">
        <v>3204.36</v>
      </c>
      <c r="E113" s="326">
        <v>3018.06</v>
      </c>
      <c r="F113" s="254">
        <f t="shared" si="10"/>
        <v>2628.6792452830186</v>
      </c>
      <c r="G113" s="254">
        <f>IFERROR(ROUNDUP(F113*INVOICE!$O$6,2),0)</f>
        <v>43898.950000000004</v>
      </c>
      <c r="H113" s="254">
        <f t="shared" si="11"/>
        <v>2475.8490566037735</v>
      </c>
      <c r="I113" s="254">
        <f>IFERROR(ROUNDUP(H113*INVOICE!$O$6,2),0)</f>
        <v>41346.68</v>
      </c>
      <c r="J113" s="108" t="str">
        <f t="shared" si="18"/>
        <v/>
      </c>
      <c r="L113" s="108" t="str">
        <f t="shared" si="21"/>
        <v/>
      </c>
      <c r="N113" s="108">
        <v>110</v>
      </c>
      <c r="O113" s="108" t="str">
        <f>IF(INVOICE!$N$16="MANUAL",IF(B113&lt;&gt;"",C113,""),IF(INVOICE!$N$16="AUTOMATE",IF(A113&lt;&gt;"",C113,""),""))</f>
        <v/>
      </c>
      <c r="AM113" s="108">
        <v>25</v>
      </c>
      <c r="AN113" s="108" t="s">
        <v>2297</v>
      </c>
      <c r="AO113" s="108" t="str">
        <f>IF(INVOICE!$N$16="MANUAL",IFERROR(AM113*B113,""),IF(INVOICE!$N$16="AUTOMATE",IFERROR(AM113*A113,""),""))</f>
        <v/>
      </c>
      <c r="AP113" s="108">
        <v>1000</v>
      </c>
      <c r="AQ113" s="108" t="s">
        <v>2214</v>
      </c>
      <c r="AR113" s="108" t="s">
        <v>2224</v>
      </c>
      <c r="AS113" s="108">
        <v>3</v>
      </c>
      <c r="AT113" s="108" t="str">
        <f t="shared" si="19"/>
        <v/>
      </c>
      <c r="AV113" s="108" t="str">
        <f t="shared" si="20"/>
        <v/>
      </c>
    </row>
    <row r="114" spans="1:48">
      <c r="A114" s="108" t="str">
        <f>IF(AND('Customer Base'!D$9=3,'Customer Base'!D$13="Fronius",'Customer Base'!D$14&gt;25,'Customer Base'!D$14&lt;=27),'Customer Base'!D$15,IF(AND('Customer Base'!D$7="Mini-Grid",'Customer Base'!D$9=3,'Customer Base'!F$13="Fronius",'Customer Base'!F$14&gt;25,'Customer Base'!F$14&lt;=27),'Customer Base'!F$15,""))</f>
        <v/>
      </c>
      <c r="C114" s="253" t="s">
        <v>1127</v>
      </c>
      <c r="D114" s="326">
        <v>3297.24</v>
      </c>
      <c r="E114" s="326">
        <v>3105.54</v>
      </c>
      <c r="F114" s="254">
        <f t="shared" si="10"/>
        <v>2704.8728465955696</v>
      </c>
      <c r="G114" s="254">
        <f>IFERROR(ROUNDUP(F114*INVOICE!$O$6,2),0)</f>
        <v>45171.380000000005</v>
      </c>
      <c r="H114" s="254">
        <f t="shared" si="11"/>
        <v>2547.6127973748971</v>
      </c>
      <c r="I114" s="254">
        <f>IFERROR(ROUNDUP(H114*INVOICE!$O$6,2),0)</f>
        <v>42545.14</v>
      </c>
      <c r="J114" s="108" t="str">
        <f t="shared" si="18"/>
        <v/>
      </c>
      <c r="L114" s="108" t="str">
        <f t="shared" si="21"/>
        <v/>
      </c>
      <c r="N114" s="108">
        <v>111</v>
      </c>
      <c r="O114" s="108" t="str">
        <f>IF(INVOICE!$N$16="MANUAL",IF(B114&lt;&gt;"",C114,""),IF(INVOICE!$N$16="AUTOMATE",IF(A114&lt;&gt;"",C114,""),""))</f>
        <v/>
      </c>
      <c r="AM114" s="108">
        <v>27</v>
      </c>
      <c r="AN114" s="108" t="s">
        <v>2298</v>
      </c>
      <c r="AO114" s="108" t="str">
        <f>IF(INVOICE!$N$16="MANUAL",IFERROR(AM114*B114,""),IF(INVOICE!$N$16="AUTOMATE",IFERROR(AM114*A114,""),""))</f>
        <v/>
      </c>
      <c r="AP114" s="108">
        <v>1000</v>
      </c>
      <c r="AQ114" s="108" t="s">
        <v>2214</v>
      </c>
      <c r="AR114" s="108" t="s">
        <v>2224</v>
      </c>
      <c r="AS114" s="108">
        <v>3</v>
      </c>
      <c r="AT114" s="108" t="str">
        <f t="shared" si="19"/>
        <v/>
      </c>
      <c r="AV114" s="108" t="str">
        <f t="shared" si="20"/>
        <v/>
      </c>
    </row>
    <row r="115" spans="1:48">
      <c r="A115" s="108" t="str">
        <f>IF(AND('Customer Base'!D$9=3,'Customer Base'!D$13="Fronius",'Customer Base'!D$14&gt;27,'Customer Base'!D$14&lt;=30),'Customer Base'!D$15,IF(AND('Customer Base'!D$7="Mini-Grid",'Customer Base'!D$9=3,'Customer Base'!F$13="Fronius",'Customer Base'!F$14&gt;27,'Customer Base'!F$14&lt;=30),'Customer Base'!F$15,""))</f>
        <v/>
      </c>
      <c r="C115" s="253" t="s">
        <v>2732</v>
      </c>
      <c r="D115" s="326">
        <v>4183.04</v>
      </c>
      <c r="E115" s="326">
        <v>3939.84</v>
      </c>
      <c r="F115" s="254">
        <f t="shared" si="10"/>
        <v>3431.5340442986053</v>
      </c>
      <c r="G115" s="254">
        <f>IFERROR(ROUNDUP(F115*INVOICE!$O$6,2),0)</f>
        <v>57306.62</v>
      </c>
      <c r="H115" s="254">
        <f t="shared" si="11"/>
        <v>3232.0262510254306</v>
      </c>
      <c r="I115" s="254">
        <f>IFERROR(ROUNDUP(H115*INVOICE!$O$6,2),0)</f>
        <v>53974.840000000004</v>
      </c>
      <c r="L115" s="108" t="str">
        <f t="shared" si="21"/>
        <v/>
      </c>
      <c r="N115" s="108">
        <v>112</v>
      </c>
      <c r="O115" s="108" t="str">
        <f>IF(INVOICE!$N$16="MANUAL",IF(B115&lt;&gt;"",C115,""),IF(INVOICE!$N$16="AUTOMATE",IF(A115&lt;&gt;"",C115,""),""))</f>
        <v/>
      </c>
      <c r="AM115" s="108">
        <v>30</v>
      </c>
      <c r="AN115" s="108" t="s">
        <v>2785</v>
      </c>
      <c r="AO115" s="108" t="str">
        <f>IF(INVOICE!$N$16="MANUAL",IFERROR(AM115*B115,""),IF(INVOICE!$N$16="AUTOMATE",IFERROR(AM115*A115,""),""))</f>
        <v/>
      </c>
      <c r="AP115" s="108">
        <v>1000</v>
      </c>
      <c r="AQ115" s="108" t="s">
        <v>2214</v>
      </c>
      <c r="AR115" s="108" t="s">
        <v>2787</v>
      </c>
      <c r="AS115" s="108">
        <v>3</v>
      </c>
      <c r="AT115" s="108" t="str">
        <f t="shared" si="19"/>
        <v/>
      </c>
      <c r="AV115" s="108" t="str">
        <f t="shared" si="20"/>
        <v/>
      </c>
    </row>
    <row r="116" spans="1:48">
      <c r="C116" s="253" t="s">
        <v>2733</v>
      </c>
      <c r="D116" s="326">
        <v>4148.04</v>
      </c>
      <c r="E116" s="326">
        <v>3907.44</v>
      </c>
      <c r="F116" s="254">
        <f t="shared" si="10"/>
        <v>3402.8219852337979</v>
      </c>
      <c r="G116" s="254">
        <f>IFERROR(ROUNDUP(F116*INVOICE!$O$6,2),0)</f>
        <v>56827.130000000005</v>
      </c>
      <c r="H116" s="254">
        <f t="shared" si="11"/>
        <v>3205.4470877768663</v>
      </c>
      <c r="I116" s="254">
        <f>IFERROR(ROUNDUP(H116*INVOICE!$O$6,2),0)</f>
        <v>53530.97</v>
      </c>
      <c r="J116" s="108" t="str">
        <f t="shared" ref="J116:J129" si="22">IF(D116&lt;&gt;"",IF(D116&lt;E116,"lkdfjk",""),"")</f>
        <v/>
      </c>
      <c r="L116" s="108" t="str">
        <f t="shared" si="21"/>
        <v/>
      </c>
      <c r="N116" s="108">
        <v>113</v>
      </c>
      <c r="O116" s="108" t="str">
        <f>IF(INVOICE!$N$16="MANUAL",IF(B116&lt;&gt;"",C116,""),IF(INVOICE!$N$16="AUTOMATE",IF(A116&lt;&gt;"",C116,""),""))</f>
        <v/>
      </c>
      <c r="AM116" s="108">
        <v>30</v>
      </c>
      <c r="AN116" s="108" t="s">
        <v>2785</v>
      </c>
      <c r="AO116" s="108">
        <f>IF(INVOICE!$N$16="MANUAL",IFERROR(AM116*B116,""),IF(INVOICE!$N$16="AUTOMATE",IFERROR(AM116*A116,""),""))</f>
        <v>0</v>
      </c>
      <c r="AP116" s="108">
        <v>1000</v>
      </c>
      <c r="AQ116" s="108" t="s">
        <v>2214</v>
      </c>
      <c r="AR116" s="108" t="s">
        <v>2787</v>
      </c>
      <c r="AS116" s="108">
        <v>3</v>
      </c>
      <c r="AT116" s="108" t="str">
        <f t="shared" si="19"/>
        <v/>
      </c>
      <c r="AV116" s="108" t="str">
        <f t="shared" si="20"/>
        <v/>
      </c>
    </row>
    <row r="117" spans="1:48">
      <c r="A117" s="108" t="str">
        <f>IF(AND('Customer Base'!D$9=3,'Customer Base'!D$13="Fronius",'Customer Base'!D$14&gt;30,'Customer Base'!D$14&lt;=33.3),'Customer Base'!D$15,IF(AND('Customer Base'!D$7="Mini-Grid",'Customer Base'!D$9=3,'Customer Base'!F$13="Fronius",'Customer Base'!F$14&gt;30,'Customer Base'!F$14&lt;=33.3),'Customer Base'!F$15,""))</f>
        <v/>
      </c>
      <c r="C117" s="253" t="s">
        <v>2734</v>
      </c>
      <c r="D117" s="326">
        <v>4490.92</v>
      </c>
      <c r="E117" s="326">
        <v>4229.82</v>
      </c>
      <c r="F117" s="254">
        <f t="shared" si="10"/>
        <v>3684.1017227235438</v>
      </c>
      <c r="G117" s="254">
        <f>IFERROR(ROUNDUP(F117*INVOICE!$O$6,2),0)</f>
        <v>61524.5</v>
      </c>
      <c r="H117" s="254">
        <f t="shared" si="11"/>
        <v>3469.9097621000815</v>
      </c>
      <c r="I117" s="254">
        <f>IFERROR(ROUNDUP(H117*INVOICE!$O$6,2),0)</f>
        <v>57947.5</v>
      </c>
      <c r="J117" s="108" t="str">
        <f t="shared" si="22"/>
        <v/>
      </c>
      <c r="L117" s="108" t="str">
        <f t="shared" si="21"/>
        <v/>
      </c>
      <c r="N117" s="108">
        <v>114</v>
      </c>
      <c r="O117" s="108" t="str">
        <f>IF(INVOICE!$N$16="MANUAL",IF(B117&lt;&gt;"",C117,""),IF(INVOICE!$N$16="AUTOMATE",IF(A117&lt;&gt;"",C117,""),""))</f>
        <v/>
      </c>
      <c r="AM117" s="108">
        <v>33.299999999999997</v>
      </c>
      <c r="AN117" s="108" t="s">
        <v>2786</v>
      </c>
      <c r="AO117" s="108" t="str">
        <f>IF(INVOICE!$N$16="MANUAL",IFERROR(AM117*B117,""),IF(INVOICE!$N$16="AUTOMATE",IFERROR(AM117*A117,""),""))</f>
        <v/>
      </c>
      <c r="AP117" s="108">
        <v>1000</v>
      </c>
      <c r="AQ117" s="108" t="s">
        <v>2214</v>
      </c>
      <c r="AR117" s="108" t="s">
        <v>2787</v>
      </c>
      <c r="AS117" s="108">
        <v>3</v>
      </c>
      <c r="AT117" s="108" t="str">
        <f t="shared" si="19"/>
        <v/>
      </c>
      <c r="AV117" s="108" t="str">
        <f t="shared" si="20"/>
        <v/>
      </c>
    </row>
    <row r="118" spans="1:48">
      <c r="C118" s="253" t="s">
        <v>2735</v>
      </c>
      <c r="D118" s="326">
        <v>4458.24</v>
      </c>
      <c r="E118" s="326">
        <v>4199.04</v>
      </c>
      <c r="F118" s="254">
        <f t="shared" si="10"/>
        <v>3657.2928630024608</v>
      </c>
      <c r="G118" s="254">
        <f>IFERROR(ROUNDUP(F118*INVOICE!$O$6,2),0)</f>
        <v>61076.800000000003</v>
      </c>
      <c r="H118" s="254">
        <f t="shared" si="11"/>
        <v>3444.6595570139457</v>
      </c>
      <c r="I118" s="254">
        <f>IFERROR(ROUNDUP(H118*INVOICE!$O$6,2),0)</f>
        <v>57525.82</v>
      </c>
      <c r="J118" s="108" t="str">
        <f t="shared" si="22"/>
        <v/>
      </c>
      <c r="L118" s="108" t="str">
        <f t="shared" si="21"/>
        <v/>
      </c>
      <c r="N118" s="108">
        <v>115</v>
      </c>
      <c r="O118" s="108" t="str">
        <f>IF(INVOICE!$N$16="MANUAL",IF(B118&lt;&gt;"",C118,""),IF(INVOICE!$N$16="AUTOMATE",IF(A118&lt;&gt;"",C118,""),""))</f>
        <v/>
      </c>
      <c r="AM118" s="108">
        <v>33.299999999999997</v>
      </c>
      <c r="AN118" s="108" t="s">
        <v>2786</v>
      </c>
      <c r="AO118" s="108">
        <f>IF(INVOICE!$N$16="MANUAL",IFERROR(AM118*B118,""),IF(INVOICE!$N$16="AUTOMATE",IFERROR(AM118*A118,""),""))</f>
        <v>0</v>
      </c>
      <c r="AP118" s="108">
        <v>1000</v>
      </c>
      <c r="AQ118" s="108" t="s">
        <v>2214</v>
      </c>
      <c r="AR118" s="108" t="s">
        <v>2787</v>
      </c>
      <c r="AS118" s="108">
        <v>3</v>
      </c>
      <c r="AT118" s="108" t="str">
        <f t="shared" si="19"/>
        <v/>
      </c>
      <c r="AV118" s="108" t="str">
        <f t="shared" si="20"/>
        <v/>
      </c>
    </row>
    <row r="119" spans="1:48">
      <c r="A119" s="108" t="str">
        <f>IF(AND('Customer Base'!D$9=3,'Customer Base'!D$13="Fronius",'Customer Base'!D$14&gt;33.3,'Customer Base'!D$14&lt;=50),'Customer Base'!D$15,IF(AND('Customer Base'!D$7="Mini-Grid",'Customer Base'!D$9=3,'Customer Base'!F$13="Fronius",'Customer Base'!F$14&gt;33.3,'Customer Base'!F$14&lt;=50),'Customer Base'!F$15,""))</f>
        <v/>
      </c>
      <c r="C119" s="253" t="s">
        <v>1016</v>
      </c>
      <c r="D119" s="326">
        <v>5951.2</v>
      </c>
      <c r="E119" s="326">
        <v>5605.2</v>
      </c>
      <c r="F119" s="254">
        <f t="shared" si="10"/>
        <v>4882.0344544708769</v>
      </c>
      <c r="G119" s="254">
        <f>IFERROR(ROUNDUP(F119*INVOICE!$O$6,2),0)</f>
        <v>81529.98</v>
      </c>
      <c r="H119" s="254">
        <f t="shared" si="11"/>
        <v>4598.1952420016405</v>
      </c>
      <c r="I119" s="254">
        <f>IFERROR(ROUNDUP(H119*INVOICE!$O$6,2),0)</f>
        <v>76789.87</v>
      </c>
      <c r="J119" s="108" t="str">
        <f t="shared" si="22"/>
        <v/>
      </c>
      <c r="L119" s="108" t="str">
        <f t="shared" si="21"/>
        <v/>
      </c>
      <c r="N119" s="108">
        <v>116</v>
      </c>
      <c r="O119" s="108" t="str">
        <f>IF(INVOICE!$N$16="MANUAL",IF(B119&lt;&gt;"",C119,""),IF(INVOICE!$N$16="AUTOMATE",IF(A119&lt;&gt;"",C119,""),""))</f>
        <v/>
      </c>
      <c r="AM119" s="108">
        <v>50</v>
      </c>
      <c r="AN119" s="108" t="s">
        <v>2299</v>
      </c>
      <c r="AO119" s="108" t="str">
        <f>IF(INVOICE!$N$16="MANUAL",IFERROR(AM119*B119,""),IF(INVOICE!$N$16="AUTOMATE",IFERROR(AM119*A119,""),""))</f>
        <v/>
      </c>
      <c r="AP119" s="108">
        <v>1000</v>
      </c>
      <c r="AQ119" s="108" t="s">
        <v>2214</v>
      </c>
      <c r="AR119" s="108" t="s">
        <v>2225</v>
      </c>
      <c r="AS119" s="108">
        <v>3</v>
      </c>
      <c r="AT119" s="108" t="str">
        <f t="shared" si="19"/>
        <v/>
      </c>
      <c r="AV119" s="108" t="str">
        <f t="shared" si="20"/>
        <v/>
      </c>
    </row>
    <row r="120" spans="1:48">
      <c r="A120" s="108" t="str">
        <f>IF(AND('Customer Base'!D$9=3,'Customer Base'!D$13="Fronius",'Customer Base'!D$14&gt;50,'Customer Base'!D$14&lt;=100),'Customer Base'!D$15,IF(AND('Customer Base'!D$7="Mini-Grid",'Customer Base'!D$9=3,'Customer Base'!F$13="Fronius",'Customer Base'!F$14&gt;50,'Customer Base'!F$14&lt;=100),'Customer Base'!F$15,""))</f>
        <v/>
      </c>
      <c r="C120" s="253" t="s">
        <v>1017</v>
      </c>
      <c r="D120" s="326">
        <v>8345.44</v>
      </c>
      <c r="E120" s="326">
        <v>7860.24</v>
      </c>
      <c r="F120" s="254">
        <f t="shared" si="10"/>
        <v>6846.1361771944212</v>
      </c>
      <c r="G120" s="254">
        <f>IFERROR(ROUNDUP(F120*INVOICE!$O$6,2),0)</f>
        <v>114330.48</v>
      </c>
      <c r="H120" s="254">
        <f t="shared" si="11"/>
        <v>6448.1050041017224</v>
      </c>
      <c r="I120" s="254">
        <f>IFERROR(ROUNDUP(H120*INVOICE!$O$6,2),0)</f>
        <v>107683.36</v>
      </c>
      <c r="J120" s="108" t="str">
        <f t="shared" si="22"/>
        <v/>
      </c>
      <c r="L120" s="108" t="str">
        <f t="shared" si="21"/>
        <v/>
      </c>
      <c r="N120" s="108">
        <v>117</v>
      </c>
      <c r="O120" s="108" t="str">
        <f>IF(INVOICE!$N$16="MANUAL",IF(B120&lt;&gt;"",C120,""),IF(INVOICE!$N$16="AUTOMATE",IF(A120&lt;&gt;"",C120,""),""))</f>
        <v/>
      </c>
      <c r="AM120" s="108">
        <v>100</v>
      </c>
      <c r="AN120" s="108" t="s">
        <v>2300</v>
      </c>
      <c r="AO120" s="108" t="str">
        <f>IF(INVOICE!$N$16="MANUAL",IFERROR(AM120*B120,""),IF(INVOICE!$N$16="AUTOMATE",IFERROR(AM120*A120,""),""))</f>
        <v/>
      </c>
      <c r="AP120" s="108">
        <v>1000</v>
      </c>
      <c r="AQ120" s="108" t="s">
        <v>2214</v>
      </c>
      <c r="AR120" s="108" t="s">
        <v>2225</v>
      </c>
      <c r="AS120" s="108">
        <v>3</v>
      </c>
      <c r="AT120" s="108" t="str">
        <f t="shared" si="19"/>
        <v/>
      </c>
      <c r="AV120" s="108" t="str">
        <f t="shared" si="20"/>
        <v/>
      </c>
    </row>
    <row r="121" spans="1:48">
      <c r="D121" s="324"/>
      <c r="E121" s="324"/>
      <c r="F121" s="229">
        <f t="shared" si="10"/>
        <v>0</v>
      </c>
      <c r="G121" s="229">
        <f>IFERROR(ROUNDUP(F121*INVOICE!$O$6,2),0)</f>
        <v>0</v>
      </c>
      <c r="H121" s="229">
        <f t="shared" si="11"/>
        <v>0</v>
      </c>
      <c r="I121" s="229">
        <f>IFERROR(ROUNDUP(H121*INVOICE!$O$6,2),0)</f>
        <v>0</v>
      </c>
      <c r="J121" s="108" t="str">
        <f t="shared" si="22"/>
        <v/>
      </c>
      <c r="L121" s="108" t="str">
        <f t="shared" si="21"/>
        <v/>
      </c>
      <c r="N121" s="108">
        <v>118</v>
      </c>
      <c r="O121" s="108" t="str">
        <f>IF(INVOICE!$N$16="MANUAL",IF(B121&lt;&gt;"",C121,""),IF(INVOICE!$N$16="AUTOMATE",IF(A121&lt;&gt;"",C121,""),""))</f>
        <v/>
      </c>
      <c r="AO121" s="108">
        <f>IF(INVOICE!$N$16="MANUAL",IFERROR(AM121*B121,""),IF(INVOICE!$N$16="AUTOMATE",IFERROR(AM121*A121,""),""))</f>
        <v>0</v>
      </c>
      <c r="AT121" s="108" t="str">
        <f t="shared" si="19"/>
        <v/>
      </c>
      <c r="AV121" s="108" t="str">
        <f t="shared" si="20"/>
        <v/>
      </c>
    </row>
    <row r="122" spans="1:48">
      <c r="C122" s="255" t="s">
        <v>1487</v>
      </c>
      <c r="D122" s="326">
        <v>2038.2</v>
      </c>
      <c r="E122" s="326">
        <v>1919.7</v>
      </c>
      <c r="F122" s="254">
        <f t="shared" ref="F122:F133" si="23">$D122/1.219</f>
        <v>1672.0262510254306</v>
      </c>
      <c r="G122" s="254">
        <f>IFERROR(ROUNDUP(F122*INVOICE!$O$6,2),0)</f>
        <v>27922.84</v>
      </c>
      <c r="H122" s="254">
        <f t="shared" ref="H122:H133" si="24">$E122/1.219</f>
        <v>1574.8154224774405</v>
      </c>
      <c r="I122" s="254">
        <f>IFERROR(ROUNDUP(H122*INVOICE!$O$6,2),0)</f>
        <v>26299.42</v>
      </c>
      <c r="J122" s="108" t="str">
        <f t="shared" si="22"/>
        <v/>
      </c>
      <c r="L122" s="108" t="str">
        <f t="shared" si="21"/>
        <v/>
      </c>
      <c r="N122" s="108">
        <v>119</v>
      </c>
      <c r="O122" s="108" t="str">
        <f>IF(INVOICE!$N$16="MANUAL",IF(B122&lt;&gt;"",C122,""),IF(INVOICE!$N$16="AUTOMATE",IF(A122&lt;&gt;"",C122,""),""))</f>
        <v/>
      </c>
      <c r="AM122" s="108">
        <v>3</v>
      </c>
      <c r="AN122" s="108" t="s">
        <v>2301</v>
      </c>
      <c r="AO122" s="108">
        <f>IF(INVOICE!$N$16="MANUAL",IFERROR(AM122*B122,""),IF(INVOICE!$N$16="AUTOMATE",IFERROR(AM122*A122,""),""))</f>
        <v>0</v>
      </c>
      <c r="AP122" s="108">
        <v>1000</v>
      </c>
      <c r="AQ122" s="108">
        <v>48</v>
      </c>
      <c r="AR122" s="108" t="s">
        <v>2288</v>
      </c>
      <c r="AS122" s="108">
        <v>3</v>
      </c>
      <c r="AT122" s="108" t="str">
        <f t="shared" ref="AT122:AT133" si="25">IF(AND(AR122=$AY$1,$AZ$1=AN122),BA$1,"")</f>
        <v/>
      </c>
      <c r="AV122" s="108" t="str">
        <f t="shared" ref="AV122:AV133" si="26">IF(AU122&lt;&gt;"",AU122,AT122)</f>
        <v/>
      </c>
    </row>
    <row r="123" spans="1:48">
      <c r="C123" s="255" t="s">
        <v>1488</v>
      </c>
      <c r="D123" s="326">
        <v>2476.27</v>
      </c>
      <c r="E123" s="326">
        <v>2332.2979999999998</v>
      </c>
      <c r="F123" s="254">
        <f t="shared" si="23"/>
        <v>2031.3945857260048</v>
      </c>
      <c r="G123" s="254">
        <f>IFERROR(ROUNDUP(F123*INVOICE!$O$6,2),0)</f>
        <v>33924.29</v>
      </c>
      <c r="H123" s="254">
        <f t="shared" si="24"/>
        <v>1913.2879409351924</v>
      </c>
      <c r="I123" s="254">
        <f>IFERROR(ROUNDUP(H123*INVOICE!$O$6,2),0)</f>
        <v>31951.91</v>
      </c>
      <c r="J123" s="108" t="str">
        <f t="shared" si="22"/>
        <v/>
      </c>
      <c r="L123" s="108" t="str">
        <f t="shared" si="21"/>
        <v/>
      </c>
      <c r="N123" s="108">
        <v>120</v>
      </c>
      <c r="O123" s="108" t="str">
        <f>IF(INVOICE!$N$16="MANUAL",IF(B123&lt;&gt;"",C123,""),IF(INVOICE!$N$16="AUTOMATE",IF(A123&lt;&gt;"",C123,""),""))</f>
        <v/>
      </c>
      <c r="AM123" s="108">
        <v>5</v>
      </c>
      <c r="AN123" s="108" t="s">
        <v>2302</v>
      </c>
      <c r="AO123" s="108">
        <f>IF(INVOICE!$N$16="MANUAL",IFERROR(AM123*B123,""),IF(INVOICE!$N$16="AUTOMATE",IFERROR(AM123*A123,""),""))</f>
        <v>0</v>
      </c>
      <c r="AP123" s="108">
        <v>1000</v>
      </c>
      <c r="AQ123" s="108">
        <v>48</v>
      </c>
      <c r="AR123" s="108" t="s">
        <v>2288</v>
      </c>
      <c r="AS123" s="108">
        <v>3</v>
      </c>
      <c r="AT123" s="108" t="str">
        <f t="shared" si="25"/>
        <v/>
      </c>
      <c r="AV123" s="108" t="str">
        <f t="shared" si="26"/>
        <v/>
      </c>
    </row>
    <row r="124" spans="1:48">
      <c r="C124" s="255" t="s">
        <v>1489</v>
      </c>
      <c r="D124" s="326">
        <v>2748.56</v>
      </c>
      <c r="E124" s="326">
        <v>2588.7600000000002</v>
      </c>
      <c r="F124" s="254">
        <f t="shared" si="23"/>
        <v>2254.7662018047577</v>
      </c>
      <c r="G124" s="254">
        <f>IFERROR(ROUNDUP(F124*INVOICE!$O$6,2),0)</f>
        <v>37654.6</v>
      </c>
      <c r="H124" s="254">
        <f t="shared" si="24"/>
        <v>2123.6751435602955</v>
      </c>
      <c r="I124" s="254">
        <f>IFERROR(ROUNDUP(H124*INVOICE!$O$6,2),0)</f>
        <v>35465.380000000005</v>
      </c>
      <c r="J124" s="108" t="str">
        <f t="shared" si="22"/>
        <v/>
      </c>
      <c r="L124" s="108" t="str">
        <f t="shared" si="21"/>
        <v/>
      </c>
      <c r="N124" s="108">
        <v>121</v>
      </c>
      <c r="O124" s="108" t="str">
        <f>IF(INVOICE!$N$16="MANUAL",IF(B124&lt;&gt;"",C124,""),IF(INVOICE!$N$16="AUTOMATE",IF(A124&lt;&gt;"",C124,""),""))</f>
        <v/>
      </c>
      <c r="AM124" s="108">
        <v>6</v>
      </c>
      <c r="AN124" s="108" t="s">
        <v>2303</v>
      </c>
      <c r="AO124" s="108">
        <f>IF(INVOICE!$N$16="MANUAL",IFERROR(AM124*B124,""),IF(INVOICE!$N$16="AUTOMATE",IFERROR(AM124*A124,""),""))</f>
        <v>0</v>
      </c>
      <c r="AP124" s="108">
        <v>1000</v>
      </c>
      <c r="AQ124" s="108">
        <v>48</v>
      </c>
      <c r="AR124" s="108" t="s">
        <v>2288</v>
      </c>
      <c r="AS124" s="108">
        <v>3</v>
      </c>
      <c r="AT124" s="108" t="str">
        <f t="shared" si="25"/>
        <v/>
      </c>
      <c r="AV124" s="108" t="str">
        <f t="shared" si="26"/>
        <v/>
      </c>
    </row>
    <row r="125" spans="1:48">
      <c r="C125" s="255" t="s">
        <v>1490</v>
      </c>
      <c r="D125" s="326">
        <v>2337.48</v>
      </c>
      <c r="E125" s="326">
        <v>2201.58</v>
      </c>
      <c r="F125" s="254">
        <f t="shared" si="23"/>
        <v>1917.5389663658736</v>
      </c>
      <c r="G125" s="254">
        <f>IFERROR(ROUNDUP(F125*INVOICE!$O$6,2),0)</f>
        <v>32022.91</v>
      </c>
      <c r="H125" s="254">
        <f t="shared" si="24"/>
        <v>1806.0541427399505</v>
      </c>
      <c r="I125" s="254">
        <f>IFERROR(ROUNDUP(H125*INVOICE!$O$6,2),0)</f>
        <v>30161.109999999997</v>
      </c>
      <c r="J125" s="108" t="str">
        <f t="shared" si="22"/>
        <v/>
      </c>
      <c r="L125" s="108" t="str">
        <f t="shared" si="21"/>
        <v/>
      </c>
      <c r="N125" s="108">
        <v>122</v>
      </c>
      <c r="O125" s="108" t="str">
        <f>IF(INVOICE!$N$16="MANUAL",IF(B125&lt;&gt;"",C125,""),IF(INVOICE!$N$16="AUTOMATE",IF(A125&lt;&gt;"",C125,""),""))</f>
        <v/>
      </c>
      <c r="AM125" s="108">
        <v>3</v>
      </c>
      <c r="AN125" s="108" t="s">
        <v>2301</v>
      </c>
      <c r="AO125" s="108">
        <f>IF(INVOICE!$N$16="MANUAL",IFERROR(AM125*B125,""),IF(INVOICE!$N$16="AUTOMATE",IFERROR(AM125*A125,""),""))</f>
        <v>0</v>
      </c>
      <c r="AP125" s="108">
        <v>1000</v>
      </c>
      <c r="AQ125" s="108">
        <v>48</v>
      </c>
      <c r="AR125" s="108" t="s">
        <v>2289</v>
      </c>
      <c r="AS125" s="108">
        <v>3</v>
      </c>
      <c r="AT125" s="108" t="str">
        <f t="shared" si="25"/>
        <v/>
      </c>
      <c r="AV125" s="108" t="str">
        <f t="shared" si="26"/>
        <v/>
      </c>
    </row>
    <row r="126" spans="1:48">
      <c r="C126" s="255" t="s">
        <v>1491</v>
      </c>
      <c r="D126" s="326">
        <v>2494</v>
      </c>
      <c r="E126" s="326">
        <v>2349</v>
      </c>
      <c r="F126" s="254">
        <f t="shared" si="23"/>
        <v>2045.9392945036914</v>
      </c>
      <c r="G126" s="254">
        <f>IFERROR(ROUNDUP(F126*INVOICE!$O$6,2),0)</f>
        <v>34167.19</v>
      </c>
      <c r="H126" s="254">
        <f t="shared" si="24"/>
        <v>1926.9893355209188</v>
      </c>
      <c r="I126" s="254">
        <f>IFERROR(ROUNDUP(H126*INVOICE!$O$6,2),0)</f>
        <v>32180.73</v>
      </c>
      <c r="J126" s="108" t="str">
        <f t="shared" si="22"/>
        <v/>
      </c>
      <c r="L126" s="108" t="str">
        <f t="shared" si="21"/>
        <v/>
      </c>
      <c r="N126" s="108">
        <v>123</v>
      </c>
      <c r="O126" s="108" t="str">
        <f>IF(INVOICE!$N$16="MANUAL",IF(B126&lt;&gt;"",C126,""),IF(INVOICE!$N$16="AUTOMATE",IF(A126&lt;&gt;"",C126,""),""))</f>
        <v/>
      </c>
      <c r="AM126" s="108">
        <v>4</v>
      </c>
      <c r="AN126" s="108" t="s">
        <v>2304</v>
      </c>
      <c r="AO126" s="108">
        <f>IF(INVOICE!$N$16="MANUAL",IFERROR(AM126*B126,""),IF(INVOICE!$N$16="AUTOMATE",IFERROR(AM126*A126,""),""))</f>
        <v>0</v>
      </c>
      <c r="AP126" s="108">
        <v>1000</v>
      </c>
      <c r="AQ126" s="108">
        <v>48</v>
      </c>
      <c r="AR126" s="108" t="s">
        <v>2289</v>
      </c>
      <c r="AS126" s="108">
        <v>3</v>
      </c>
      <c r="AT126" s="108" t="str">
        <f t="shared" si="25"/>
        <v/>
      </c>
      <c r="AV126" s="108" t="str">
        <f t="shared" si="26"/>
        <v/>
      </c>
    </row>
    <row r="127" spans="1:48">
      <c r="C127" s="255" t="s">
        <v>1492</v>
      </c>
      <c r="D127" s="326">
        <v>2624.72</v>
      </c>
      <c r="E127" s="326">
        <v>2472.12</v>
      </c>
      <c r="F127" s="254">
        <f t="shared" si="23"/>
        <v>2153.1747333880226</v>
      </c>
      <c r="G127" s="254">
        <f>IFERROR(ROUNDUP(F127*INVOICE!$O$6,2),0)</f>
        <v>35958.020000000004</v>
      </c>
      <c r="H127" s="254">
        <f t="shared" si="24"/>
        <v>2027.9901558654633</v>
      </c>
      <c r="I127" s="254">
        <f>IFERROR(ROUNDUP(H127*INVOICE!$O$6,2),0)</f>
        <v>33867.440000000002</v>
      </c>
      <c r="J127" s="108" t="str">
        <f t="shared" si="22"/>
        <v/>
      </c>
      <c r="L127" s="108" t="str">
        <f t="shared" si="21"/>
        <v/>
      </c>
      <c r="N127" s="108">
        <v>124</v>
      </c>
      <c r="O127" s="108" t="str">
        <f>IF(INVOICE!$N$16="MANUAL",IF(B127&lt;&gt;"",C127,""),IF(INVOICE!$N$16="AUTOMATE",IF(A127&lt;&gt;"",C127,""),""))</f>
        <v/>
      </c>
      <c r="AM127" s="108">
        <v>5</v>
      </c>
      <c r="AN127" s="108" t="s">
        <v>2302</v>
      </c>
      <c r="AO127" s="108">
        <f>IF(INVOICE!$N$16="MANUAL",IFERROR(AM127*B127,""),IF(INVOICE!$N$16="AUTOMATE",IFERROR(AM127*A127,""),""))</f>
        <v>0</v>
      </c>
      <c r="AP127" s="108">
        <v>1000</v>
      </c>
      <c r="AQ127" s="108">
        <v>48</v>
      </c>
      <c r="AR127" s="108" t="s">
        <v>2289</v>
      </c>
      <c r="AS127" s="108">
        <v>3</v>
      </c>
      <c r="AT127" s="108" t="str">
        <f t="shared" si="25"/>
        <v/>
      </c>
      <c r="AV127" s="108" t="str">
        <f t="shared" si="26"/>
        <v/>
      </c>
    </row>
    <row r="128" spans="1:48">
      <c r="C128" s="255" t="s">
        <v>1493</v>
      </c>
      <c r="D128" s="326">
        <v>3116.64</v>
      </c>
      <c r="E128" s="326">
        <v>2935.44</v>
      </c>
      <c r="F128" s="254">
        <f t="shared" si="23"/>
        <v>2556.7186218211646</v>
      </c>
      <c r="G128" s="254">
        <f>IFERROR(ROUNDUP(F128*INVOICE!$O$6,2),0)</f>
        <v>42697.21</v>
      </c>
      <c r="H128" s="254">
        <f t="shared" si="24"/>
        <v>2408.0721903199342</v>
      </c>
      <c r="I128" s="254">
        <f>IFERROR(ROUNDUP(H128*INVOICE!$O$6,2),0)</f>
        <v>40214.810000000005</v>
      </c>
      <c r="J128" s="108" t="str">
        <f t="shared" si="22"/>
        <v/>
      </c>
      <c r="L128" s="108" t="str">
        <f t="shared" si="21"/>
        <v/>
      </c>
      <c r="N128" s="108">
        <v>125</v>
      </c>
      <c r="O128" s="108" t="str">
        <f>IF(INVOICE!$N$16="MANUAL",IF(B128&lt;&gt;"",C128,""),IF(INVOICE!$N$16="AUTOMATE",IF(A128&lt;&gt;"",C128,""),""))</f>
        <v/>
      </c>
      <c r="AM128" s="108">
        <v>6</v>
      </c>
      <c r="AN128" s="108" t="s">
        <v>2303</v>
      </c>
      <c r="AO128" s="108">
        <f>IF(INVOICE!$N$16="MANUAL",IFERROR(AM128*B128,""),IF(INVOICE!$N$16="AUTOMATE",IFERROR(AM128*A128,""),""))</f>
        <v>0</v>
      </c>
      <c r="AP128" s="108">
        <v>1000</v>
      </c>
      <c r="AQ128" s="108">
        <v>48</v>
      </c>
      <c r="AR128" s="108" t="s">
        <v>2289</v>
      </c>
      <c r="AS128" s="108">
        <v>3</v>
      </c>
      <c r="AT128" s="108" t="str">
        <f t="shared" si="25"/>
        <v/>
      </c>
      <c r="AV128" s="108" t="str">
        <f t="shared" si="26"/>
        <v/>
      </c>
    </row>
    <row r="129" spans="1:48">
      <c r="C129" s="255" t="s">
        <v>1494</v>
      </c>
      <c r="D129" s="326">
        <v>3598.24</v>
      </c>
      <c r="E129" s="326">
        <v>3389.04</v>
      </c>
      <c r="F129" s="254">
        <f t="shared" si="23"/>
        <v>2951.7965545529119</v>
      </c>
      <c r="G129" s="254">
        <f>IFERROR(ROUNDUP(F129*INVOICE!$O$6,2),0)</f>
        <v>49295.01</v>
      </c>
      <c r="H129" s="254">
        <f t="shared" si="24"/>
        <v>2780.1804757998357</v>
      </c>
      <c r="I129" s="254">
        <f>IFERROR(ROUNDUP(H129*INVOICE!$O$6,2),0)</f>
        <v>46429.020000000004</v>
      </c>
      <c r="J129" s="108" t="str">
        <f t="shared" si="22"/>
        <v/>
      </c>
      <c r="L129" s="108" t="str">
        <f t="shared" si="21"/>
        <v/>
      </c>
      <c r="N129" s="108">
        <v>126</v>
      </c>
      <c r="O129" s="108" t="str">
        <f>IF(INVOICE!$N$16="MANUAL",IF(B129&lt;&gt;"",C129,""),IF(INVOICE!$N$16="AUTOMATE",IF(A129&lt;&gt;"",C129,""),""))</f>
        <v/>
      </c>
      <c r="AM129" s="108">
        <v>8</v>
      </c>
      <c r="AN129" s="108" t="s">
        <v>2305</v>
      </c>
      <c r="AO129" s="108">
        <f>IF(INVOICE!$N$16="MANUAL",IFERROR(AM129*B129,""),IF(INVOICE!$N$16="AUTOMATE",IFERROR(AM129*A129,""),""))</f>
        <v>0</v>
      </c>
      <c r="AP129" s="108">
        <v>1000</v>
      </c>
      <c r="AQ129" s="108">
        <v>48</v>
      </c>
      <c r="AR129" s="108" t="s">
        <v>2289</v>
      </c>
      <c r="AS129" s="108">
        <v>3</v>
      </c>
      <c r="AT129" s="108" t="str">
        <f t="shared" si="25"/>
        <v/>
      </c>
      <c r="AV129" s="108" t="str">
        <f t="shared" si="26"/>
        <v/>
      </c>
    </row>
    <row r="130" spans="1:48">
      <c r="C130" s="255" t="s">
        <v>1495</v>
      </c>
      <c r="D130" s="326">
        <v>3758.2</v>
      </c>
      <c r="E130" s="326">
        <v>3539.38</v>
      </c>
      <c r="F130" s="254">
        <f t="shared" si="23"/>
        <v>3083.018867924528</v>
      </c>
      <c r="G130" s="254">
        <f>IFERROR(ROUNDUP(F130*INVOICE!$O$6,2),0)</f>
        <v>51486.420000000006</v>
      </c>
      <c r="H130" s="254">
        <f t="shared" si="24"/>
        <v>2903.5110746513533</v>
      </c>
      <c r="I130" s="254">
        <f>IFERROR(ROUNDUP(H130*INVOICE!$O$6,2),0)</f>
        <v>48488.639999999999</v>
      </c>
      <c r="L130" s="108" t="str">
        <f t="shared" si="21"/>
        <v/>
      </c>
      <c r="N130" s="108">
        <v>127</v>
      </c>
      <c r="O130" s="108" t="str">
        <f>IF(INVOICE!$N$16="MANUAL",IF(B130&lt;&gt;"",C130,""),IF(INVOICE!$N$16="AUTOMATE",IF(A130&lt;&gt;"",C130,""),""))</f>
        <v/>
      </c>
      <c r="AM130" s="108">
        <v>10</v>
      </c>
      <c r="AN130" s="108" t="s">
        <v>2306</v>
      </c>
      <c r="AO130" s="108">
        <f>IF(INVOICE!$N$16="MANUAL",IFERROR(AM130*B130,""),IF(INVOICE!$N$16="AUTOMATE",IFERROR(AM130*A130,""),""))</f>
        <v>0</v>
      </c>
      <c r="AP130" s="108">
        <v>1000</v>
      </c>
      <c r="AQ130" s="108">
        <v>48</v>
      </c>
      <c r="AR130" s="108" t="s">
        <v>2289</v>
      </c>
      <c r="AS130" s="108">
        <v>3</v>
      </c>
    </row>
    <row r="131" spans="1:48">
      <c r="C131" s="255"/>
      <c r="D131" s="326"/>
      <c r="E131" s="326"/>
      <c r="F131" s="254"/>
      <c r="G131" s="254"/>
      <c r="H131" s="254"/>
      <c r="I131" s="254"/>
      <c r="L131" s="108" t="str">
        <f t="shared" si="21"/>
        <v/>
      </c>
      <c r="N131" s="108">
        <v>128</v>
      </c>
      <c r="O131" s="108" t="str">
        <f>IF(INVOICE!$N$16="MANUAL",IF(B131&lt;&gt;"",C131,""),IF(INVOICE!$N$16="AUTOMATE",IF(A131&lt;&gt;"",C131,""),""))</f>
        <v/>
      </c>
      <c r="AO131" s="108">
        <f>IF(INVOICE!$N$16="MANUAL",IFERROR(AM131*B131,""),IF(INVOICE!$N$16="AUTOMATE",IFERROR(AM131*A131,""),""))</f>
        <v>0</v>
      </c>
    </row>
    <row r="132" spans="1:48">
      <c r="C132" s="255" t="s">
        <v>1474</v>
      </c>
      <c r="D132" s="326">
        <v>350</v>
      </c>
      <c r="E132" s="326">
        <v>350</v>
      </c>
      <c r="F132" s="254">
        <f t="shared" si="23"/>
        <v>287.12059064807215</v>
      </c>
      <c r="G132" s="254">
        <f>IFERROR(ROUNDUP(F132*INVOICE!$O$6,2),0)</f>
        <v>4794.92</v>
      </c>
      <c r="H132" s="254">
        <f t="shared" si="24"/>
        <v>287.12059064807215</v>
      </c>
      <c r="I132" s="254">
        <f>IFERROR(ROUNDUP(H132*INVOICE!$O$6,2),0)</f>
        <v>4794.92</v>
      </c>
      <c r="J132" s="108" t="str">
        <f>IF(D132&lt;&gt;"",IF(D132&lt;E132,"lkdfjk",""),"")</f>
        <v/>
      </c>
      <c r="L132" s="108" t="str">
        <f t="shared" si="21"/>
        <v/>
      </c>
      <c r="N132" s="108">
        <v>129</v>
      </c>
      <c r="O132" s="108" t="str">
        <f>IF(INVOICE!$N$16="MANUAL",IF(B132&lt;&gt;"",C132,""),IF(INVOICE!$N$16="AUTOMATE",IF(A132&lt;&gt;"",C132,""),""))</f>
        <v/>
      </c>
      <c r="AO132" s="108">
        <f>IF(INVOICE!$N$16="MANUAL",IFERROR(AM132*B132,""),IF(INVOICE!$N$16="AUTOMATE",IFERROR(AM132*A132,""),""))</f>
        <v>0</v>
      </c>
      <c r="AT132" s="108" t="str">
        <f t="shared" si="25"/>
        <v/>
      </c>
      <c r="AV132" s="108" t="str">
        <f t="shared" si="26"/>
        <v/>
      </c>
    </row>
    <row r="133" spans="1:48">
      <c r="D133" s="324"/>
      <c r="E133" s="324"/>
      <c r="F133" s="229">
        <f t="shared" si="23"/>
        <v>0</v>
      </c>
      <c r="G133" s="229">
        <f>IFERROR(ROUNDUP(F133*INVOICE!$O$6,2),0)</f>
        <v>0</v>
      </c>
      <c r="H133" s="229">
        <f t="shared" si="24"/>
        <v>0</v>
      </c>
      <c r="I133" s="229">
        <f>IFERROR(ROUNDUP(H133*INVOICE!$O$6,2),0)</f>
        <v>0</v>
      </c>
      <c r="J133" s="108" t="str">
        <f>IF(D133&lt;&gt;"",IF(D133&lt;E133,"lkdfjk",""),"")</f>
        <v/>
      </c>
      <c r="L133" s="108" t="str">
        <f t="shared" si="21"/>
        <v/>
      </c>
      <c r="N133" s="108">
        <v>130</v>
      </c>
      <c r="O133" s="108" t="str">
        <f>IF(INVOICE!$N$16="MANUAL",IF(B133&lt;&gt;"",C133,""),IF(INVOICE!$N$16="AUTOMATE",IF(A133&lt;&gt;"",C133,""),""))</f>
        <v/>
      </c>
      <c r="AO133" s="108">
        <f>IF(INVOICE!$N$16="MANUAL",IFERROR(AM133*B133,""),IF(INVOICE!$N$16="AUTOMATE",IFERROR(AM133*A133,""),""))</f>
        <v>0</v>
      </c>
      <c r="AT133" s="108" t="str">
        <f t="shared" si="25"/>
        <v/>
      </c>
      <c r="AV133" s="108" t="str">
        <f t="shared" si="26"/>
        <v/>
      </c>
    </row>
    <row r="134" spans="1:48">
      <c r="A134" s="108" t="str">
        <f>IFERROR(IF(OR(ROUNDUP(SUM(A103:A118)/6,0)=0,'Customer Base'!D7="Mini-Grid"),"",ROUNDUP(SUM(A103:A118)/6,0)),"")</f>
        <v/>
      </c>
      <c r="C134" s="253" t="s">
        <v>984</v>
      </c>
      <c r="D134" s="326">
        <v>329.1</v>
      </c>
      <c r="E134" s="326">
        <v>309.971</v>
      </c>
      <c r="F134" s="254">
        <f t="shared" si="10"/>
        <v>269.97538966365875</v>
      </c>
      <c r="G134" s="254">
        <f>IFERROR(ROUNDUP(F134*INVOICE!$O$6,2),0)</f>
        <v>4508.59</v>
      </c>
      <c r="H134" s="254">
        <f t="shared" si="11"/>
        <v>254.28301886792451</v>
      </c>
      <c r="I134" s="254">
        <f>IFERROR(ROUNDUP(H134*INVOICE!$O$6,2),0)</f>
        <v>4246.5300000000007</v>
      </c>
      <c r="J134" s="108" t="str">
        <f>IF(D134&lt;&gt;"",IF(D134&lt;E134,"lkdfjk",""),"")</f>
        <v/>
      </c>
      <c r="L134" s="108" t="str">
        <f t="shared" ref="L134:L165" si="27">IF(H134&gt;F134,"lkkajdfkj","")</f>
        <v/>
      </c>
      <c r="N134" s="108">
        <v>131</v>
      </c>
      <c r="O134" s="108" t="str">
        <f>IF(INVOICE!$N$16="MANUAL",IF(B134&lt;&gt;"",C134,""),IF(INVOICE!$N$16="AUTOMATE",IF(A134&lt;&gt;"",C134,""),""))</f>
        <v/>
      </c>
      <c r="AO134" s="108" t="str">
        <f>IF(INVOICE!$N$16="MANUAL",IFERROR(AM134*B134,""),IF(INVOICE!$N$16="AUTOMATE",IFERROR(AM134*A134,""),""))</f>
        <v/>
      </c>
      <c r="AT134" s="108" t="str">
        <f t="shared" si="19"/>
        <v/>
      </c>
      <c r="AV134" s="108" t="str">
        <f t="shared" si="20"/>
        <v/>
      </c>
    </row>
    <row r="135" spans="1:48">
      <c r="C135" s="253"/>
      <c r="D135" s="326"/>
      <c r="E135" s="326"/>
      <c r="F135" s="254"/>
      <c r="G135" s="254"/>
      <c r="H135" s="254"/>
      <c r="I135" s="254"/>
      <c r="J135" s="108" t="str">
        <f>IF(D135&lt;&gt;"",IF(D135&lt;E135,"lkdfjk",""),"")</f>
        <v/>
      </c>
      <c r="L135" s="108" t="str">
        <f t="shared" si="27"/>
        <v/>
      </c>
      <c r="N135" s="108">
        <v>132</v>
      </c>
      <c r="O135" s="108" t="str">
        <f>IF(INVOICE!$N$16="MANUAL",IF(B135&lt;&gt;"",C135,""),IF(INVOICE!$N$16="AUTOMATE",IF(A135&lt;&gt;"",C135,""),""))</f>
        <v/>
      </c>
      <c r="AO135" s="108">
        <f>IF(INVOICE!$N$16="MANUAL",IFERROR(AM135*B135,""),IF(INVOICE!$N$16="AUTOMATE",IFERROR(AM135*A135,""),""))</f>
        <v>0</v>
      </c>
      <c r="AT135" s="108" t="str">
        <f t="shared" si="19"/>
        <v/>
      </c>
      <c r="AV135" s="108" t="str">
        <f t="shared" si="20"/>
        <v/>
      </c>
    </row>
    <row r="136" spans="1:48">
      <c r="A136" s="108" t="str">
        <f>IFERROR(IF(AND('Customer Base'!D7="Grid-Tied",'Customer Base'!D13="Fronius",'Customer Base'!D9=3,'Customer Base'!D34="No"),1,""),"")</f>
        <v/>
      </c>
      <c r="C136" s="253" t="s">
        <v>2740</v>
      </c>
      <c r="D136" s="326">
        <v>306.56</v>
      </c>
      <c r="E136" s="326">
        <v>288.733</v>
      </c>
      <c r="F136" s="254">
        <f t="shared" si="10"/>
        <v>251.48482362592287</v>
      </c>
      <c r="G136" s="254">
        <f>IFERROR(ROUNDUP(F136*INVOICE!$O$6,2),0)</f>
        <v>4199.8</v>
      </c>
      <c r="H136" s="254">
        <f t="shared" si="11"/>
        <v>236.86054142739948</v>
      </c>
      <c r="I136" s="254">
        <f>IFERROR(ROUNDUP(H136*INVOICE!$O$6,2),0)</f>
        <v>3955.5800000000004</v>
      </c>
      <c r="J136" s="108" t="str">
        <f>IF(D136&lt;&gt;"",IF(D136&lt;E136,"lkdfjk",""),"")</f>
        <v/>
      </c>
      <c r="L136" s="108" t="str">
        <f t="shared" si="27"/>
        <v/>
      </c>
      <c r="N136" s="108">
        <v>133</v>
      </c>
      <c r="O136" s="108" t="str">
        <f>IF(INVOICE!$N$16="MANUAL",IF(B136&lt;&gt;"",C136,""),IF(INVOICE!$N$16="AUTOMATE",IF(A136&lt;&gt;"",C136,""),""))</f>
        <v/>
      </c>
      <c r="AO136" s="108" t="str">
        <f>IF(INVOICE!$N$16="MANUAL",IFERROR(AM136*B136,""),IF(INVOICE!$N$16="AUTOMATE",IFERROR(AM136*A136,""),""))</f>
        <v/>
      </c>
      <c r="AT136" s="108" t="str">
        <f t="shared" si="19"/>
        <v/>
      </c>
      <c r="AV136" s="108" t="str">
        <f t="shared" si="20"/>
        <v/>
      </c>
    </row>
    <row r="137" spans="1:48">
      <c r="C137" s="253" t="s">
        <v>2741</v>
      </c>
      <c r="D137" s="326">
        <v>306.56</v>
      </c>
      <c r="E137" s="326">
        <v>288.73</v>
      </c>
      <c r="F137" s="254">
        <f t="shared" si="10"/>
        <v>251.48482362592287</v>
      </c>
      <c r="G137" s="254">
        <f>IFERROR(ROUNDUP(F137*INVOICE!$O$6,2),0)</f>
        <v>4199.8</v>
      </c>
      <c r="H137" s="254">
        <f t="shared" si="11"/>
        <v>236.85808039376539</v>
      </c>
      <c r="I137" s="254">
        <f>IFERROR(ROUNDUP(H137*INVOICE!$O$6,2),0)</f>
        <v>3955.53</v>
      </c>
      <c r="L137" s="108" t="str">
        <f t="shared" si="27"/>
        <v/>
      </c>
      <c r="N137" s="108">
        <v>134</v>
      </c>
      <c r="O137" s="108" t="str">
        <f>IF(INVOICE!$N$16="MANUAL",IF(B137&lt;&gt;"",C137,""),IF(INVOICE!$N$16="AUTOMATE",IF(A137&lt;&gt;"",C137,""),""))</f>
        <v/>
      </c>
      <c r="AO137" s="108">
        <f>IF(INVOICE!$N$16="MANUAL",IFERROR(AM137*B137,""),IF(INVOICE!$N$16="AUTOMATE",IFERROR(AM137*A137,""),""))</f>
        <v>0</v>
      </c>
    </row>
    <row r="138" spans="1:48">
      <c r="C138" s="253" t="s">
        <v>2738</v>
      </c>
      <c r="D138" s="326">
        <v>306.56</v>
      </c>
      <c r="E138" s="326">
        <v>288.73</v>
      </c>
      <c r="F138" s="254">
        <f t="shared" si="10"/>
        <v>251.48482362592287</v>
      </c>
      <c r="G138" s="254">
        <f>IFERROR(ROUNDUP(F138*INVOICE!$O$6,2),0)</f>
        <v>4199.8</v>
      </c>
      <c r="H138" s="254">
        <f t="shared" si="11"/>
        <v>236.85808039376539</v>
      </c>
      <c r="I138" s="254">
        <f>IFERROR(ROUNDUP(H138*INVOICE!$O$6,2),0)</f>
        <v>3955.53</v>
      </c>
      <c r="L138" s="108" t="str">
        <f t="shared" si="27"/>
        <v/>
      </c>
      <c r="N138" s="108">
        <v>135</v>
      </c>
      <c r="O138" s="108" t="str">
        <f>IF(INVOICE!$N$16="MANUAL",IF(B138&lt;&gt;"",C138,""),IF(INVOICE!$N$16="AUTOMATE",IF(A138&lt;&gt;"",C138,""),""))</f>
        <v/>
      </c>
      <c r="AO138" s="108">
        <f>IF(INVOICE!$N$16="MANUAL",IFERROR(AM138*B138,""),IF(INVOICE!$N$16="AUTOMATE",IFERROR(AM138*A138,""),""))</f>
        <v>0</v>
      </c>
    </row>
    <row r="139" spans="1:48">
      <c r="C139" s="253" t="s">
        <v>1128</v>
      </c>
      <c r="D139" s="326">
        <v>306.56</v>
      </c>
      <c r="E139" s="326">
        <v>288.733</v>
      </c>
      <c r="F139" s="254">
        <f t="shared" si="10"/>
        <v>251.48482362592287</v>
      </c>
      <c r="G139" s="254">
        <f>IFERROR(ROUNDUP(F139*INVOICE!$O$6,2),0)</f>
        <v>4199.8</v>
      </c>
      <c r="H139" s="254">
        <f t="shared" si="11"/>
        <v>236.86054142739948</v>
      </c>
      <c r="I139" s="254">
        <f>IFERROR(ROUNDUP(H139*INVOICE!$O$6,2),0)</f>
        <v>3955.5800000000004</v>
      </c>
      <c r="J139" s="108" t="str">
        <f>IF(D139&lt;&gt;"",IF(D139&lt;E139,"lkdfjk",""),"")</f>
        <v/>
      </c>
      <c r="L139" s="108" t="str">
        <f t="shared" si="27"/>
        <v/>
      </c>
      <c r="N139" s="108">
        <v>136</v>
      </c>
      <c r="O139" s="108" t="str">
        <f>IF(INVOICE!$N$16="MANUAL",IF(B139&lt;&gt;"",C139,""),IF(INVOICE!$N$16="AUTOMATE",IF(A139&lt;&gt;"",C139,""),""))</f>
        <v/>
      </c>
      <c r="AO139" s="108">
        <f>IF(INVOICE!$N$16="MANUAL",IFERROR(AM139*B139,""),IF(INVOICE!$N$16="AUTOMATE",IFERROR(AM139*A139,""),""))</f>
        <v>0</v>
      </c>
      <c r="AT139" s="108" t="str">
        <f t="shared" si="19"/>
        <v/>
      </c>
      <c r="AV139" s="108" t="str">
        <f t="shared" si="20"/>
        <v/>
      </c>
    </row>
    <row r="140" spans="1:48">
      <c r="C140" s="253" t="s">
        <v>2739</v>
      </c>
      <c r="D140" s="326">
        <v>125.11</v>
      </c>
      <c r="E140" s="326">
        <v>117.839</v>
      </c>
      <c r="F140" s="254">
        <f t="shared" si="10"/>
        <v>102.63330598851518</v>
      </c>
      <c r="G140" s="254">
        <f>IFERROR(ROUNDUP(F140*INVOICE!$O$6,2),0)</f>
        <v>1713.98</v>
      </c>
      <c r="H140" s="254">
        <f t="shared" si="11"/>
        <v>96.668580803937644</v>
      </c>
      <c r="I140" s="254">
        <f>IFERROR(ROUNDUP(H140*INVOICE!$O$6,2),0)</f>
        <v>1614.37</v>
      </c>
      <c r="L140" s="108" t="str">
        <f t="shared" si="27"/>
        <v/>
      </c>
      <c r="N140" s="108">
        <v>137</v>
      </c>
      <c r="O140" s="108" t="str">
        <f>IF(INVOICE!$N$16="MANUAL",IF(B140&lt;&gt;"",C140,""),IF(INVOICE!$N$16="AUTOMATE",IF(A140&lt;&gt;"",C140,""),""))</f>
        <v/>
      </c>
      <c r="AO140" s="108">
        <f>IF(INVOICE!$N$16="MANUAL",IFERROR(AM140*B140,""),IF(INVOICE!$N$16="AUTOMATE",IFERROR(AM140*A140,""),""))</f>
        <v>0</v>
      </c>
    </row>
    <row r="141" spans="1:48">
      <c r="A141" s="108" t="str">
        <f>IFERROR(IF(AND('Customer Base'!D7="Grid-Tied",'Customer Base'!D13="Fronius",'Customer Base'!D9=1,'Customer Base'!D34="No"),1,""),"")</f>
        <v/>
      </c>
      <c r="C141" s="253" t="s">
        <v>1129</v>
      </c>
      <c r="D141" s="326">
        <v>125.11</v>
      </c>
      <c r="E141" s="326">
        <v>117.839</v>
      </c>
      <c r="F141" s="254">
        <f t="shared" si="10"/>
        <v>102.63330598851518</v>
      </c>
      <c r="G141" s="254">
        <f>IFERROR(ROUNDUP(F141*INVOICE!$O$6,2),0)</f>
        <v>1713.98</v>
      </c>
      <c r="H141" s="254">
        <f t="shared" si="11"/>
        <v>96.668580803937644</v>
      </c>
      <c r="I141" s="254">
        <f>IFERROR(ROUNDUP(H141*INVOICE!$O$6,2),0)</f>
        <v>1614.37</v>
      </c>
      <c r="J141" s="108" t="str">
        <f t="shared" ref="J141:J172" si="28">IF(D141&lt;&gt;"",IF(D141&lt;E141,"lkdfjk",""),"")</f>
        <v/>
      </c>
      <c r="L141" s="108" t="str">
        <f t="shared" si="27"/>
        <v/>
      </c>
      <c r="N141" s="108">
        <v>138</v>
      </c>
      <c r="O141" s="108" t="str">
        <f>IF(INVOICE!$N$16="MANUAL",IF(B141&lt;&gt;"",C141,""),IF(INVOICE!$N$16="AUTOMATE",IF(A141&lt;&gt;"",C141,""),""))</f>
        <v/>
      </c>
      <c r="AO141" s="108" t="str">
        <f>IF(INVOICE!$N$16="MANUAL",IFERROR(AM141*B141,""),IF(INVOICE!$N$16="AUTOMATE",IFERROR(AM141*A141,""),""))</f>
        <v/>
      </c>
      <c r="AT141" s="108" t="str">
        <f t="shared" si="19"/>
        <v/>
      </c>
      <c r="AV141" s="108" t="str">
        <f t="shared" si="20"/>
        <v/>
      </c>
    </row>
    <row r="142" spans="1:48">
      <c r="C142" s="231"/>
      <c r="D142" s="324"/>
      <c r="E142" s="324"/>
      <c r="F142" s="229">
        <f t="shared" si="10"/>
        <v>0</v>
      </c>
      <c r="G142" s="229">
        <f>IFERROR(ROUNDUP(F142*INVOICE!$O$6,2),0)</f>
        <v>0</v>
      </c>
      <c r="H142" s="229">
        <f t="shared" si="11"/>
        <v>0</v>
      </c>
      <c r="I142" s="229"/>
      <c r="J142" s="108" t="str">
        <f t="shared" si="28"/>
        <v/>
      </c>
      <c r="L142" s="108" t="str">
        <f t="shared" si="27"/>
        <v/>
      </c>
      <c r="N142" s="108">
        <v>139</v>
      </c>
      <c r="O142" s="108" t="str">
        <f>IF(INVOICE!$N$16="MANUAL",IF(B142&lt;&gt;"",C142,""),IF(INVOICE!$N$16="AUTOMATE",IF(A142&lt;&gt;"",C142,""),""))</f>
        <v/>
      </c>
      <c r="AO142" s="108">
        <f>IF(INVOICE!$N$16="MANUAL",IFERROR(AM142*B142,""),IF(INVOICE!$N$16="AUTOMATE",IFERROR(AM142*A142,""),""))</f>
        <v>0</v>
      </c>
      <c r="AT142" s="108" t="str">
        <f t="shared" si="19"/>
        <v/>
      </c>
      <c r="AV142" s="108" t="str">
        <f t="shared" si="20"/>
        <v/>
      </c>
    </row>
    <row r="143" spans="1:48">
      <c r="A143" s="108" t="str">
        <f>IFERROR(IF(AND('Customer Base'!D7="Grid-Tied",OR('Customer Base'!D13="Huawei",'Customer Base'!D13="Fronius",'Customer Base'!D9=3),'Customer Base'!D34="No",'CABLE SIZING TOOL'!J27*2&gt;0,'CABLE SIZING TOOL'!J27*2&lt;=100),3*SUM(A136:A141,A97:A99),""),"")</f>
        <v/>
      </c>
      <c r="C143" s="255" t="s">
        <v>1660</v>
      </c>
      <c r="D143" s="326">
        <v>122.54</v>
      </c>
      <c r="E143" s="326">
        <v>115.05200000000001</v>
      </c>
      <c r="F143" s="254">
        <f t="shared" si="10"/>
        <v>100.52502050861362</v>
      </c>
      <c r="G143" s="254">
        <f>IFERROR(ROUNDUP(F143*INVOICE!$O$6,2),0)</f>
        <v>1678.77</v>
      </c>
      <c r="H143" s="254">
        <f t="shared" si="11"/>
        <v>94.382280557834292</v>
      </c>
      <c r="I143" s="254">
        <f>IFERROR(ROUNDUP(H143*INVOICE!$O$6,2),0)</f>
        <v>1576.19</v>
      </c>
      <c r="J143" s="108" t="str">
        <f t="shared" si="28"/>
        <v/>
      </c>
      <c r="L143" s="108" t="str">
        <f t="shared" si="27"/>
        <v/>
      </c>
      <c r="N143" s="108">
        <v>140</v>
      </c>
      <c r="O143" s="108" t="str">
        <f>IF(INVOICE!$N$16="MANUAL",IF(B143&lt;&gt;"",C143,""),IF(INVOICE!$N$16="AUTOMATE",IF(A143&lt;&gt;"",C143,""),""))</f>
        <v/>
      </c>
      <c r="AO143" s="108" t="str">
        <f>IF(INVOICE!$N$16="MANUAL",IFERROR(AM143*B143,""),IF(INVOICE!$N$16="AUTOMATE",IFERROR(AM143*A143,""),""))</f>
        <v/>
      </c>
      <c r="AT143" s="108" t="str">
        <f t="shared" si="19"/>
        <v/>
      </c>
      <c r="AV143" s="108" t="str">
        <f t="shared" si="20"/>
        <v/>
      </c>
    </row>
    <row r="144" spans="1:48">
      <c r="A144" s="108" t="str">
        <f>IFERROR(IF(AND('Customer Base'!D7="Grid-Tied",OR('Customer Base'!D13="Huawei",'Customer Base'!D13="Fronius",'Customer Base'!D9=3),'Customer Base'!D34="No",'CABLE SIZING TOOL'!J27*2&gt;100,'CABLE SIZING TOOL'!J27*2&lt;=125),3*SUM(A136:A141,A97:A99),""),"")</f>
        <v/>
      </c>
      <c r="C144" s="255" t="s">
        <v>1661</v>
      </c>
      <c r="D144" s="326">
        <v>65</v>
      </c>
      <c r="E144" s="326">
        <v>65</v>
      </c>
      <c r="F144" s="254">
        <f t="shared" si="10"/>
        <v>53.322395406070548</v>
      </c>
      <c r="G144" s="254">
        <f>IFERROR(ROUNDUP(F144*INVOICE!$O$6,2),0)</f>
        <v>890.49</v>
      </c>
      <c r="H144" s="254">
        <f t="shared" si="11"/>
        <v>53.322395406070548</v>
      </c>
      <c r="I144" s="254">
        <f>IFERROR(ROUNDUP(H144*INVOICE!$O$6,2),0)</f>
        <v>890.49</v>
      </c>
      <c r="J144" s="108" t="str">
        <f t="shared" si="28"/>
        <v/>
      </c>
      <c r="L144" s="108" t="str">
        <f t="shared" si="27"/>
        <v/>
      </c>
      <c r="N144" s="108">
        <v>141</v>
      </c>
      <c r="O144" s="108" t="str">
        <f>IF(INVOICE!$N$16="MANUAL",IF(B144&lt;&gt;"",C144,""),IF(INVOICE!$N$16="AUTOMATE",IF(A144&lt;&gt;"",C144,""),""))</f>
        <v/>
      </c>
      <c r="AO144" s="108" t="str">
        <f>IF(INVOICE!$N$16="MANUAL",IFERROR(AM144*B144,""),IF(INVOICE!$N$16="AUTOMATE",IFERROR(AM144*A144,""),""))</f>
        <v/>
      </c>
      <c r="AT144" s="108" t="str">
        <f t="shared" si="19"/>
        <v/>
      </c>
      <c r="AV144" s="108" t="str">
        <f t="shared" si="20"/>
        <v/>
      </c>
    </row>
    <row r="145" spans="1:48">
      <c r="A145" s="108" t="str">
        <f>IFERROR(IF(AND('Customer Base'!D7="Grid-Tied",OR('Customer Base'!D13="Huawei",'Customer Base'!D13="Fronius",'Customer Base'!D9=3),'Customer Base'!D34="No",'CABLE SIZING TOOL'!J27*2&gt;125,'CABLE SIZING TOOL'!J27*2&lt;=150),3*SUM(A136:A141,A97:A99),""),"")</f>
        <v/>
      </c>
      <c r="C145" s="255" t="s">
        <v>1662</v>
      </c>
      <c r="D145" s="326">
        <v>122.54</v>
      </c>
      <c r="E145" s="326">
        <v>115.05200000000001</v>
      </c>
      <c r="F145" s="254">
        <f t="shared" si="10"/>
        <v>100.52502050861362</v>
      </c>
      <c r="G145" s="254">
        <f>IFERROR(ROUNDUP(F145*INVOICE!$O$6,2),0)</f>
        <v>1678.77</v>
      </c>
      <c r="H145" s="254">
        <f t="shared" si="11"/>
        <v>94.382280557834292</v>
      </c>
      <c r="I145" s="254">
        <f>IFERROR(ROUNDUP(H145*INVOICE!$O$6,2),0)</f>
        <v>1576.19</v>
      </c>
      <c r="J145" s="108" t="str">
        <f t="shared" si="28"/>
        <v/>
      </c>
      <c r="L145" s="108" t="str">
        <f t="shared" si="27"/>
        <v/>
      </c>
      <c r="N145" s="108">
        <v>142</v>
      </c>
      <c r="O145" s="108" t="str">
        <f>IF(INVOICE!$N$16="MANUAL",IF(B145&lt;&gt;"",C145,""),IF(INVOICE!$N$16="AUTOMATE",IF(A145&lt;&gt;"",C145,""),""))</f>
        <v/>
      </c>
      <c r="AO145" s="108" t="str">
        <f>IF(INVOICE!$N$16="MANUAL",IFERROR(AM145*B145,""),IF(INVOICE!$N$16="AUTOMATE",IFERROR(AM145*A145,""),""))</f>
        <v/>
      </c>
      <c r="AT145" s="108" t="str">
        <f t="shared" si="19"/>
        <v/>
      </c>
      <c r="AV145" s="108" t="str">
        <f t="shared" si="20"/>
        <v/>
      </c>
    </row>
    <row r="146" spans="1:48">
      <c r="A146" s="108" t="str">
        <f>IFERROR(IF(AND('Customer Base'!D7="Grid-Tied",OR('Customer Base'!D13="Huawei",'Customer Base'!D13="Fronius",'Customer Base'!D9=3),'Customer Base'!D34="No",'CABLE SIZING TOOL'!J27*2&gt;150,'CABLE SIZING TOOL'!J27*2&lt;=160),3*SUM(A136:A141,A97:A99),""),"")</f>
        <v/>
      </c>
      <c r="C146" s="255" t="s">
        <v>1663</v>
      </c>
      <c r="D146" s="326">
        <v>65</v>
      </c>
      <c r="E146" s="326">
        <v>65</v>
      </c>
      <c r="F146" s="254">
        <f t="shared" si="10"/>
        <v>53.322395406070548</v>
      </c>
      <c r="G146" s="254">
        <f>IFERROR(ROUNDUP(F146*INVOICE!$O$6,2),0)</f>
        <v>890.49</v>
      </c>
      <c r="H146" s="254">
        <f t="shared" si="11"/>
        <v>53.322395406070548</v>
      </c>
      <c r="I146" s="254">
        <f>IFERROR(ROUNDUP(H146*INVOICE!$O$6,2),0)</f>
        <v>890.49</v>
      </c>
      <c r="J146" s="108" t="str">
        <f t="shared" si="28"/>
        <v/>
      </c>
      <c r="L146" s="108" t="str">
        <f t="shared" si="27"/>
        <v/>
      </c>
      <c r="N146" s="108">
        <v>143</v>
      </c>
      <c r="O146" s="108" t="str">
        <f>IF(INVOICE!$N$16="MANUAL",IF(B146&lt;&gt;"",C146,""),IF(INVOICE!$N$16="AUTOMATE",IF(A146&lt;&gt;"",C146,""),""))</f>
        <v/>
      </c>
      <c r="AO146" s="108" t="str">
        <f>IF(INVOICE!$N$16="MANUAL",IFERROR(AM146*B146,""),IF(INVOICE!$N$16="AUTOMATE",IFERROR(AM146*A146,""),""))</f>
        <v/>
      </c>
      <c r="AT146" s="108" t="str">
        <f t="shared" si="19"/>
        <v/>
      </c>
      <c r="AV146" s="108" t="str">
        <f t="shared" si="20"/>
        <v/>
      </c>
    </row>
    <row r="147" spans="1:48">
      <c r="A147" s="108" t="str">
        <f>IFERROR(IF(AND('Customer Base'!D7="Grid-Tied",OR('Customer Base'!D13="Huawei",'Customer Base'!D13="Fronius",'Customer Base'!D9=3),'Customer Base'!D34="No",'CABLE SIZING TOOL'!J27*2&gt;160,'CABLE SIZING TOOL'!J27*2&lt;=200),3*SUM(A136:A141,A97:A99),""),"")</f>
        <v/>
      </c>
      <c r="C147" s="255" t="s">
        <v>1664</v>
      </c>
      <c r="D147" s="326">
        <v>122.54</v>
      </c>
      <c r="E147" s="326">
        <v>115.05200000000001</v>
      </c>
      <c r="F147" s="254">
        <f t="shared" si="10"/>
        <v>100.52502050861362</v>
      </c>
      <c r="G147" s="254">
        <f>IFERROR(ROUNDUP(F147*INVOICE!$O$6,2),0)</f>
        <v>1678.77</v>
      </c>
      <c r="H147" s="254">
        <f t="shared" si="11"/>
        <v>94.382280557834292</v>
      </c>
      <c r="I147" s="254">
        <f>IFERROR(ROUNDUP(H147*INVOICE!$O$6,2),0)</f>
        <v>1576.19</v>
      </c>
      <c r="J147" s="108" t="str">
        <f t="shared" si="28"/>
        <v/>
      </c>
      <c r="L147" s="108" t="str">
        <f t="shared" si="27"/>
        <v/>
      </c>
      <c r="N147" s="108">
        <v>144</v>
      </c>
      <c r="O147" s="108" t="str">
        <f>IF(INVOICE!$N$16="MANUAL",IF(B147&lt;&gt;"",C147,""),IF(INVOICE!$N$16="AUTOMATE",IF(A147&lt;&gt;"",C147,""),""))</f>
        <v/>
      </c>
      <c r="AO147" s="108" t="str">
        <f>IF(INVOICE!$N$16="MANUAL",IFERROR(AM147*B147,""),IF(INVOICE!$N$16="AUTOMATE",IFERROR(AM147*A147,""),""))</f>
        <v/>
      </c>
      <c r="AT147" s="108" t="str">
        <f t="shared" si="19"/>
        <v/>
      </c>
      <c r="AV147" s="108" t="str">
        <f t="shared" si="20"/>
        <v/>
      </c>
    </row>
    <row r="148" spans="1:48">
      <c r="A148" s="108" t="str">
        <f>IFERROR(IF(AND('Customer Base'!D7="Grid-Tied",OR('Customer Base'!D13="Huawei",'Customer Base'!D13="Fronius",'Customer Base'!D9=3),'Customer Base'!D34="No",'CABLE SIZING TOOL'!J27*2&gt;200,'CABLE SIZING TOOL'!J27*2&lt;=250),3*SUM(A136:A141,A97:A99),""),"")</f>
        <v/>
      </c>
      <c r="C148" s="255" t="s">
        <v>1665</v>
      </c>
      <c r="D148" s="326">
        <v>122.54</v>
      </c>
      <c r="E148" s="326">
        <v>115.05200000000001</v>
      </c>
      <c r="F148" s="254">
        <f t="shared" si="10"/>
        <v>100.52502050861362</v>
      </c>
      <c r="G148" s="254">
        <f>IFERROR(ROUNDUP(F148*INVOICE!$O$6,2),0)</f>
        <v>1678.77</v>
      </c>
      <c r="H148" s="254">
        <f t="shared" si="11"/>
        <v>94.382280557834292</v>
      </c>
      <c r="I148" s="254">
        <f>IFERROR(ROUNDUP(H148*INVOICE!$O$6,2),0)</f>
        <v>1576.19</v>
      </c>
      <c r="J148" s="108" t="str">
        <f t="shared" si="28"/>
        <v/>
      </c>
      <c r="L148" s="108" t="str">
        <f t="shared" si="27"/>
        <v/>
      </c>
      <c r="N148" s="108">
        <v>145</v>
      </c>
      <c r="O148" s="108" t="str">
        <f>IF(INVOICE!$N$16="MANUAL",IF(B148&lt;&gt;"",C148,""),IF(INVOICE!$N$16="AUTOMATE",IF(A148&lt;&gt;"",C148,""),""))</f>
        <v/>
      </c>
      <c r="AO148" s="108" t="str">
        <f>IF(INVOICE!$N$16="MANUAL",IFERROR(AM148*B148,""),IF(INVOICE!$N$16="AUTOMATE",IFERROR(AM148*A148,""),""))</f>
        <v/>
      </c>
      <c r="AT148" s="108" t="str">
        <f t="shared" si="19"/>
        <v/>
      </c>
      <c r="AV148" s="108" t="str">
        <f t="shared" si="20"/>
        <v/>
      </c>
    </row>
    <row r="149" spans="1:48">
      <c r="A149" s="108" t="str">
        <f>IFERROR(IF(AND('Customer Base'!D7="Grid-Tied",OR('Customer Base'!D13="Huawei",'Customer Base'!D13="Fronius",'Customer Base'!D9=3),'Customer Base'!D34="No",'CABLE SIZING TOOL'!J27*2&gt;250,'CABLE SIZING TOOL'!J27*2&lt;=300),3*SUM(A136:A141,A97:A99),""),"")</f>
        <v/>
      </c>
      <c r="C149" s="255" t="s">
        <v>2736</v>
      </c>
      <c r="D149" s="326">
        <v>122.54</v>
      </c>
      <c r="E149" s="326">
        <v>115.05</v>
      </c>
      <c r="F149" s="254">
        <f t="shared" si="10"/>
        <v>100.52502050861362</v>
      </c>
      <c r="G149" s="254">
        <f>IFERROR(ROUNDUP(F149*INVOICE!$O$6,2),0)</f>
        <v>1678.77</v>
      </c>
      <c r="H149" s="254">
        <f t="shared" si="11"/>
        <v>94.380639868744865</v>
      </c>
      <c r="I149" s="254">
        <f>IFERROR(ROUNDUP(H149*INVOICE!$O$6,2),0)</f>
        <v>1576.16</v>
      </c>
      <c r="J149" s="108" t="str">
        <f t="shared" si="28"/>
        <v/>
      </c>
      <c r="L149" s="108" t="str">
        <f t="shared" si="27"/>
        <v/>
      </c>
      <c r="N149" s="108">
        <v>146</v>
      </c>
      <c r="O149" s="108" t="str">
        <f>IF(INVOICE!$N$16="MANUAL",IF(B149&lt;&gt;"",C149,""),IF(INVOICE!$N$16="AUTOMATE",IF(A149&lt;&gt;"",C149,""),""))</f>
        <v/>
      </c>
      <c r="AO149" s="108" t="str">
        <f>IF(INVOICE!$N$16="MANUAL",IFERROR(AM149*B149,""),IF(INVOICE!$N$16="AUTOMATE",IFERROR(AM149*A149,""),""))</f>
        <v/>
      </c>
    </row>
    <row r="150" spans="1:48">
      <c r="A150" s="108" t="str">
        <f>IFERROR(IF(AND('Customer Base'!D7="Grid-Tied",OR('Customer Base'!D13="Huawei",'Customer Base'!D13="Fronius",'Customer Base'!D9=3),'Customer Base'!D34="No",'CABLE SIZING TOOL'!J27*2&gt;300,'CABLE SIZING TOOL'!J27*2&lt;=400),3*SUM(A136:A141,A97:A99),""),"")</f>
        <v/>
      </c>
      <c r="C150" s="255" t="s">
        <v>2737</v>
      </c>
      <c r="D150" s="326">
        <v>122.54</v>
      </c>
      <c r="E150" s="326">
        <v>115.05200000000001</v>
      </c>
      <c r="F150" s="254">
        <f t="shared" si="10"/>
        <v>100.52502050861362</v>
      </c>
      <c r="G150" s="254">
        <f>IFERROR(ROUNDUP(F150*INVOICE!$O$6,2),0)</f>
        <v>1678.77</v>
      </c>
      <c r="H150" s="254">
        <f t="shared" si="11"/>
        <v>94.382280557834292</v>
      </c>
      <c r="I150" s="254">
        <f>IFERROR(ROUNDUP(H150*INVOICE!$O$6,2),0)</f>
        <v>1576.19</v>
      </c>
      <c r="J150" s="108" t="str">
        <f t="shared" si="28"/>
        <v/>
      </c>
      <c r="L150" s="108" t="str">
        <f t="shared" si="27"/>
        <v/>
      </c>
      <c r="N150" s="108">
        <v>147</v>
      </c>
      <c r="O150" s="108" t="str">
        <f>IF(INVOICE!$N$16="MANUAL",IF(B150&lt;&gt;"",C150,""),IF(INVOICE!$N$16="AUTOMATE",IF(A150&lt;&gt;"",C150,""),""))</f>
        <v/>
      </c>
      <c r="AO150" s="108" t="str">
        <f>IF(INVOICE!$N$16="MANUAL",IFERROR(AM150*B150,""),IF(INVOICE!$N$16="AUTOMATE",IFERROR(AM150*A150,""),""))</f>
        <v/>
      </c>
    </row>
    <row r="151" spans="1:48">
      <c r="A151" s="108" t="str">
        <f>IFERROR(IF(AND('Customer Base'!D7="Grid-Tied",OR('Customer Base'!D13="Huawei",'Customer Base'!D13="Fronius",'Customer Base'!D9=3),'Customer Base'!D34="No",'CABLE SIZING TOOL'!J27*2&gt;400,'CABLE SIZING TOOL'!J27*2&lt;=1000),3*SUM(A136:A141,A97:A99),""),"")</f>
        <v/>
      </c>
      <c r="C151" s="255" t="s">
        <v>1841</v>
      </c>
      <c r="D151" s="326">
        <v>220</v>
      </c>
      <c r="E151" s="326">
        <v>220</v>
      </c>
      <c r="F151" s="254">
        <f t="shared" si="10"/>
        <v>180.47579983593107</v>
      </c>
      <c r="G151" s="254">
        <f>IFERROR(ROUNDUP(F151*INVOICE!$O$6,2),0)</f>
        <v>3013.9500000000003</v>
      </c>
      <c r="H151" s="254">
        <f t="shared" si="11"/>
        <v>180.47579983593107</v>
      </c>
      <c r="I151" s="254">
        <f>IFERROR(ROUNDUP(H151*INVOICE!$O$6,2),0)</f>
        <v>3013.9500000000003</v>
      </c>
      <c r="J151" s="108" t="str">
        <f t="shared" si="28"/>
        <v/>
      </c>
      <c r="L151" s="108" t="str">
        <f t="shared" si="27"/>
        <v/>
      </c>
      <c r="N151" s="108">
        <v>148</v>
      </c>
      <c r="O151" s="108" t="str">
        <f>IF(INVOICE!$N$16="MANUAL",IF(B151&lt;&gt;"",C151,""),IF(INVOICE!$N$16="AUTOMATE",IF(A151&lt;&gt;"",C151,""),""))</f>
        <v/>
      </c>
      <c r="AO151" s="108" t="str">
        <f>IF(INVOICE!$N$16="MANUAL",IFERROR(AM151*B151,""),IF(INVOICE!$N$16="AUTOMATE",IFERROR(AM151*A151,""),""))</f>
        <v/>
      </c>
      <c r="AT151" s="108" t="str">
        <f t="shared" si="19"/>
        <v/>
      </c>
      <c r="AV151" s="108" t="str">
        <f t="shared" si="20"/>
        <v/>
      </c>
    </row>
    <row r="152" spans="1:48">
      <c r="A152" s="108" t="str">
        <f>IFERROR(IF(AND('Customer Base'!D7="Grid-Tied",OR('Customer Base'!D13="Huawei",'Customer Base'!D13="Fronius",'Customer Base'!D9=3),'Customer Base'!D34="No",'CABLE SIZING TOOL'!J27*2&gt;1000,'CABLE SIZING TOOL'!J27*2&lt;=2000),3*SUM(A136:A141,A97:A99),""),"")</f>
        <v/>
      </c>
      <c r="C152" s="255" t="s">
        <v>2639</v>
      </c>
      <c r="D152" s="326">
        <v>270</v>
      </c>
      <c r="E152" s="326">
        <v>270</v>
      </c>
      <c r="F152" s="254">
        <f t="shared" si="10"/>
        <v>221.49302707136997</v>
      </c>
      <c r="G152" s="254">
        <f>IFERROR(ROUNDUP(F152*INVOICE!$O$6,2),0)</f>
        <v>3698.94</v>
      </c>
      <c r="H152" s="254">
        <f t="shared" si="11"/>
        <v>221.49302707136997</v>
      </c>
      <c r="I152" s="254">
        <f>IFERROR(ROUNDUP(H152*INVOICE!$O$6,2),0)</f>
        <v>3698.94</v>
      </c>
      <c r="J152" s="108" t="str">
        <f t="shared" si="28"/>
        <v/>
      </c>
      <c r="L152" s="108" t="str">
        <f t="shared" si="27"/>
        <v/>
      </c>
      <c r="N152" s="108">
        <v>149</v>
      </c>
      <c r="O152" s="108" t="str">
        <f>IF(INVOICE!$N$16="MANUAL",IF(B152&lt;&gt;"",C152,""),IF(INVOICE!$N$16="AUTOMATE",IF(A152&lt;&gt;"",C152,""),""))</f>
        <v/>
      </c>
      <c r="AO152" s="108" t="str">
        <f>IF(INVOICE!$N$16="MANUAL",IFERROR(AM152*B152,""),IF(INVOICE!$N$16="AUTOMATE",IFERROR(AM152*A152,""),""))</f>
        <v/>
      </c>
    </row>
    <row r="153" spans="1:48">
      <c r="A153" s="108" t="str">
        <f>IFERROR(IF(AND('Customer Base'!D7="Grid-Tied",OR('Customer Base'!D13="Huawei",'Customer Base'!D13="Fronius",'Customer Base'!D9=3),'Customer Base'!D34="No",'CABLE SIZING TOOL'!J27&gt;2000),3*SUM(A136:A141,A97:A99),""),"")</f>
        <v/>
      </c>
      <c r="C153" s="255" t="s">
        <v>1666</v>
      </c>
      <c r="D153" s="326">
        <v>285</v>
      </c>
      <c r="E153" s="326">
        <v>285</v>
      </c>
      <c r="F153" s="254">
        <f t="shared" si="10"/>
        <v>233.79819524200161</v>
      </c>
      <c r="G153" s="254">
        <f>IFERROR(ROUNDUP(F153*INVOICE!$O$6,2),0)</f>
        <v>3904.4300000000003</v>
      </c>
      <c r="H153" s="254">
        <f t="shared" si="11"/>
        <v>233.79819524200161</v>
      </c>
      <c r="I153" s="254">
        <f>IFERROR(ROUNDUP(H153*INVOICE!$O$6,2),0)</f>
        <v>3904.4300000000003</v>
      </c>
      <c r="J153" s="108" t="str">
        <f t="shared" si="28"/>
        <v/>
      </c>
      <c r="L153" s="108" t="str">
        <f t="shared" si="27"/>
        <v/>
      </c>
      <c r="N153" s="108">
        <v>150</v>
      </c>
      <c r="O153" s="108" t="str">
        <f>IF(INVOICE!$N$16="MANUAL",IF(B153&lt;&gt;"",C153,""),IF(INVOICE!$N$16="AUTOMATE",IF(A153&lt;&gt;"",C153,""),""))</f>
        <v/>
      </c>
      <c r="AO153" s="108" t="str">
        <f>IF(INVOICE!$N$16="MANUAL",IFERROR(AM153*B153,""),IF(INVOICE!$N$16="AUTOMATE",IFERROR(AM153*A153,""),""))</f>
        <v/>
      </c>
      <c r="AT153" s="108" t="str">
        <f t="shared" si="19"/>
        <v/>
      </c>
      <c r="AV153" s="108" t="str">
        <f t="shared" si="20"/>
        <v/>
      </c>
    </row>
    <row r="154" spans="1:48">
      <c r="C154" s="231"/>
      <c r="D154" s="324"/>
      <c r="E154" s="324"/>
      <c r="F154" s="229">
        <f t="shared" si="10"/>
        <v>0</v>
      </c>
      <c r="G154" s="229">
        <f>IFERROR(ROUNDUP(F154*INVOICE!$O$6,2),0)</f>
        <v>0</v>
      </c>
      <c r="H154" s="229">
        <f t="shared" si="11"/>
        <v>0</v>
      </c>
      <c r="I154" s="229"/>
      <c r="J154" s="108" t="str">
        <f t="shared" si="28"/>
        <v/>
      </c>
      <c r="L154" s="108" t="str">
        <f t="shared" si="27"/>
        <v/>
      </c>
      <c r="N154" s="108">
        <v>151</v>
      </c>
      <c r="O154" s="108" t="str">
        <f>IF(INVOICE!$N$16="MANUAL",IF(B154&lt;&gt;"",C154,""),IF(INVOICE!$N$16="AUTOMATE",IF(A154&lt;&gt;"",C154,""),""))</f>
        <v/>
      </c>
      <c r="AO154" s="108">
        <f>IF(INVOICE!$N$16="MANUAL",IFERROR(AM154*B154,""),IF(INVOICE!$N$16="AUTOMATE",IFERROR(AM154*A154,""),""))</f>
        <v>0</v>
      </c>
      <c r="AT154" s="108" t="str">
        <f t="shared" si="19"/>
        <v/>
      </c>
      <c r="AV154" s="108" t="str">
        <f t="shared" si="20"/>
        <v/>
      </c>
    </row>
    <row r="155" spans="1:48">
      <c r="C155" s="253" t="s">
        <v>1018</v>
      </c>
      <c r="D155" s="326">
        <v>59.39</v>
      </c>
      <c r="E155" s="326">
        <v>55.939</v>
      </c>
      <c r="F155" s="254">
        <f t="shared" si="10"/>
        <v>48.720262510254301</v>
      </c>
      <c r="G155" s="254">
        <f>IFERROR(ROUNDUP(F155*INVOICE!$O$6,2),0)</f>
        <v>813.63</v>
      </c>
      <c r="H155" s="254">
        <f t="shared" si="11"/>
        <v>45.889253486464312</v>
      </c>
      <c r="I155" s="254">
        <f>IFERROR(ROUNDUP(H155*INVOICE!$O$6,2),0)</f>
        <v>766.36</v>
      </c>
      <c r="J155" s="108" t="str">
        <f t="shared" si="28"/>
        <v/>
      </c>
      <c r="L155" s="108" t="str">
        <f t="shared" si="27"/>
        <v/>
      </c>
      <c r="N155" s="108">
        <v>152</v>
      </c>
      <c r="O155" s="108" t="str">
        <f>IF(INVOICE!$N$16="MANUAL",IF(B155&lt;&gt;"",C155,""),IF(INVOICE!$N$16="AUTOMATE",IF(A155&lt;&gt;"",C155,""),""))</f>
        <v/>
      </c>
      <c r="AO155" s="108">
        <f>IF(INVOICE!$N$16="MANUAL",IFERROR(AM155*B155,""),IF(INVOICE!$N$16="AUTOMATE",IFERROR(AM155*A155,""),""))</f>
        <v>0</v>
      </c>
      <c r="AT155" s="108" t="str">
        <f t="shared" si="19"/>
        <v/>
      </c>
      <c r="AV155" s="108" t="str">
        <f t="shared" si="20"/>
        <v/>
      </c>
    </row>
    <row r="156" spans="1:48">
      <c r="C156" s="253" t="s">
        <v>1019</v>
      </c>
      <c r="D156" s="326">
        <v>451</v>
      </c>
      <c r="E156" s="326">
        <v>424.78</v>
      </c>
      <c r="F156" s="254">
        <f t="shared" si="10"/>
        <v>369.97538966365869</v>
      </c>
      <c r="G156" s="254">
        <f>IFERROR(ROUNDUP(F156*INVOICE!$O$6,2),0)</f>
        <v>6178.59</v>
      </c>
      <c r="H156" s="254">
        <f t="shared" si="11"/>
        <v>348.46595570139453</v>
      </c>
      <c r="I156" s="254">
        <f>IFERROR(ROUNDUP(H156*INVOICE!$O$6,2),0)</f>
        <v>5819.39</v>
      </c>
      <c r="J156" s="108" t="str">
        <f t="shared" si="28"/>
        <v/>
      </c>
      <c r="L156" s="108" t="str">
        <f t="shared" si="27"/>
        <v/>
      </c>
      <c r="N156" s="108">
        <v>153</v>
      </c>
      <c r="O156" s="108" t="str">
        <f>IF(INVOICE!$N$16="MANUAL",IF(B156&lt;&gt;"",C156,""),IF(INVOICE!$N$16="AUTOMATE",IF(A156&lt;&gt;"",C156,""),""))</f>
        <v/>
      </c>
      <c r="AO156" s="108">
        <f>IF(INVOICE!$N$16="MANUAL",IFERROR(AM156*B156,""),IF(INVOICE!$N$16="AUTOMATE",IFERROR(AM156*A156,""),""))</f>
        <v>0</v>
      </c>
      <c r="AT156" s="108" t="str">
        <f t="shared" si="19"/>
        <v/>
      </c>
      <c r="AV156" s="108" t="str">
        <f t="shared" si="20"/>
        <v/>
      </c>
    </row>
    <row r="157" spans="1:48">
      <c r="C157" s="253" t="s">
        <v>1020</v>
      </c>
      <c r="D157" s="326">
        <v>186.04</v>
      </c>
      <c r="E157" s="326">
        <v>175.21899999999999</v>
      </c>
      <c r="F157" s="254">
        <f t="shared" si="10"/>
        <v>152.61689909762097</v>
      </c>
      <c r="G157" s="254">
        <f>IFERROR(ROUNDUP(F157*INVOICE!$O$6,2),0)</f>
        <v>2548.71</v>
      </c>
      <c r="H157" s="254">
        <f t="shared" si="11"/>
        <v>143.7399507793273</v>
      </c>
      <c r="I157" s="254">
        <f>IFERROR(ROUNDUP(H157*INVOICE!$O$6,2),0)</f>
        <v>2400.46</v>
      </c>
      <c r="J157" s="108" t="str">
        <f t="shared" si="28"/>
        <v/>
      </c>
      <c r="L157" s="108" t="str">
        <f t="shared" si="27"/>
        <v/>
      </c>
      <c r="N157" s="108">
        <v>154</v>
      </c>
      <c r="O157" s="108" t="str">
        <f>IF(INVOICE!$N$16="MANUAL",IF(B157&lt;&gt;"",C157,""),IF(INVOICE!$N$16="AUTOMATE",IF(A157&lt;&gt;"",C157,""),""))</f>
        <v/>
      </c>
      <c r="AO157" s="108">
        <f>IF(INVOICE!$N$16="MANUAL",IFERROR(AM157*B157,""),IF(INVOICE!$N$16="AUTOMATE",IFERROR(AM157*A157,""),""))</f>
        <v>0</v>
      </c>
      <c r="AT157" s="108" t="str">
        <f t="shared" si="19"/>
        <v/>
      </c>
      <c r="AV157" s="108" t="str">
        <f t="shared" si="20"/>
        <v/>
      </c>
    </row>
    <row r="158" spans="1:48">
      <c r="C158" s="253" t="s">
        <v>1021</v>
      </c>
      <c r="D158" s="326">
        <v>187.91</v>
      </c>
      <c r="E158" s="326">
        <v>176.98500000000001</v>
      </c>
      <c r="F158" s="254">
        <f t="shared" si="10"/>
        <v>154.15094339622641</v>
      </c>
      <c r="G158" s="254">
        <f>IFERROR(ROUNDUP(F158*INVOICE!$O$6,2),0)</f>
        <v>2574.3300000000004</v>
      </c>
      <c r="H158" s="254">
        <f t="shared" si="11"/>
        <v>145.18867924528303</v>
      </c>
      <c r="I158" s="254">
        <f>IFERROR(ROUNDUP(H158*INVOICE!$O$6,2),0)</f>
        <v>2424.6600000000003</v>
      </c>
      <c r="J158" s="108" t="str">
        <f t="shared" si="28"/>
        <v/>
      </c>
      <c r="L158" s="108" t="str">
        <f t="shared" si="27"/>
        <v/>
      </c>
      <c r="N158" s="108">
        <v>155</v>
      </c>
      <c r="O158" s="108" t="str">
        <f>IF(INVOICE!$N$16="MANUAL",IF(B158&lt;&gt;"",C158,""),IF(INVOICE!$N$16="AUTOMATE",IF(A158&lt;&gt;"",C158,""),""))</f>
        <v/>
      </c>
      <c r="AO158" s="108">
        <f>IF(INVOICE!$N$16="MANUAL",IFERROR(AM158*B158,""),IF(INVOICE!$N$16="AUTOMATE",IFERROR(AM158*A158,""),""))</f>
        <v>0</v>
      </c>
      <c r="AT158" s="108" t="str">
        <f t="shared" si="19"/>
        <v/>
      </c>
      <c r="AV158" s="108" t="str">
        <f t="shared" si="20"/>
        <v/>
      </c>
    </row>
    <row r="159" spans="1:48">
      <c r="C159" s="253" t="s">
        <v>1022</v>
      </c>
      <c r="D159" s="326">
        <v>190.54</v>
      </c>
      <c r="E159" s="326">
        <v>179.464</v>
      </c>
      <c r="F159" s="254">
        <f t="shared" si="10"/>
        <v>156.30844954881047</v>
      </c>
      <c r="G159" s="254">
        <f>IFERROR(ROUNDUP(F159*INVOICE!$O$6,2),0)</f>
        <v>2610.36</v>
      </c>
      <c r="H159" s="254">
        <f t="shared" si="11"/>
        <v>147.22231337161608</v>
      </c>
      <c r="I159" s="254">
        <f>IFERROR(ROUNDUP(H159*INVOICE!$O$6,2),0)</f>
        <v>2458.6200000000003</v>
      </c>
      <c r="J159" s="108" t="str">
        <f t="shared" si="28"/>
        <v/>
      </c>
      <c r="L159" s="108" t="str">
        <f t="shared" si="27"/>
        <v/>
      </c>
      <c r="N159" s="108">
        <v>156</v>
      </c>
      <c r="O159" s="108" t="str">
        <f>IF(INVOICE!$N$16="MANUAL",IF(B159&lt;&gt;"",C159,""),IF(INVOICE!$N$16="AUTOMATE",IF(A159&lt;&gt;"",C159,""),""))</f>
        <v/>
      </c>
      <c r="AO159" s="108">
        <f>IF(INVOICE!$N$16="MANUAL",IFERROR(AM159*B159,""),IF(INVOICE!$N$16="AUTOMATE",IFERROR(AM159*A159,""),""))</f>
        <v>0</v>
      </c>
      <c r="AT159" s="108" t="str">
        <f t="shared" si="19"/>
        <v/>
      </c>
      <c r="AV159" s="108" t="str">
        <f t="shared" si="20"/>
        <v/>
      </c>
    </row>
    <row r="160" spans="1:48">
      <c r="C160" s="253" t="s">
        <v>1023</v>
      </c>
      <c r="D160" s="326">
        <v>64.28</v>
      </c>
      <c r="E160" s="326">
        <v>60.539000000000001</v>
      </c>
      <c r="F160" s="254">
        <f t="shared" si="10"/>
        <v>52.731747333880229</v>
      </c>
      <c r="G160" s="254">
        <f>IFERROR(ROUNDUP(F160*INVOICE!$O$6,2),0)</f>
        <v>880.63</v>
      </c>
      <c r="H160" s="254">
        <f t="shared" si="11"/>
        <v>49.662838392124691</v>
      </c>
      <c r="I160" s="254">
        <f>IFERROR(ROUNDUP(H160*INVOICE!$O$6,2),0)</f>
        <v>829.37</v>
      </c>
      <c r="J160" s="108" t="str">
        <f t="shared" si="28"/>
        <v/>
      </c>
      <c r="L160" s="108" t="str">
        <f t="shared" si="27"/>
        <v/>
      </c>
      <c r="N160" s="108">
        <v>157</v>
      </c>
      <c r="O160" s="108" t="str">
        <f>IF(INVOICE!$N$16="MANUAL",IF(B160&lt;&gt;"",C160,""),IF(INVOICE!$N$16="AUTOMATE",IF(A160&lt;&gt;"",C160,""),""))</f>
        <v/>
      </c>
      <c r="AO160" s="108">
        <f>IF(INVOICE!$N$16="MANUAL",IFERROR(AM160*B160,""),IF(INVOICE!$N$16="AUTOMATE",IFERROR(AM160*A160,""),""))</f>
        <v>0</v>
      </c>
      <c r="AT160" s="108" t="str">
        <f t="shared" si="19"/>
        <v/>
      </c>
      <c r="AV160" s="108" t="str">
        <f t="shared" si="20"/>
        <v/>
      </c>
    </row>
    <row r="161" spans="1:48">
      <c r="D161" s="324"/>
      <c r="E161" s="324"/>
      <c r="F161" s="229">
        <f t="shared" si="10"/>
        <v>0</v>
      </c>
      <c r="G161" s="229">
        <f>IFERROR(ROUNDUP(F161*INVOICE!$O$6,2),0)</f>
        <v>0</v>
      </c>
      <c r="H161" s="229">
        <f t="shared" si="11"/>
        <v>0</v>
      </c>
      <c r="I161" s="229">
        <f>IFERROR(ROUNDUP(H161*INVOICE!$O$6,2),0)</f>
        <v>0</v>
      </c>
      <c r="J161" s="108" t="str">
        <f t="shared" si="28"/>
        <v/>
      </c>
      <c r="L161" s="108" t="str">
        <f t="shared" si="27"/>
        <v/>
      </c>
      <c r="N161" s="108">
        <v>158</v>
      </c>
      <c r="O161" s="108" t="str">
        <f>IF(INVOICE!$N$16="MANUAL",IF(B161&lt;&gt;"",C161,""),IF(INVOICE!$N$16="AUTOMATE",IF(A161&lt;&gt;"",C161,""),""))</f>
        <v/>
      </c>
      <c r="AO161" s="108">
        <f>IF(INVOICE!$N$16="MANUAL",IFERROR(AM161*B161,""),IF(INVOICE!$N$16="AUTOMATE",IFERROR(AM161*A161,""),""))</f>
        <v>0</v>
      </c>
      <c r="AT161" s="108" t="str">
        <f t="shared" si="19"/>
        <v/>
      </c>
      <c r="AV161" s="108" t="str">
        <f t="shared" si="20"/>
        <v/>
      </c>
    </row>
    <row r="162" spans="1:48">
      <c r="C162" s="251" t="s">
        <v>1900</v>
      </c>
      <c r="D162" s="325"/>
      <c r="E162" s="325"/>
      <c r="F162" s="239">
        <f t="shared" si="10"/>
        <v>0</v>
      </c>
      <c r="G162" s="239">
        <f>IFERROR(ROUNDUP(F162*INVOICE!$O$6,2),0)</f>
        <v>0</v>
      </c>
      <c r="H162" s="239">
        <f t="shared" si="11"/>
        <v>0</v>
      </c>
      <c r="I162" s="239">
        <f>IFERROR(ROUNDUP(H162*INVOICE!$O$6,2),0)</f>
        <v>0</v>
      </c>
      <c r="J162" s="108" t="str">
        <f t="shared" si="28"/>
        <v/>
      </c>
      <c r="L162" s="108" t="str">
        <f t="shared" si="27"/>
        <v/>
      </c>
      <c r="N162" s="108">
        <v>159</v>
      </c>
      <c r="O162" s="108" t="str">
        <f>IF(INVOICE!$N$16="MANUAL",IF(B162&lt;&gt;"",C162,""),IF(INVOICE!$N$16="AUTOMATE",IF(A162&lt;&gt;"",C162,""),""))</f>
        <v/>
      </c>
      <c r="AO162" s="108">
        <f>IF(INVOICE!$N$16="MANUAL",IFERROR(AM162*B162,""),IF(INVOICE!$N$16="AUTOMATE",IFERROR(AM162*A162,""),""))</f>
        <v>0</v>
      </c>
      <c r="AT162" s="108" t="str">
        <f t="shared" si="19"/>
        <v/>
      </c>
      <c r="AV162" s="108" t="str">
        <f t="shared" si="20"/>
        <v/>
      </c>
    </row>
    <row r="163" spans="1:48">
      <c r="A163" s="108" t="str">
        <f>IF(AND('Customer Base'!D7="Grid-Tied",'Customer Base'!D34="Yes",OR('Customer Base'!E34=0,'Customer Base'!E34=""),AND(INVOICE!O10&gt;0,INVOICE!O10&lt;500)),1,"")</f>
        <v/>
      </c>
      <c r="C163" s="355" t="s">
        <v>1639</v>
      </c>
      <c r="D163" s="335">
        <v>1430</v>
      </c>
      <c r="E163" s="335">
        <v>1430</v>
      </c>
      <c r="F163" s="268">
        <f t="shared" si="10"/>
        <v>1173.0926989335519</v>
      </c>
      <c r="G163" s="268">
        <f>IFERROR(ROUNDUP(F163*INVOICE!$O$6,2),0)</f>
        <v>19590.649999999998</v>
      </c>
      <c r="H163" s="268">
        <f t="shared" si="11"/>
        <v>1173.0926989335519</v>
      </c>
      <c r="I163" s="268">
        <f>IFERROR(ROUNDUP(H163*INVOICE!$O$6,2),0)</f>
        <v>19590.649999999998</v>
      </c>
      <c r="J163" s="108" t="str">
        <f t="shared" si="28"/>
        <v/>
      </c>
      <c r="L163" s="108" t="str">
        <f t="shared" si="27"/>
        <v/>
      </c>
      <c r="N163" s="108">
        <v>160</v>
      </c>
      <c r="O163" s="108" t="str">
        <f>IF(INVOICE!$N$16="MANUAL",IF(B163&lt;&gt;"",C163,""),IF(INVOICE!$N$16="AUTOMATE",IF(A163&lt;&gt;"",C163,""),""))</f>
        <v/>
      </c>
      <c r="AO163" s="108" t="str">
        <f>IF(INVOICE!$N$16="MANUAL",IFERROR(AM163*B163,""),IF(INVOICE!$N$16="AUTOMATE",IFERROR(AM163*A163,""),""))</f>
        <v/>
      </c>
      <c r="AT163" s="108" t="str">
        <f t="shared" si="19"/>
        <v/>
      </c>
      <c r="AV163" s="108" t="str">
        <f t="shared" si="20"/>
        <v/>
      </c>
    </row>
    <row r="164" spans="1:48">
      <c r="A164" s="108" t="str">
        <f>IF(AND('Customer Base'!D7="Grid-Tied",'Customer Base'!D34="Yes",OR('Customer Base'!E34=0,'Customer Base'!E34=""),AND(INVOICE!O10&gt;500,INVOICE!O10&lt;=1000)),1,"")</f>
        <v/>
      </c>
      <c r="C164" s="355" t="s">
        <v>1640</v>
      </c>
      <c r="D164" s="335">
        <v>1980</v>
      </c>
      <c r="E164" s="335">
        <v>1980</v>
      </c>
      <c r="F164" s="268">
        <f t="shared" si="10"/>
        <v>1624.2821985233797</v>
      </c>
      <c r="G164" s="268">
        <f>IFERROR(ROUNDUP(F164*INVOICE!$O$6,2),0)</f>
        <v>27125.519999999997</v>
      </c>
      <c r="H164" s="268">
        <f t="shared" si="11"/>
        <v>1624.2821985233797</v>
      </c>
      <c r="I164" s="268">
        <f>IFERROR(ROUNDUP(H164*INVOICE!$O$6,2),0)</f>
        <v>27125.519999999997</v>
      </c>
      <c r="J164" s="108" t="str">
        <f t="shared" si="28"/>
        <v/>
      </c>
      <c r="L164" s="108" t="str">
        <f t="shared" si="27"/>
        <v/>
      </c>
      <c r="N164" s="108">
        <v>161</v>
      </c>
      <c r="O164" s="108" t="str">
        <f>IF(INVOICE!$N$16="MANUAL",IF(B164&lt;&gt;"",C164,""),IF(INVOICE!$N$16="AUTOMATE",IF(A164&lt;&gt;"",C164,""),""))</f>
        <v/>
      </c>
      <c r="AO164" s="108" t="str">
        <f>IF(INVOICE!$N$16="MANUAL",IFERROR(AM164*B164,""),IF(INVOICE!$N$16="AUTOMATE",IFERROR(AM164*A164,""),""))</f>
        <v/>
      </c>
      <c r="AT164" s="108" t="str">
        <f t="shared" si="19"/>
        <v/>
      </c>
      <c r="AV164" s="108" t="str">
        <f t="shared" si="20"/>
        <v/>
      </c>
    </row>
    <row r="165" spans="1:48">
      <c r="A165" s="108" t="str">
        <f>IF(AND('Customer Base'!D7="Grid-Tied",'Customer Base'!D34="Yes",OR('Customer Base'!E34=0,'Customer Base'!E34=""),AND(INVOICE!O10&gt;1000,INVOICE!O10&lt;=3000)),1,"")</f>
        <v/>
      </c>
      <c r="C165" s="355" t="s">
        <v>1641</v>
      </c>
      <c r="D165" s="335">
        <v>3960</v>
      </c>
      <c r="E165" s="335">
        <v>3960</v>
      </c>
      <c r="F165" s="268">
        <f t="shared" si="10"/>
        <v>3248.5643970467595</v>
      </c>
      <c r="G165" s="268">
        <f>IFERROR(ROUNDUP(F165*INVOICE!$O$6,2),0)</f>
        <v>54251.03</v>
      </c>
      <c r="H165" s="268">
        <f t="shared" si="11"/>
        <v>3248.5643970467595</v>
      </c>
      <c r="I165" s="268">
        <f>IFERROR(ROUNDUP(H165*INVOICE!$O$6,2),0)</f>
        <v>54251.03</v>
      </c>
      <c r="J165" s="108" t="str">
        <f t="shared" si="28"/>
        <v/>
      </c>
      <c r="L165" s="108" t="str">
        <f t="shared" si="27"/>
        <v/>
      </c>
      <c r="N165" s="108">
        <v>162</v>
      </c>
      <c r="O165" s="108" t="str">
        <f>IF(INVOICE!$N$16="MANUAL",IF(B165&lt;&gt;"",C165,""),IF(INVOICE!$N$16="AUTOMATE",IF(A165&lt;&gt;"",C165,""),""))</f>
        <v/>
      </c>
      <c r="AO165" s="108" t="str">
        <f>IF(INVOICE!$N$16="MANUAL",IFERROR(AM165*B165,""),IF(INVOICE!$N$16="AUTOMATE",IFERROR(AM165*A165,""),""))</f>
        <v/>
      </c>
      <c r="AT165" s="108" t="str">
        <f t="shared" ref="AT165:AT202" si="29">IF(AND(AR165=$AY$1,$AZ$1=AN165),BA$1,"")</f>
        <v/>
      </c>
      <c r="AV165" s="108" t="str">
        <f t="shared" si="20"/>
        <v/>
      </c>
    </row>
    <row r="166" spans="1:48">
      <c r="A166" s="108" t="str">
        <f>IF(AND('Customer Base'!D7="Grid-Tied",'Customer Base'!D34="Yes",'Customer Base'!E34=1,AND(INVOICE!O10&gt;0,INVOICE!O10&lt;300)),1,"")</f>
        <v/>
      </c>
      <c r="C166" s="355" t="s">
        <v>1638</v>
      </c>
      <c r="D166" s="335">
        <v>4180</v>
      </c>
      <c r="E166" s="335">
        <v>4180</v>
      </c>
      <c r="F166" s="268">
        <f t="shared" si="10"/>
        <v>3429.0401968826905</v>
      </c>
      <c r="G166" s="268">
        <f>IFERROR(ROUNDUP(F166*INVOICE!$O$6,2),0)</f>
        <v>57264.98</v>
      </c>
      <c r="H166" s="268">
        <f t="shared" si="11"/>
        <v>3429.0401968826905</v>
      </c>
      <c r="I166" s="268">
        <f>IFERROR(ROUNDUP(H166*INVOICE!$O$6,2),0)</f>
        <v>57264.98</v>
      </c>
      <c r="J166" s="108" t="str">
        <f t="shared" si="28"/>
        <v/>
      </c>
      <c r="L166" s="108" t="str">
        <f t="shared" ref="L166:L197" si="30">IF(H166&gt;F166,"lkkajdfkj","")</f>
        <v/>
      </c>
      <c r="N166" s="108">
        <v>163</v>
      </c>
      <c r="O166" s="108" t="str">
        <f>IF(INVOICE!$N$16="MANUAL",IF(B166&lt;&gt;"",C166,""),IF(INVOICE!$N$16="AUTOMATE",IF(A166&lt;&gt;"",C166,""),""))</f>
        <v/>
      </c>
      <c r="AO166" s="108" t="str">
        <f>IF(INVOICE!$N$16="MANUAL",IFERROR(AM166*B166,""),IF(INVOICE!$N$16="AUTOMATE",IFERROR(AM166*A166,""),""))</f>
        <v/>
      </c>
      <c r="AT166" s="108" t="str">
        <f t="shared" si="29"/>
        <v/>
      </c>
      <c r="AV166" s="108" t="str">
        <f t="shared" ref="AV166:AV202" si="31">IF(AU166&lt;&gt;"",AU166,AT166)</f>
        <v/>
      </c>
    </row>
    <row r="167" spans="1:48">
      <c r="A167" s="108" t="str">
        <f>IF(AND('Customer Base'!D7="Grid-Tied",'Customer Base'!D34="Yes",AND('Customer Base'!E34&gt;1,'Customer Base'!E34&lt;=4),AND(INVOICE!O10&gt;0,INVOICE!O10&lt;300)),1,"")</f>
        <v/>
      </c>
      <c r="C167" s="355" t="s">
        <v>1642</v>
      </c>
      <c r="D167" s="335">
        <v>5500</v>
      </c>
      <c r="E167" s="335">
        <v>5500</v>
      </c>
      <c r="F167" s="268">
        <f t="shared" si="10"/>
        <v>4511.8949958982766</v>
      </c>
      <c r="G167" s="268">
        <f>IFERROR(ROUNDUP(F167*INVOICE!$O$6,2),0)</f>
        <v>75348.649999999994</v>
      </c>
      <c r="H167" s="268">
        <f t="shared" si="11"/>
        <v>4511.8949958982766</v>
      </c>
      <c r="I167" s="268">
        <f>IFERROR(ROUNDUP(H167*INVOICE!$O$6,2),0)</f>
        <v>75348.649999999994</v>
      </c>
      <c r="J167" s="108" t="str">
        <f t="shared" si="28"/>
        <v/>
      </c>
      <c r="L167" s="108" t="str">
        <f t="shared" si="30"/>
        <v/>
      </c>
      <c r="N167" s="108">
        <v>164</v>
      </c>
      <c r="O167" s="108" t="str">
        <f>IF(INVOICE!$N$16="MANUAL",IF(B167&lt;&gt;"",C167,""),IF(INVOICE!$N$16="AUTOMATE",IF(A167&lt;&gt;"",C167,""),""))</f>
        <v/>
      </c>
      <c r="AO167" s="108" t="str">
        <f>IF(INVOICE!$N$16="MANUAL",IFERROR(AM167*B167,""),IF(INVOICE!$N$16="AUTOMATE",IFERROR(AM167*A167,""),""))</f>
        <v/>
      </c>
      <c r="AT167" s="108" t="str">
        <f t="shared" si="29"/>
        <v/>
      </c>
      <c r="AV167" s="108" t="str">
        <f t="shared" si="31"/>
        <v/>
      </c>
    </row>
    <row r="168" spans="1:48">
      <c r="A168" s="108" t="str">
        <f>IF(AND('Customer Base'!D7="Grid-Tied",'Customer Base'!D34="Yes",'Customer Base'!E34&gt;1,AND(INVOICE!O10&gt;0,INVOICE!O10&lt;500)),1,"")</f>
        <v/>
      </c>
      <c r="C168" s="355" t="s">
        <v>1643</v>
      </c>
      <c r="D168" s="335">
        <v>12100</v>
      </c>
      <c r="E168" s="335">
        <v>12100</v>
      </c>
      <c r="F168" s="268">
        <f t="shared" si="10"/>
        <v>9926.1689909762099</v>
      </c>
      <c r="G168" s="268">
        <f>IFERROR(ROUNDUP(F168*INVOICE!$O$6,2),0)</f>
        <v>165767.03</v>
      </c>
      <c r="H168" s="268">
        <f t="shared" si="11"/>
        <v>9926.1689909762099</v>
      </c>
      <c r="I168" s="268">
        <f>IFERROR(ROUNDUP(H168*INVOICE!$O$6,2),0)</f>
        <v>165767.03</v>
      </c>
      <c r="J168" s="108" t="str">
        <f t="shared" si="28"/>
        <v/>
      </c>
      <c r="L168" s="108" t="str">
        <f t="shared" si="30"/>
        <v/>
      </c>
      <c r="N168" s="108">
        <v>165</v>
      </c>
      <c r="O168" s="108" t="str">
        <f>IF(INVOICE!$N$16="MANUAL",IF(B168&lt;&gt;"",C168,""),IF(INVOICE!$N$16="AUTOMATE",IF(A168&lt;&gt;"",C168,""),""))</f>
        <v/>
      </c>
      <c r="AO168" s="108" t="str">
        <f>IF(INVOICE!$N$16="MANUAL",IFERROR(AM168*B168,""),IF(INVOICE!$N$16="AUTOMATE",IFERROR(AM168*A168,""),""))</f>
        <v/>
      </c>
      <c r="AT168" s="108" t="str">
        <f t="shared" si="29"/>
        <v/>
      </c>
      <c r="AV168" s="108" t="str">
        <f t="shared" si="31"/>
        <v/>
      </c>
    </row>
    <row r="169" spans="1:48">
      <c r="A169" s="108" t="str">
        <f>IF(AND('Customer Base'!D7="Grid-Tied",'Customer Base'!D34="Yes",'Customer Base'!E34&gt;0,AND(INVOICE!O10&gt;500,INVOICE!O10&lt;1000)),1,"")</f>
        <v/>
      </c>
      <c r="C169" s="355" t="s">
        <v>1645</v>
      </c>
      <c r="D169" s="335">
        <v>20900</v>
      </c>
      <c r="E169" s="335">
        <v>20900</v>
      </c>
      <c r="F169" s="268">
        <f t="shared" si="10"/>
        <v>17145.200984413452</v>
      </c>
      <c r="G169" s="268">
        <f>IFERROR(ROUNDUP(F169*INVOICE!$O$6,2),0)</f>
        <v>286324.86</v>
      </c>
      <c r="H169" s="268">
        <f t="shared" si="11"/>
        <v>17145.200984413452</v>
      </c>
      <c r="I169" s="268">
        <f>IFERROR(ROUNDUP(H169*INVOICE!$O$6,2),0)</f>
        <v>286324.86</v>
      </c>
      <c r="J169" s="108" t="str">
        <f t="shared" si="28"/>
        <v/>
      </c>
      <c r="L169" s="108" t="str">
        <f t="shared" si="30"/>
        <v/>
      </c>
      <c r="N169" s="108">
        <v>166</v>
      </c>
      <c r="O169" s="108" t="str">
        <f>IF(INVOICE!$N$16="MANUAL",IF(B169&lt;&gt;"",C169,""),IF(INVOICE!$N$16="AUTOMATE",IF(A169&lt;&gt;"",C169,""),""))</f>
        <v/>
      </c>
      <c r="AO169" s="108" t="str">
        <f>IF(INVOICE!$N$16="MANUAL",IFERROR(AM169*B169,""),IF(INVOICE!$N$16="AUTOMATE",IFERROR(AM169*A169,""),""))</f>
        <v/>
      </c>
      <c r="AT169" s="108" t="str">
        <f t="shared" si="29"/>
        <v/>
      </c>
      <c r="AV169" s="108" t="str">
        <f t="shared" si="31"/>
        <v/>
      </c>
    </row>
    <row r="170" spans="1:48">
      <c r="A170" s="108" t="str">
        <f>IF(AND('Customer Base'!D7="Grid-Tied",'Customer Base'!D34="Yes",'Customer Base'!E34&gt;0,AND(INVOICE!O10&gt;1000,INVOICE!O10&lt;3000)),1,"")</f>
        <v/>
      </c>
      <c r="C170" s="355" t="s">
        <v>1644</v>
      </c>
      <c r="D170" s="335">
        <v>33000</v>
      </c>
      <c r="E170" s="335">
        <v>33000</v>
      </c>
      <c r="F170" s="268">
        <f t="shared" si="10"/>
        <v>27071.369975389662</v>
      </c>
      <c r="G170" s="268">
        <f>IFERROR(ROUNDUP(F170*INVOICE!$O$6,2),0)</f>
        <v>452091.88</v>
      </c>
      <c r="H170" s="268">
        <f t="shared" si="11"/>
        <v>27071.369975389662</v>
      </c>
      <c r="I170" s="268">
        <f>IFERROR(ROUNDUP(H170*INVOICE!$O$6,2),0)</f>
        <v>452091.88</v>
      </c>
      <c r="J170" s="108" t="str">
        <f t="shared" si="28"/>
        <v/>
      </c>
      <c r="L170" s="108" t="str">
        <f t="shared" si="30"/>
        <v/>
      </c>
      <c r="N170" s="108">
        <v>167</v>
      </c>
      <c r="O170" s="108" t="str">
        <f>IF(INVOICE!$N$16="MANUAL",IF(B170&lt;&gt;"",C170,""),IF(INVOICE!$N$16="AUTOMATE",IF(A170&lt;&gt;"",C170,""),""))</f>
        <v/>
      </c>
      <c r="AO170" s="108" t="str">
        <f>IF(INVOICE!$N$16="MANUAL",IFERROR(AM170*B170,""),IF(INVOICE!$N$16="AUTOMATE",IFERROR(AM170*A170,""),""))</f>
        <v/>
      </c>
      <c r="AT170" s="108" t="str">
        <f t="shared" si="29"/>
        <v/>
      </c>
      <c r="AV170" s="108" t="str">
        <f t="shared" si="31"/>
        <v/>
      </c>
    </row>
    <row r="171" spans="1:48">
      <c r="C171" s="355" t="s">
        <v>1646</v>
      </c>
      <c r="D171" s="335">
        <v>7700</v>
      </c>
      <c r="E171" s="335">
        <v>7700</v>
      </c>
      <c r="F171" s="268">
        <f t="shared" si="10"/>
        <v>6316.652994257588</v>
      </c>
      <c r="G171" s="268">
        <f>IFERROR(ROUNDUP(F171*INVOICE!$O$6,2),0)</f>
        <v>105488.11</v>
      </c>
      <c r="H171" s="268">
        <f t="shared" si="11"/>
        <v>6316.652994257588</v>
      </c>
      <c r="I171" s="268">
        <f>IFERROR(ROUNDUP(H171*INVOICE!$O$6,2),0)</f>
        <v>105488.11</v>
      </c>
      <c r="J171" s="108" t="str">
        <f t="shared" si="28"/>
        <v/>
      </c>
      <c r="L171" s="108" t="str">
        <f t="shared" si="30"/>
        <v/>
      </c>
      <c r="N171" s="108">
        <v>168</v>
      </c>
      <c r="O171" s="108" t="str">
        <f>IF(INVOICE!$N$16="MANUAL",IF(B171&lt;&gt;"",C171,""),IF(INVOICE!$N$16="AUTOMATE",IF(A171&lt;&gt;"",C171,""),""))</f>
        <v/>
      </c>
      <c r="AO171" s="108">
        <f>IF(INVOICE!$N$16="MANUAL",IFERROR(AM171*B171,""),IF(INVOICE!$N$16="AUTOMATE",IFERROR(AM171*A171,""),""))</f>
        <v>0</v>
      </c>
      <c r="AT171" s="108" t="str">
        <f t="shared" si="29"/>
        <v/>
      </c>
      <c r="AV171" s="108" t="str">
        <f t="shared" si="31"/>
        <v/>
      </c>
    </row>
    <row r="172" spans="1:48">
      <c r="C172" s="355" t="s">
        <v>1647</v>
      </c>
      <c r="D172" s="335">
        <v>11000</v>
      </c>
      <c r="E172" s="335">
        <v>11000</v>
      </c>
      <c r="F172" s="268">
        <f t="shared" si="10"/>
        <v>9023.7899917965533</v>
      </c>
      <c r="G172" s="268">
        <f>IFERROR(ROUNDUP(F172*INVOICE!$O$6,2),0)</f>
        <v>150697.30000000002</v>
      </c>
      <c r="H172" s="268">
        <f t="shared" si="11"/>
        <v>9023.7899917965533</v>
      </c>
      <c r="I172" s="268">
        <f>IFERROR(ROUNDUP(H172*INVOICE!$O$6,2),0)</f>
        <v>150697.30000000002</v>
      </c>
      <c r="J172" s="108" t="str">
        <f t="shared" si="28"/>
        <v/>
      </c>
      <c r="L172" s="108" t="str">
        <f t="shared" si="30"/>
        <v/>
      </c>
      <c r="N172" s="108">
        <v>169</v>
      </c>
      <c r="O172" s="108" t="str">
        <f>IF(INVOICE!$N$16="MANUAL",IF(B172&lt;&gt;"",C172,""),IF(INVOICE!$N$16="AUTOMATE",IF(A172&lt;&gt;"",C172,""),""))</f>
        <v/>
      </c>
      <c r="AO172" s="108">
        <f>IF(INVOICE!$N$16="MANUAL",IFERROR(AM172*B172,""),IF(INVOICE!$N$16="AUTOMATE",IFERROR(AM172*A172,""),""))</f>
        <v>0</v>
      </c>
      <c r="AT172" s="108" t="str">
        <f t="shared" si="29"/>
        <v/>
      </c>
      <c r="AV172" s="108" t="str">
        <f t="shared" si="31"/>
        <v/>
      </c>
    </row>
    <row r="173" spans="1:48">
      <c r="C173" s="355" t="s">
        <v>1648</v>
      </c>
      <c r="D173" s="335">
        <v>17600</v>
      </c>
      <c r="E173" s="335">
        <v>17600</v>
      </c>
      <c r="F173" s="268">
        <f t="shared" si="10"/>
        <v>14438.063986874486</v>
      </c>
      <c r="G173" s="268">
        <f>IFERROR(ROUNDUP(F173*INVOICE!$O$6,2),0)</f>
        <v>241115.67</v>
      </c>
      <c r="H173" s="268">
        <f t="shared" si="11"/>
        <v>14438.063986874486</v>
      </c>
      <c r="I173" s="268">
        <f>IFERROR(ROUNDUP(H173*INVOICE!$O$6,2),0)</f>
        <v>241115.67</v>
      </c>
      <c r="J173" s="108" t="str">
        <f t="shared" ref="J173:J206" si="32">IF(D173&lt;&gt;"",IF(D173&lt;E173,"lkdfjk",""),"")</f>
        <v/>
      </c>
      <c r="L173" s="108" t="str">
        <f t="shared" si="30"/>
        <v/>
      </c>
      <c r="N173" s="108">
        <v>170</v>
      </c>
      <c r="O173" s="108" t="str">
        <f>IF(INVOICE!$N$16="MANUAL",IF(B173&lt;&gt;"",C173,""),IF(INVOICE!$N$16="AUTOMATE",IF(A173&lt;&gt;"",C173,""),""))</f>
        <v/>
      </c>
      <c r="AO173" s="108">
        <f>IF(INVOICE!$N$16="MANUAL",IFERROR(AM173*B173,""),IF(INVOICE!$N$16="AUTOMATE",IFERROR(AM173*A173,""),""))</f>
        <v>0</v>
      </c>
      <c r="AT173" s="108" t="str">
        <f t="shared" si="29"/>
        <v/>
      </c>
      <c r="AV173" s="108" t="str">
        <f t="shared" si="31"/>
        <v/>
      </c>
    </row>
    <row r="174" spans="1:48">
      <c r="C174" s="355" t="s">
        <v>1649</v>
      </c>
      <c r="D174" s="335">
        <v>33000</v>
      </c>
      <c r="E174" s="335">
        <v>33000</v>
      </c>
      <c r="F174" s="268">
        <f t="shared" si="10"/>
        <v>27071.369975389662</v>
      </c>
      <c r="G174" s="268">
        <f>IFERROR(ROUNDUP(F174*INVOICE!$O$6,2),0)</f>
        <v>452091.88</v>
      </c>
      <c r="H174" s="268">
        <f t="shared" si="11"/>
        <v>27071.369975389662</v>
      </c>
      <c r="I174" s="268">
        <f>IFERROR(ROUNDUP(H174*INVOICE!$O$6,2),0)</f>
        <v>452091.88</v>
      </c>
      <c r="J174" s="108" t="str">
        <f t="shared" si="32"/>
        <v/>
      </c>
      <c r="L174" s="108" t="str">
        <f t="shared" si="30"/>
        <v/>
      </c>
      <c r="N174" s="108">
        <v>171</v>
      </c>
      <c r="O174" s="108" t="str">
        <f>IF(INVOICE!$N$16="MANUAL",IF(B174&lt;&gt;"",C174,""),IF(INVOICE!$N$16="AUTOMATE",IF(A174&lt;&gt;"",C174,""),""))</f>
        <v/>
      </c>
      <c r="AO174" s="108">
        <f>IF(INVOICE!$N$16="MANUAL",IFERROR(AM174*B174,""),IF(INVOICE!$N$16="AUTOMATE",IFERROR(AM174*A174,""),""))</f>
        <v>0</v>
      </c>
      <c r="AT174" s="108" t="str">
        <f t="shared" si="29"/>
        <v/>
      </c>
      <c r="AV174" s="108" t="str">
        <f t="shared" si="31"/>
        <v/>
      </c>
    </row>
    <row r="175" spans="1:48">
      <c r="C175" s="231"/>
      <c r="D175" s="324"/>
      <c r="E175" s="324"/>
      <c r="F175" s="229">
        <f t="shared" si="10"/>
        <v>0</v>
      </c>
      <c r="G175" s="229">
        <f>IFERROR(ROUNDUP(F175*INVOICE!$O$6,2),0)</f>
        <v>0</v>
      </c>
      <c r="H175" s="229">
        <f t="shared" si="11"/>
        <v>0</v>
      </c>
      <c r="I175" s="229">
        <f>IFERROR(ROUNDUP(H175*INVOICE!$O$6,2),0)</f>
        <v>0</v>
      </c>
      <c r="J175" s="108" t="str">
        <f t="shared" si="32"/>
        <v/>
      </c>
      <c r="L175" s="108" t="str">
        <f t="shared" si="30"/>
        <v/>
      </c>
      <c r="N175" s="108">
        <v>172</v>
      </c>
      <c r="O175" s="108" t="str">
        <f>IF(INVOICE!$N$16="MANUAL",IF(B175&lt;&gt;"",C175,""),IF(INVOICE!$N$16="AUTOMATE",IF(A175&lt;&gt;"",C175,""),""))</f>
        <v/>
      </c>
      <c r="AO175" s="108">
        <f>IF(INVOICE!$N$16="MANUAL",IFERROR(AM175*B175,""),IF(INVOICE!$N$16="AUTOMATE",IFERROR(AM175*A175,""),""))</f>
        <v>0</v>
      </c>
      <c r="AT175" s="108" t="str">
        <f t="shared" si="29"/>
        <v/>
      </c>
      <c r="AV175" s="108" t="str">
        <f t="shared" si="31"/>
        <v/>
      </c>
    </row>
    <row r="176" spans="1:48">
      <c r="A176" s="108" t="str">
        <f>IF(SUM(A163:A174)&gt;=1,1,"")</f>
        <v/>
      </c>
      <c r="C176" s="355" t="s">
        <v>1256</v>
      </c>
      <c r="D176" s="335">
        <v>130</v>
      </c>
      <c r="E176" s="335">
        <v>130</v>
      </c>
      <c r="F176" s="268">
        <f t="shared" si="10"/>
        <v>106.6447908121411</v>
      </c>
      <c r="G176" s="268">
        <f>IFERROR(ROUNDUP(F176*INVOICE!$O$6,2),0)</f>
        <v>1780.97</v>
      </c>
      <c r="H176" s="268">
        <f t="shared" si="11"/>
        <v>106.6447908121411</v>
      </c>
      <c r="I176" s="268">
        <f>IFERROR(ROUNDUP(H176*INVOICE!$O$6,2),0)</f>
        <v>1780.97</v>
      </c>
      <c r="J176" s="108" t="str">
        <f t="shared" si="32"/>
        <v/>
      </c>
      <c r="L176" s="108" t="str">
        <f t="shared" si="30"/>
        <v/>
      </c>
      <c r="N176" s="108">
        <v>173</v>
      </c>
      <c r="O176" s="108" t="str">
        <f>IF(INVOICE!$N$16="MANUAL",IF(B176&lt;&gt;"",C176,""),IF(INVOICE!$N$16="AUTOMATE",IF(A176&lt;&gt;"",C176,""),""))</f>
        <v/>
      </c>
      <c r="AO176" s="108" t="str">
        <f>IF(INVOICE!$N$16="MANUAL",IFERROR(AM176*B176,""),IF(INVOICE!$N$16="AUTOMATE",IFERROR(AM176*A176,""),""))</f>
        <v/>
      </c>
      <c r="AT176" s="108" t="str">
        <f t="shared" si="29"/>
        <v/>
      </c>
      <c r="AV176" s="108" t="str">
        <f t="shared" si="31"/>
        <v/>
      </c>
    </row>
    <row r="177" spans="1:48">
      <c r="A177" s="108" t="str">
        <f>IF(SUM(A163:A174)&gt;=1,1,"")</f>
        <v/>
      </c>
      <c r="C177" s="355" t="s">
        <v>1169</v>
      </c>
      <c r="D177" s="335">
        <v>390</v>
      </c>
      <c r="E177" s="335">
        <v>390</v>
      </c>
      <c r="F177" s="268">
        <f t="shared" si="10"/>
        <v>319.9343724364233</v>
      </c>
      <c r="G177" s="268">
        <f>IFERROR(ROUNDUP(F177*INVOICE!$O$6,2),0)</f>
        <v>5342.91</v>
      </c>
      <c r="H177" s="268">
        <f t="shared" si="11"/>
        <v>319.9343724364233</v>
      </c>
      <c r="I177" s="268">
        <f>IFERROR(ROUNDUP(H177*INVOICE!$O$6,2),0)</f>
        <v>5342.91</v>
      </c>
      <c r="J177" s="108" t="str">
        <f t="shared" si="32"/>
        <v/>
      </c>
      <c r="L177" s="108" t="str">
        <f t="shared" si="30"/>
        <v/>
      </c>
      <c r="N177" s="108">
        <v>174</v>
      </c>
      <c r="O177" s="108" t="str">
        <f>IF(INVOICE!$N$16="MANUAL",IF(B177&lt;&gt;"",C177,""),IF(INVOICE!$N$16="AUTOMATE",IF(A177&lt;&gt;"",C177,""),""))</f>
        <v/>
      </c>
      <c r="AO177" s="108" t="str">
        <f>IF(INVOICE!$N$16="MANUAL",IFERROR(AM177*B177,""),IF(INVOICE!$N$16="AUTOMATE",IFERROR(AM177*A177,""),""))</f>
        <v/>
      </c>
      <c r="AT177" s="108" t="str">
        <f t="shared" si="29"/>
        <v/>
      </c>
      <c r="AV177" s="108" t="str">
        <f t="shared" si="31"/>
        <v/>
      </c>
    </row>
    <row r="178" spans="1:48">
      <c r="A178" s="108" t="str">
        <f>IF(SUM(A163:A174)&gt;=1,'Customer Base'!E34+1,"")</f>
        <v/>
      </c>
      <c r="C178" s="355" t="s">
        <v>1170</v>
      </c>
      <c r="D178" s="335">
        <v>429</v>
      </c>
      <c r="E178" s="335">
        <v>429</v>
      </c>
      <c r="F178" s="268">
        <f t="shared" si="10"/>
        <v>351.92780968006559</v>
      </c>
      <c r="G178" s="268">
        <f>IFERROR(ROUNDUP(F178*INVOICE!$O$6,2),0)</f>
        <v>5877.2</v>
      </c>
      <c r="H178" s="268">
        <f t="shared" si="11"/>
        <v>351.92780968006559</v>
      </c>
      <c r="I178" s="268">
        <f>IFERROR(ROUNDUP(H178*INVOICE!$O$6,2),0)</f>
        <v>5877.2</v>
      </c>
      <c r="J178" s="108" t="str">
        <f t="shared" si="32"/>
        <v/>
      </c>
      <c r="L178" s="108" t="str">
        <f t="shared" si="30"/>
        <v/>
      </c>
      <c r="N178" s="108">
        <v>175</v>
      </c>
      <c r="O178" s="108" t="str">
        <f>IF(INVOICE!$N$16="MANUAL",IF(B178&lt;&gt;"",C178,""),IF(INVOICE!$N$16="AUTOMATE",IF(A178&lt;&gt;"",C178,""),""))</f>
        <v/>
      </c>
      <c r="AO178" s="108" t="str">
        <f>IF(INVOICE!$N$16="MANUAL",IFERROR(AM178*B178,""),IF(INVOICE!$N$16="AUTOMATE",IFERROR(AM178*A178,""),""))</f>
        <v/>
      </c>
      <c r="AT178" s="108" t="str">
        <f t="shared" si="29"/>
        <v/>
      </c>
      <c r="AV178" s="108" t="str">
        <f t="shared" si="31"/>
        <v/>
      </c>
    </row>
    <row r="179" spans="1:48">
      <c r="A179" s="108" t="str">
        <f>IF(SUM(A163:A174)&gt;=1,A178*3,"")</f>
        <v/>
      </c>
      <c r="C179" s="355" t="s">
        <v>1171</v>
      </c>
      <c r="D179" s="335">
        <v>312</v>
      </c>
      <c r="E179" s="335">
        <v>312</v>
      </c>
      <c r="F179" s="268">
        <f t="shared" si="10"/>
        <v>255.94749794913861</v>
      </c>
      <c r="G179" s="268">
        <f>IFERROR(ROUNDUP(F179*INVOICE!$O$6,2),0)</f>
        <v>4274.33</v>
      </c>
      <c r="H179" s="268">
        <f t="shared" si="11"/>
        <v>255.94749794913861</v>
      </c>
      <c r="I179" s="268">
        <f>IFERROR(ROUNDUP(H179*INVOICE!$O$6,2),0)</f>
        <v>4274.33</v>
      </c>
      <c r="J179" s="108" t="str">
        <f t="shared" si="32"/>
        <v/>
      </c>
      <c r="L179" s="108" t="str">
        <f t="shared" si="30"/>
        <v/>
      </c>
      <c r="N179" s="108">
        <v>176</v>
      </c>
      <c r="O179" s="108" t="str">
        <f>IF(INVOICE!$N$16="MANUAL",IF(B179&lt;&gt;"",C179,""),IF(INVOICE!$N$16="AUTOMATE",IF(A179&lt;&gt;"",C179,""),""))</f>
        <v/>
      </c>
      <c r="AO179" s="108" t="str">
        <f>IF(INVOICE!$N$16="MANUAL",IFERROR(AM179*B179,""),IF(INVOICE!$N$16="AUTOMATE",IFERROR(AM179*A179,""),""))</f>
        <v/>
      </c>
      <c r="AT179" s="108" t="str">
        <f t="shared" si="29"/>
        <v/>
      </c>
      <c r="AV179" s="108" t="str">
        <f t="shared" si="31"/>
        <v/>
      </c>
    </row>
    <row r="180" spans="1:48">
      <c r="C180" s="231"/>
      <c r="D180" s="324"/>
      <c r="E180" s="324"/>
      <c r="F180" s="229">
        <f t="shared" si="10"/>
        <v>0</v>
      </c>
      <c r="G180" s="229">
        <f>IFERROR(ROUNDUP(F180*INVOICE!$O$6,2),0)</f>
        <v>0</v>
      </c>
      <c r="H180" s="229">
        <f t="shared" si="11"/>
        <v>0</v>
      </c>
      <c r="I180" s="229">
        <f>IFERROR(ROUNDUP(H180*INVOICE!$O$6,2),0)</f>
        <v>0</v>
      </c>
      <c r="J180" s="108" t="str">
        <f t="shared" si="32"/>
        <v/>
      </c>
      <c r="L180" s="108" t="str">
        <f t="shared" si="30"/>
        <v/>
      </c>
      <c r="N180" s="108">
        <v>177</v>
      </c>
      <c r="O180" s="108" t="str">
        <f>IF(INVOICE!$N$16="MANUAL",IF(B180&lt;&gt;"",C180,""),IF(INVOICE!$N$16="AUTOMATE",IF(A180&lt;&gt;"",C180,""),""))</f>
        <v/>
      </c>
      <c r="AO180" s="108">
        <f>IF(INVOICE!$N$16="MANUAL",IFERROR(AM180*B180,""),IF(INVOICE!$N$16="AUTOMATE",IFERROR(AM180*A180,""),""))</f>
        <v>0</v>
      </c>
      <c r="AT180" s="108" t="str">
        <f t="shared" si="29"/>
        <v/>
      </c>
      <c r="AV180" s="108" t="str">
        <f t="shared" si="31"/>
        <v/>
      </c>
    </row>
    <row r="181" spans="1:48" ht="17">
      <c r="C181" s="356" t="s">
        <v>1251</v>
      </c>
      <c r="D181" s="335">
        <v>380.96</v>
      </c>
      <c r="E181" s="335">
        <v>380.96</v>
      </c>
      <c r="F181" s="268">
        <f t="shared" si="10"/>
        <v>312.51845775225593</v>
      </c>
      <c r="G181" s="268">
        <f>IFERROR(ROUNDUP(F181*INVOICE!$O$6,2),0)</f>
        <v>5219.0600000000004</v>
      </c>
      <c r="H181" s="268">
        <f t="shared" si="11"/>
        <v>312.51845775225593</v>
      </c>
      <c r="I181" s="268">
        <f>IFERROR(ROUNDUP(H181*INVOICE!$O$6,2),0)</f>
        <v>5219.0600000000004</v>
      </c>
      <c r="J181" s="108" t="str">
        <f t="shared" si="32"/>
        <v/>
      </c>
      <c r="L181" s="108" t="str">
        <f t="shared" si="30"/>
        <v/>
      </c>
      <c r="N181" s="108">
        <v>178</v>
      </c>
      <c r="O181" s="108" t="str">
        <f>IF(INVOICE!$N$16="MANUAL",IF(B181&lt;&gt;"",C181,""),IF(INVOICE!$N$16="AUTOMATE",IF(A181&lt;&gt;"",C181,""),""))</f>
        <v/>
      </c>
      <c r="AO181" s="108">
        <f>IF(INVOICE!$N$16="MANUAL",IFERROR(AM181*B181,""),IF(INVOICE!$N$16="AUTOMATE",IFERROR(AM181*A181,""),""))</f>
        <v>0</v>
      </c>
      <c r="AT181" s="108" t="str">
        <f t="shared" si="29"/>
        <v/>
      </c>
      <c r="AV181" s="108" t="str">
        <f t="shared" si="31"/>
        <v/>
      </c>
    </row>
    <row r="182" spans="1:48">
      <c r="C182" s="355" t="s">
        <v>1252</v>
      </c>
      <c r="D182" s="335">
        <v>465.74</v>
      </c>
      <c r="E182" s="335">
        <v>465.74</v>
      </c>
      <c r="F182" s="268">
        <f t="shared" si="10"/>
        <v>382.06726825266611</v>
      </c>
      <c r="G182" s="268">
        <f>IFERROR(ROUNDUP(F182*INVOICE!$O$6,2),0)</f>
        <v>6380.5300000000007</v>
      </c>
      <c r="H182" s="268">
        <f t="shared" si="11"/>
        <v>382.06726825266611</v>
      </c>
      <c r="I182" s="268">
        <f>IFERROR(ROUNDUP(H182*INVOICE!$O$6,2),0)</f>
        <v>6380.5300000000007</v>
      </c>
      <c r="J182" s="108" t="str">
        <f t="shared" si="32"/>
        <v/>
      </c>
      <c r="L182" s="108" t="str">
        <f t="shared" si="30"/>
        <v/>
      </c>
      <c r="N182" s="108">
        <v>179</v>
      </c>
      <c r="O182" s="108" t="str">
        <f>IF(INVOICE!$N$16="MANUAL",IF(B182&lt;&gt;"",C182,""),IF(INVOICE!$N$16="AUTOMATE",IF(A182&lt;&gt;"",C182,""),""))</f>
        <v/>
      </c>
      <c r="AO182" s="108">
        <f>IF(INVOICE!$N$16="MANUAL",IFERROR(AM182*B182,""),IF(INVOICE!$N$16="AUTOMATE",IFERROR(AM182*A182,""),""))</f>
        <v>0</v>
      </c>
      <c r="AT182" s="108" t="str">
        <f t="shared" si="29"/>
        <v/>
      </c>
      <c r="AV182" s="108" t="str">
        <f t="shared" si="31"/>
        <v/>
      </c>
    </row>
    <row r="183" spans="1:48">
      <c r="C183" s="355" t="s">
        <v>1253</v>
      </c>
      <c r="D183" s="335">
        <v>613.86</v>
      </c>
      <c r="E183" s="335">
        <v>613.86</v>
      </c>
      <c r="F183" s="268">
        <f t="shared" si="10"/>
        <v>503.57670221493026</v>
      </c>
      <c r="G183" s="268">
        <f>IFERROR(ROUNDUP(F183*INVOICE!$O$6,2),0)</f>
        <v>8409.74</v>
      </c>
      <c r="H183" s="268">
        <f t="shared" si="11"/>
        <v>503.57670221493026</v>
      </c>
      <c r="I183" s="268">
        <f>IFERROR(ROUNDUP(H183*INVOICE!$O$6,2),0)</f>
        <v>8409.74</v>
      </c>
      <c r="J183" s="108" t="str">
        <f t="shared" si="32"/>
        <v/>
      </c>
      <c r="L183" s="108" t="str">
        <f t="shared" si="30"/>
        <v/>
      </c>
      <c r="N183" s="108">
        <v>180</v>
      </c>
      <c r="O183" s="108" t="str">
        <f>IF(INVOICE!$N$16="MANUAL",IF(B183&lt;&gt;"",C183,""),IF(INVOICE!$N$16="AUTOMATE",IF(A183&lt;&gt;"",C183,""),""))</f>
        <v/>
      </c>
      <c r="AO183" s="108">
        <f>IF(INVOICE!$N$16="MANUAL",IFERROR(AM183*B183,""),IF(INVOICE!$N$16="AUTOMATE",IFERROR(AM183*A183,""),""))</f>
        <v>0</v>
      </c>
      <c r="AT183" s="108" t="str">
        <f t="shared" si="29"/>
        <v/>
      </c>
      <c r="AV183" s="108" t="str">
        <f t="shared" si="31"/>
        <v/>
      </c>
    </row>
    <row r="184" spans="1:48">
      <c r="C184" s="355" t="s">
        <v>1254</v>
      </c>
      <c r="D184" s="335">
        <v>836.1</v>
      </c>
      <c r="E184" s="335">
        <v>836.1</v>
      </c>
      <c r="F184" s="268">
        <f t="shared" ref="F184:F202" si="33">$D184/1.219</f>
        <v>685.89007383100898</v>
      </c>
      <c r="G184" s="268">
        <f>IFERROR(ROUNDUP(F184*INVOICE!$O$6,2),0)</f>
        <v>11454.37</v>
      </c>
      <c r="H184" s="268">
        <f t="shared" si="11"/>
        <v>685.89007383100898</v>
      </c>
      <c r="I184" s="268">
        <f>IFERROR(ROUNDUP(H184*INVOICE!$O$6,2),0)</f>
        <v>11454.37</v>
      </c>
      <c r="J184" s="108" t="str">
        <f t="shared" si="32"/>
        <v/>
      </c>
      <c r="L184" s="108" t="str">
        <f t="shared" si="30"/>
        <v/>
      </c>
      <c r="N184" s="108">
        <v>181</v>
      </c>
      <c r="O184" s="108" t="str">
        <f>IF(INVOICE!$N$16="MANUAL",IF(B184&lt;&gt;"",C184,""),IF(INVOICE!$N$16="AUTOMATE",IF(A184&lt;&gt;"",C184,""),""))</f>
        <v/>
      </c>
      <c r="AO184" s="108">
        <f>IF(INVOICE!$N$16="MANUAL",IFERROR(AM184*B184,""),IF(INVOICE!$N$16="AUTOMATE",IFERROR(AM184*A184,""),""))</f>
        <v>0</v>
      </c>
      <c r="AT184" s="108" t="str">
        <f t="shared" si="29"/>
        <v/>
      </c>
      <c r="AV184" s="108" t="str">
        <f t="shared" si="31"/>
        <v/>
      </c>
    </row>
    <row r="185" spans="1:48">
      <c r="C185" s="355" t="s">
        <v>1255</v>
      </c>
      <c r="D185" s="335">
        <v>1270.02</v>
      </c>
      <c r="E185" s="335">
        <v>1270.02</v>
      </c>
      <c r="F185" s="268">
        <f t="shared" si="33"/>
        <v>1041.8539786710417</v>
      </c>
      <c r="G185" s="268">
        <f>IFERROR(ROUNDUP(F185*INVOICE!$O$6,2),0)</f>
        <v>17398.969999999998</v>
      </c>
      <c r="H185" s="268">
        <f t="shared" ref="H185:H202" si="34">$E185/1.219</f>
        <v>1041.8539786710417</v>
      </c>
      <c r="I185" s="268">
        <f>IFERROR(ROUNDUP(H185*INVOICE!$O$6,2),0)</f>
        <v>17398.969999999998</v>
      </c>
      <c r="J185" s="108" t="str">
        <f t="shared" si="32"/>
        <v/>
      </c>
      <c r="L185" s="108" t="str">
        <f t="shared" si="30"/>
        <v/>
      </c>
      <c r="N185" s="108">
        <v>182</v>
      </c>
      <c r="O185" s="108" t="str">
        <f>IF(INVOICE!$N$16="MANUAL",IF(B185&lt;&gt;"",C185,""),IF(INVOICE!$N$16="AUTOMATE",IF(A185&lt;&gt;"",C185,""),""))</f>
        <v/>
      </c>
      <c r="AO185" s="108">
        <f>IF(INVOICE!$N$16="MANUAL",IFERROR(AM185*B185,""),IF(INVOICE!$N$16="AUTOMATE",IFERROR(AM185*A185,""),""))</f>
        <v>0</v>
      </c>
      <c r="AT185" s="108" t="str">
        <f t="shared" si="29"/>
        <v/>
      </c>
      <c r="AV185" s="108" t="str">
        <f t="shared" si="31"/>
        <v/>
      </c>
    </row>
    <row r="186" spans="1:48">
      <c r="C186" s="355" t="s">
        <v>1844</v>
      </c>
      <c r="D186" s="335">
        <v>814</v>
      </c>
      <c r="E186" s="335">
        <v>814</v>
      </c>
      <c r="F186" s="268">
        <f t="shared" si="33"/>
        <v>667.76045939294499</v>
      </c>
      <c r="G186" s="268">
        <f>IFERROR(ROUNDUP(F186*INVOICE!$O$6,2),0)</f>
        <v>11151.6</v>
      </c>
      <c r="H186" s="268">
        <f t="shared" si="34"/>
        <v>667.76045939294499</v>
      </c>
      <c r="I186" s="268">
        <f>IFERROR(ROUNDUP(H186*INVOICE!$O$6,2),0)</f>
        <v>11151.6</v>
      </c>
      <c r="J186" s="108" t="str">
        <f t="shared" si="32"/>
        <v/>
      </c>
      <c r="L186" s="108" t="str">
        <f t="shared" si="30"/>
        <v/>
      </c>
      <c r="N186" s="108">
        <v>184</v>
      </c>
      <c r="O186" s="108" t="str">
        <f>IF(INVOICE!$N$16="MANUAL",IF(B186&lt;&gt;"",C186,""),IF(INVOICE!$N$16="AUTOMATE",IF(A186&lt;&gt;"",C186,""),""))</f>
        <v/>
      </c>
      <c r="AO186" s="108">
        <f>IF(INVOICE!$N$16="MANUAL",IFERROR(AM186*B186,""),IF(INVOICE!$N$16="AUTOMATE",IFERROR(AM186*A186,""),""))</f>
        <v>0</v>
      </c>
      <c r="AT186" s="108" t="str">
        <f t="shared" si="29"/>
        <v/>
      </c>
      <c r="AV186" s="108" t="str">
        <f t="shared" si="31"/>
        <v/>
      </c>
    </row>
    <row r="187" spans="1:48" ht="17">
      <c r="C187" s="356" t="s">
        <v>1846</v>
      </c>
      <c r="D187" s="335">
        <v>484</v>
      </c>
      <c r="E187" s="335">
        <v>484</v>
      </c>
      <c r="F187" s="268">
        <f t="shared" si="33"/>
        <v>397.04675963904839</v>
      </c>
      <c r="G187" s="268">
        <f>IFERROR(ROUNDUP(F187*INVOICE!$O$6,2),0)</f>
        <v>6630.6900000000005</v>
      </c>
      <c r="H187" s="268">
        <f t="shared" si="34"/>
        <v>397.04675963904839</v>
      </c>
      <c r="I187" s="268">
        <f>IFERROR(ROUNDUP(H187*INVOICE!$O$6,2),0)</f>
        <v>6630.6900000000005</v>
      </c>
      <c r="J187" s="108" t="str">
        <f t="shared" si="32"/>
        <v/>
      </c>
      <c r="L187" s="108" t="str">
        <f t="shared" si="30"/>
        <v/>
      </c>
      <c r="N187" s="108">
        <v>185</v>
      </c>
      <c r="O187" s="108" t="str">
        <f>IF(INVOICE!$N$16="MANUAL",IF(B187&lt;&gt;"",C187,""),IF(INVOICE!$N$16="AUTOMATE",IF(A187&lt;&gt;"",C187,""),""))</f>
        <v/>
      </c>
      <c r="AO187" s="108">
        <f>IF(INVOICE!$N$16="MANUAL",IFERROR(AM187*B187,""),IF(INVOICE!$N$16="AUTOMATE",IFERROR(AM187*A187,""),""))</f>
        <v>0</v>
      </c>
      <c r="AT187" s="108" t="str">
        <f t="shared" si="29"/>
        <v/>
      </c>
      <c r="AV187" s="108" t="str">
        <f t="shared" si="31"/>
        <v/>
      </c>
    </row>
    <row r="188" spans="1:48">
      <c r="C188" s="355" t="s">
        <v>1845</v>
      </c>
      <c r="D188" s="335">
        <v>847</v>
      </c>
      <c r="E188" s="335">
        <v>847</v>
      </c>
      <c r="F188" s="268">
        <f t="shared" si="33"/>
        <v>694.83182936833464</v>
      </c>
      <c r="G188" s="268">
        <f>IFERROR(ROUNDUP(F188*INVOICE!$O$6,2),0)</f>
        <v>11603.7</v>
      </c>
      <c r="H188" s="268">
        <f t="shared" si="34"/>
        <v>694.83182936833464</v>
      </c>
      <c r="I188" s="268">
        <f>IFERROR(ROUNDUP(H188*INVOICE!$O$6,2),0)</f>
        <v>11603.7</v>
      </c>
      <c r="J188" s="108" t="str">
        <f t="shared" si="32"/>
        <v/>
      </c>
      <c r="L188" s="108" t="str">
        <f t="shared" si="30"/>
        <v/>
      </c>
      <c r="N188" s="108">
        <v>186</v>
      </c>
      <c r="O188" s="108" t="str">
        <f>IF(INVOICE!$N$16="MANUAL",IF(B188&lt;&gt;"",C188,""),IF(INVOICE!$N$16="AUTOMATE",IF(A188&lt;&gt;"",C188,""),""))</f>
        <v/>
      </c>
      <c r="AO188" s="108">
        <f>IF(INVOICE!$N$16="MANUAL",IFERROR(AM188*B188,""),IF(INVOICE!$N$16="AUTOMATE",IFERROR(AM188*A188,""),""))</f>
        <v>0</v>
      </c>
      <c r="AT188" s="108" t="str">
        <f t="shared" si="29"/>
        <v/>
      </c>
      <c r="AV188" s="108" t="str">
        <f t="shared" si="31"/>
        <v/>
      </c>
    </row>
    <row r="189" spans="1:48">
      <c r="C189" s="355" t="s">
        <v>1847</v>
      </c>
      <c r="D189" s="335">
        <v>198</v>
      </c>
      <c r="E189" s="335">
        <v>198</v>
      </c>
      <c r="F189" s="268">
        <f t="shared" si="33"/>
        <v>162.42821985233797</v>
      </c>
      <c r="G189" s="268">
        <f>IFERROR(ROUNDUP(F189*INVOICE!$O$6,2),0)</f>
        <v>2712.5600000000004</v>
      </c>
      <c r="H189" s="268">
        <f t="shared" si="34"/>
        <v>162.42821985233797</v>
      </c>
      <c r="I189" s="268">
        <f>IFERROR(ROUNDUP(H189*INVOICE!$O$6,2),0)</f>
        <v>2712.5600000000004</v>
      </c>
      <c r="J189" s="108" t="str">
        <f t="shared" si="32"/>
        <v/>
      </c>
      <c r="L189" s="108" t="str">
        <f t="shared" si="30"/>
        <v/>
      </c>
      <c r="N189" s="108">
        <v>187</v>
      </c>
      <c r="O189" s="108" t="str">
        <f>IF(INVOICE!$N$16="MANUAL",IF(B189&lt;&gt;"",C189,""),IF(INVOICE!$N$16="AUTOMATE",IF(A189&lt;&gt;"",C189,""),""))</f>
        <v/>
      </c>
      <c r="AO189" s="108">
        <f>IF(INVOICE!$N$16="MANUAL",IFERROR(AM189*B189,""),IF(INVOICE!$N$16="AUTOMATE",IFERROR(AM189*A189,""),""))</f>
        <v>0</v>
      </c>
      <c r="AT189" s="108" t="str">
        <f t="shared" si="29"/>
        <v/>
      </c>
      <c r="AV189" s="108" t="str">
        <f t="shared" si="31"/>
        <v/>
      </c>
    </row>
    <row r="190" spans="1:48">
      <c r="C190" s="355" t="s">
        <v>1848</v>
      </c>
      <c r="D190" s="335">
        <v>770</v>
      </c>
      <c r="E190" s="335">
        <v>770</v>
      </c>
      <c r="F190" s="268">
        <f t="shared" si="33"/>
        <v>631.6652994257588</v>
      </c>
      <c r="G190" s="268">
        <f>IFERROR(ROUNDUP(F190*INVOICE!$O$6,2),0)</f>
        <v>10548.82</v>
      </c>
      <c r="H190" s="268">
        <f t="shared" si="34"/>
        <v>631.6652994257588</v>
      </c>
      <c r="I190" s="268">
        <f>IFERROR(ROUNDUP(H190*INVOICE!$O$6,2),0)</f>
        <v>10548.82</v>
      </c>
      <c r="J190" s="108" t="str">
        <f t="shared" si="32"/>
        <v/>
      </c>
      <c r="L190" s="108" t="str">
        <f t="shared" si="30"/>
        <v/>
      </c>
      <c r="N190" s="108">
        <v>188</v>
      </c>
      <c r="O190" s="108" t="str">
        <f>IF(INVOICE!$N$16="MANUAL",IF(B190&lt;&gt;"",C190,""),IF(INVOICE!$N$16="AUTOMATE",IF(A190&lt;&gt;"",C190,""),""))</f>
        <v/>
      </c>
      <c r="AO190" s="108">
        <f>IF(INVOICE!$N$16="MANUAL",IFERROR(AM190*B190,""),IF(INVOICE!$N$16="AUTOMATE",IFERROR(AM190*A190,""),""))</f>
        <v>0</v>
      </c>
      <c r="AT190" s="108" t="str">
        <f t="shared" si="29"/>
        <v/>
      </c>
      <c r="AV190" s="108" t="str">
        <f t="shared" si="31"/>
        <v/>
      </c>
    </row>
    <row r="191" spans="1:48">
      <c r="C191" s="355" t="s">
        <v>1849</v>
      </c>
      <c r="D191" s="335">
        <v>66</v>
      </c>
      <c r="E191" s="335">
        <v>66</v>
      </c>
      <c r="F191" s="268">
        <f t="shared" si="33"/>
        <v>54.142739950779323</v>
      </c>
      <c r="G191" s="268">
        <f>IFERROR(ROUNDUP(F191*INVOICE!$O$6,2),0)</f>
        <v>904.18999999999994</v>
      </c>
      <c r="H191" s="268">
        <f t="shared" si="34"/>
        <v>54.142739950779323</v>
      </c>
      <c r="I191" s="268">
        <f>IFERROR(ROUNDUP(H191*INVOICE!$O$6,2),0)</f>
        <v>904.18999999999994</v>
      </c>
      <c r="J191" s="108" t="str">
        <f t="shared" si="32"/>
        <v/>
      </c>
      <c r="L191" s="108" t="str">
        <f t="shared" si="30"/>
        <v/>
      </c>
      <c r="N191" s="108">
        <v>189</v>
      </c>
      <c r="O191" s="108" t="str">
        <f>IF(INVOICE!$N$16="MANUAL",IF(B191&lt;&gt;"",C191,""),IF(INVOICE!$N$16="AUTOMATE",IF(A191&lt;&gt;"",C191,""),""))</f>
        <v/>
      </c>
      <c r="AO191" s="108">
        <f>IF(INVOICE!$N$16="MANUAL",IFERROR(AM191*B191,""),IF(INVOICE!$N$16="AUTOMATE",IFERROR(AM191*A191,""),""))</f>
        <v>0</v>
      </c>
      <c r="AT191" s="108" t="str">
        <f t="shared" si="29"/>
        <v/>
      </c>
      <c r="AV191" s="108" t="str">
        <f t="shared" si="31"/>
        <v/>
      </c>
    </row>
    <row r="192" spans="1:48">
      <c r="C192" s="355" t="s">
        <v>1850</v>
      </c>
      <c r="D192" s="335">
        <v>66</v>
      </c>
      <c r="E192" s="335">
        <v>66</v>
      </c>
      <c r="F192" s="268">
        <f t="shared" si="33"/>
        <v>54.142739950779323</v>
      </c>
      <c r="G192" s="268">
        <f>IFERROR(ROUNDUP(F192*INVOICE!$O$6,2),0)</f>
        <v>904.18999999999994</v>
      </c>
      <c r="H192" s="268">
        <f t="shared" si="34"/>
        <v>54.142739950779323</v>
      </c>
      <c r="I192" s="268">
        <f>IFERROR(ROUNDUP(H192*INVOICE!$O$6,2),0)</f>
        <v>904.18999999999994</v>
      </c>
      <c r="J192" s="108" t="str">
        <f t="shared" si="32"/>
        <v/>
      </c>
      <c r="L192" s="108" t="str">
        <f t="shared" si="30"/>
        <v/>
      </c>
      <c r="N192" s="108">
        <v>190</v>
      </c>
      <c r="O192" s="108" t="str">
        <f>IF(INVOICE!$N$16="MANUAL",IF(B192&lt;&gt;"",C192,""),IF(INVOICE!$N$16="AUTOMATE",IF(A192&lt;&gt;"",C192,""),""))</f>
        <v/>
      </c>
      <c r="AO192" s="108">
        <f>IF(INVOICE!$N$16="MANUAL",IFERROR(AM192*B192,""),IF(INVOICE!$N$16="AUTOMATE",IFERROR(AM192*A192,""),""))</f>
        <v>0</v>
      </c>
      <c r="AT192" s="108" t="str">
        <f t="shared" si="29"/>
        <v/>
      </c>
      <c r="AV192" s="108" t="str">
        <f t="shared" si="31"/>
        <v/>
      </c>
    </row>
    <row r="193" spans="1:48">
      <c r="C193" s="355" t="s">
        <v>1851</v>
      </c>
      <c r="D193" s="335">
        <v>11000</v>
      </c>
      <c r="E193" s="335">
        <v>11000</v>
      </c>
      <c r="F193" s="268">
        <f t="shared" si="33"/>
        <v>9023.7899917965533</v>
      </c>
      <c r="G193" s="268">
        <f>IFERROR(ROUNDUP(F193*INVOICE!$O$6,2),0)</f>
        <v>150697.30000000002</v>
      </c>
      <c r="H193" s="268">
        <f t="shared" si="34"/>
        <v>9023.7899917965533</v>
      </c>
      <c r="I193" s="268">
        <f>IFERROR(ROUNDUP(H193*INVOICE!$O$6,2),0)</f>
        <v>150697.30000000002</v>
      </c>
      <c r="J193" s="108" t="str">
        <f t="shared" si="32"/>
        <v/>
      </c>
      <c r="L193" s="108" t="str">
        <f t="shared" si="30"/>
        <v/>
      </c>
      <c r="N193" s="108">
        <v>191</v>
      </c>
      <c r="O193" s="108" t="str">
        <f>IF(INVOICE!$N$16="MANUAL",IF(B193&lt;&gt;"",C193,""),IF(INVOICE!$N$16="AUTOMATE",IF(A193&lt;&gt;"",C193,""),""))</f>
        <v/>
      </c>
      <c r="AO193" s="108">
        <f>IF(INVOICE!$N$16="MANUAL",IFERROR(AM193*B193,""),IF(INVOICE!$N$16="AUTOMATE",IFERROR(AM193*A193,""),""))</f>
        <v>0</v>
      </c>
      <c r="AT193" s="108" t="str">
        <f t="shared" si="29"/>
        <v/>
      </c>
      <c r="AV193" s="108" t="str">
        <f t="shared" si="31"/>
        <v/>
      </c>
    </row>
    <row r="194" spans="1:48">
      <c r="C194" s="355" t="s">
        <v>1852</v>
      </c>
      <c r="D194" s="335">
        <v>110</v>
      </c>
      <c r="E194" s="335">
        <v>110</v>
      </c>
      <c r="F194" s="268">
        <f t="shared" si="33"/>
        <v>90.237899917965535</v>
      </c>
      <c r="G194" s="268">
        <f>IFERROR(ROUNDUP(F194*INVOICE!$O$6,2),0)</f>
        <v>1506.98</v>
      </c>
      <c r="H194" s="268">
        <f t="shared" si="34"/>
        <v>90.237899917965535</v>
      </c>
      <c r="I194" s="268">
        <f>IFERROR(ROUNDUP(H194*INVOICE!$O$6,2),0)</f>
        <v>1506.98</v>
      </c>
      <c r="J194" s="108" t="str">
        <f t="shared" si="32"/>
        <v/>
      </c>
      <c r="L194" s="108" t="str">
        <f t="shared" si="30"/>
        <v/>
      </c>
      <c r="N194" s="108">
        <v>192</v>
      </c>
      <c r="O194" s="108" t="str">
        <f>IF(INVOICE!$N$16="MANUAL",IF(B194&lt;&gt;"",C194,""),IF(INVOICE!$N$16="AUTOMATE",IF(A194&lt;&gt;"",C194,""),""))</f>
        <v/>
      </c>
      <c r="AO194" s="108">
        <f>IF(INVOICE!$N$16="MANUAL",IFERROR(AM194*B194,""),IF(INVOICE!$N$16="AUTOMATE",IFERROR(AM194*A194,""),""))</f>
        <v>0</v>
      </c>
      <c r="AT194" s="108" t="str">
        <f t="shared" si="29"/>
        <v/>
      </c>
      <c r="AV194" s="108" t="str">
        <f t="shared" si="31"/>
        <v/>
      </c>
    </row>
    <row r="195" spans="1:48">
      <c r="C195" s="355" t="s">
        <v>1853</v>
      </c>
      <c r="D195" s="335">
        <v>220</v>
      </c>
      <c r="E195" s="335">
        <v>220</v>
      </c>
      <c r="F195" s="268">
        <f t="shared" si="33"/>
        <v>180.47579983593107</v>
      </c>
      <c r="G195" s="268">
        <f>IFERROR(ROUNDUP(F195*INVOICE!$O$6,2),0)</f>
        <v>3013.9500000000003</v>
      </c>
      <c r="H195" s="268">
        <f t="shared" si="34"/>
        <v>180.47579983593107</v>
      </c>
      <c r="I195" s="268">
        <f>IFERROR(ROUNDUP(H195*INVOICE!$O$6,2),0)</f>
        <v>3013.9500000000003</v>
      </c>
      <c r="J195" s="108" t="str">
        <f t="shared" si="32"/>
        <v/>
      </c>
      <c r="L195" s="108" t="str">
        <f t="shared" si="30"/>
        <v/>
      </c>
      <c r="N195" s="108">
        <v>193</v>
      </c>
      <c r="O195" s="108" t="str">
        <f>IF(INVOICE!$N$16="MANUAL",IF(B195&lt;&gt;"",C195,""),IF(INVOICE!$N$16="AUTOMATE",IF(A195&lt;&gt;"",C195,""),""))</f>
        <v/>
      </c>
      <c r="AO195" s="108">
        <f>IF(INVOICE!$N$16="MANUAL",IFERROR(AM195*B195,""),IF(INVOICE!$N$16="AUTOMATE",IFERROR(AM195*A195,""),""))</f>
        <v>0</v>
      </c>
      <c r="AT195" s="108" t="str">
        <f t="shared" si="29"/>
        <v/>
      </c>
      <c r="AV195" s="108" t="str">
        <f t="shared" si="31"/>
        <v/>
      </c>
    </row>
    <row r="196" spans="1:48">
      <c r="C196" s="355" t="s">
        <v>1854</v>
      </c>
      <c r="D196" s="335">
        <v>1100</v>
      </c>
      <c r="E196" s="335">
        <v>1100</v>
      </c>
      <c r="F196" s="268">
        <f t="shared" si="33"/>
        <v>902.37899917965535</v>
      </c>
      <c r="G196" s="268">
        <f>IFERROR(ROUNDUP(F196*INVOICE!$O$6,2),0)</f>
        <v>15069.73</v>
      </c>
      <c r="H196" s="268">
        <f t="shared" si="34"/>
        <v>902.37899917965535</v>
      </c>
      <c r="I196" s="268">
        <f>IFERROR(ROUNDUP(H196*INVOICE!$O$6,2),0)</f>
        <v>15069.73</v>
      </c>
      <c r="J196" s="108" t="str">
        <f t="shared" si="32"/>
        <v/>
      </c>
      <c r="L196" s="108" t="str">
        <f t="shared" si="30"/>
        <v/>
      </c>
      <c r="N196" s="108">
        <v>195</v>
      </c>
      <c r="O196" s="108" t="str">
        <f>IF(INVOICE!$N$16="MANUAL",IF(B196&lt;&gt;"",C196,""),IF(INVOICE!$N$16="AUTOMATE",IF(A196&lt;&gt;"",C196,""),""))</f>
        <v/>
      </c>
      <c r="AO196" s="108">
        <f>IF(INVOICE!$N$16="MANUAL",IFERROR(AM196*B196,""),IF(INVOICE!$N$16="AUTOMATE",IFERROR(AM196*A196,""),""))</f>
        <v>0</v>
      </c>
      <c r="AT196" s="108" t="str">
        <f t="shared" si="29"/>
        <v/>
      </c>
      <c r="AV196" s="108" t="str">
        <f t="shared" si="31"/>
        <v/>
      </c>
    </row>
    <row r="197" spans="1:48">
      <c r="C197" s="355" t="s">
        <v>1855</v>
      </c>
      <c r="D197" s="335">
        <v>1100</v>
      </c>
      <c r="E197" s="335">
        <v>1100</v>
      </c>
      <c r="F197" s="268">
        <f t="shared" si="33"/>
        <v>902.37899917965535</v>
      </c>
      <c r="G197" s="268">
        <f>IFERROR(ROUNDUP(F197*INVOICE!$O$6,2),0)</f>
        <v>15069.73</v>
      </c>
      <c r="H197" s="268">
        <f t="shared" si="34"/>
        <v>902.37899917965535</v>
      </c>
      <c r="I197" s="268">
        <f>IFERROR(ROUNDUP(H197*INVOICE!$O$6,2),0)</f>
        <v>15069.73</v>
      </c>
      <c r="J197" s="108" t="str">
        <f t="shared" si="32"/>
        <v/>
      </c>
      <c r="L197" s="108" t="str">
        <f t="shared" si="30"/>
        <v/>
      </c>
      <c r="N197" s="108">
        <v>196</v>
      </c>
      <c r="O197" s="108" t="str">
        <f>IF(INVOICE!$N$16="MANUAL",IF(B197&lt;&gt;"",C197,""),IF(INVOICE!$N$16="AUTOMATE",IF(A197&lt;&gt;"",C197,""),""))</f>
        <v/>
      </c>
      <c r="AO197" s="108">
        <f>IF(INVOICE!$N$16="MANUAL",IFERROR(AM197*B197,""),IF(INVOICE!$N$16="AUTOMATE",IFERROR(AM197*A197,""),""))</f>
        <v>0</v>
      </c>
      <c r="AT197" s="108" t="str">
        <f t="shared" si="29"/>
        <v/>
      </c>
      <c r="AV197" s="108" t="str">
        <f t="shared" si="31"/>
        <v/>
      </c>
    </row>
    <row r="198" spans="1:48">
      <c r="C198" s="355" t="s">
        <v>1856</v>
      </c>
      <c r="D198" s="335">
        <v>1760</v>
      </c>
      <c r="E198" s="335">
        <v>1760</v>
      </c>
      <c r="F198" s="268">
        <f t="shared" si="33"/>
        <v>1443.8063986874486</v>
      </c>
      <c r="G198" s="268">
        <f>IFERROR(ROUNDUP(F198*INVOICE!$O$6,2),0)</f>
        <v>24111.57</v>
      </c>
      <c r="H198" s="268">
        <f t="shared" si="34"/>
        <v>1443.8063986874486</v>
      </c>
      <c r="I198" s="268">
        <f>IFERROR(ROUNDUP(H198*INVOICE!$O$6,2),0)</f>
        <v>24111.57</v>
      </c>
      <c r="J198" s="108" t="str">
        <f t="shared" si="32"/>
        <v/>
      </c>
      <c r="L198" s="108" t="str">
        <f t="shared" ref="L198:L206" si="35">IF(H198&gt;F198,"lkkajdfkj","")</f>
        <v/>
      </c>
      <c r="N198" s="108">
        <v>197</v>
      </c>
      <c r="O198" s="108" t="str">
        <f>IF(INVOICE!$N$16="MANUAL",IF(B198&lt;&gt;"",C198,""),IF(INVOICE!$N$16="AUTOMATE",IF(A198&lt;&gt;"",C198,""),""))</f>
        <v/>
      </c>
      <c r="AO198" s="108">
        <f>IF(INVOICE!$N$16="MANUAL",IFERROR(AM198*B198,""),IF(INVOICE!$N$16="AUTOMATE",IFERROR(AM198*A198,""),""))</f>
        <v>0</v>
      </c>
      <c r="AT198" s="108" t="str">
        <f t="shared" si="29"/>
        <v/>
      </c>
      <c r="AV198" s="108" t="str">
        <f t="shared" si="31"/>
        <v/>
      </c>
    </row>
    <row r="199" spans="1:48">
      <c r="C199" s="355" t="s">
        <v>1857</v>
      </c>
      <c r="D199" s="335">
        <v>880</v>
      </c>
      <c r="E199" s="335">
        <v>880</v>
      </c>
      <c r="F199" s="268">
        <f t="shared" si="33"/>
        <v>721.90319934372428</v>
      </c>
      <c r="G199" s="268">
        <f>IFERROR(ROUNDUP(F199*INVOICE!$O$6,2),0)</f>
        <v>12055.79</v>
      </c>
      <c r="H199" s="268">
        <f t="shared" si="34"/>
        <v>721.90319934372428</v>
      </c>
      <c r="I199" s="268">
        <f>IFERROR(ROUNDUP(H199*INVOICE!$O$6,2),0)</f>
        <v>12055.79</v>
      </c>
      <c r="J199" s="108" t="str">
        <f t="shared" si="32"/>
        <v/>
      </c>
      <c r="L199" s="108" t="str">
        <f t="shared" si="35"/>
        <v/>
      </c>
      <c r="N199" s="108">
        <v>198</v>
      </c>
      <c r="O199" s="108" t="str">
        <f>IF(INVOICE!$N$16="MANUAL",IF(B199&lt;&gt;"",C199,""),IF(INVOICE!$N$16="AUTOMATE",IF(A199&lt;&gt;"",C199,""),""))</f>
        <v/>
      </c>
      <c r="AO199" s="108">
        <f>IF(INVOICE!$N$16="MANUAL",IFERROR(AM199*B199,""),IF(INVOICE!$N$16="AUTOMATE",IFERROR(AM199*A199,""),""))</f>
        <v>0</v>
      </c>
      <c r="AT199" s="108" t="str">
        <f t="shared" si="29"/>
        <v/>
      </c>
      <c r="AV199" s="108" t="str">
        <f t="shared" si="31"/>
        <v/>
      </c>
    </row>
    <row r="200" spans="1:48">
      <c r="C200" s="231"/>
      <c r="D200" s="324"/>
      <c r="E200" s="324"/>
      <c r="F200" s="229">
        <f t="shared" si="33"/>
        <v>0</v>
      </c>
      <c r="G200" s="229">
        <f>IFERROR(ROUNDUP(F200*INVOICE!$O$6,2),0)</f>
        <v>0</v>
      </c>
      <c r="H200" s="229">
        <f t="shared" si="34"/>
        <v>0</v>
      </c>
      <c r="I200" s="229">
        <f>IFERROR(ROUNDUP(H200*INVOICE!$O$6,2),0)</f>
        <v>0</v>
      </c>
      <c r="J200" s="108" t="str">
        <f t="shared" si="32"/>
        <v/>
      </c>
      <c r="L200" s="108" t="str">
        <f t="shared" si="35"/>
        <v/>
      </c>
      <c r="N200" s="108">
        <v>199</v>
      </c>
      <c r="O200" s="108" t="str">
        <f>IF(INVOICE!$N$16="MANUAL",IF(B200&lt;&gt;"",C200,""),IF(INVOICE!$N$16="AUTOMATE",IF(A200&lt;&gt;"",C200,""),""))</f>
        <v/>
      </c>
      <c r="AO200" s="108">
        <f>IF(INVOICE!$N$16="MANUAL",IFERROR(AM200*B200,""),IF(INVOICE!$N$16="AUTOMATE",IFERROR(AM200*A200,""),""))</f>
        <v>0</v>
      </c>
      <c r="AT200" s="108" t="str">
        <f t="shared" si="29"/>
        <v/>
      </c>
      <c r="AV200" s="108" t="str">
        <f t="shared" si="31"/>
        <v/>
      </c>
    </row>
    <row r="201" spans="1:48">
      <c r="C201" s="355" t="s">
        <v>1281</v>
      </c>
      <c r="D201" s="335">
        <v>350</v>
      </c>
      <c r="E201" s="335">
        <v>350</v>
      </c>
      <c r="F201" s="268">
        <f t="shared" si="33"/>
        <v>287.12059064807215</v>
      </c>
      <c r="G201" s="268">
        <f>IFERROR(ROUNDUP(F201*INVOICE!$O$6,2),0)</f>
        <v>4794.92</v>
      </c>
      <c r="H201" s="268">
        <f t="shared" si="34"/>
        <v>287.12059064807215</v>
      </c>
      <c r="I201" s="268">
        <f>IFERROR(ROUNDUP(H201*INVOICE!$O$6,2),0)</f>
        <v>4794.92</v>
      </c>
      <c r="J201" s="108" t="str">
        <f t="shared" si="32"/>
        <v/>
      </c>
      <c r="L201" s="108" t="str">
        <f t="shared" si="35"/>
        <v/>
      </c>
      <c r="N201" s="108">
        <v>200</v>
      </c>
      <c r="O201" s="108" t="str">
        <f>IF(INVOICE!$N$16="MANUAL",IF(B201&lt;&gt;"",C201,""),IF(INVOICE!$N$16="AUTOMATE",IF(A201&lt;&gt;"",C201,""),""))</f>
        <v/>
      </c>
      <c r="AO201" s="108">
        <f>IF(INVOICE!$N$16="MANUAL",IFERROR(AM201*B201,""),IF(INVOICE!$N$16="AUTOMATE",IFERROR(AM201*A201,""),""))</f>
        <v>0</v>
      </c>
      <c r="AT201" s="108" t="str">
        <f t="shared" si="29"/>
        <v/>
      </c>
      <c r="AV201" s="108" t="str">
        <f t="shared" si="31"/>
        <v/>
      </c>
    </row>
    <row r="202" spans="1:48">
      <c r="C202" s="355" t="s">
        <v>1186</v>
      </c>
      <c r="D202" s="335">
        <v>400</v>
      </c>
      <c r="E202" s="335">
        <v>400</v>
      </c>
      <c r="F202" s="268">
        <f t="shared" si="33"/>
        <v>328.13781788351105</v>
      </c>
      <c r="G202" s="268">
        <f>IFERROR(ROUNDUP(F202*INVOICE!$O$6,2),0)</f>
        <v>5479.91</v>
      </c>
      <c r="H202" s="268">
        <f t="shared" si="34"/>
        <v>328.13781788351105</v>
      </c>
      <c r="I202" s="268">
        <f>IFERROR(ROUNDUP(H202*INVOICE!$O$6,2),0)</f>
        <v>5479.91</v>
      </c>
      <c r="J202" s="108" t="str">
        <f t="shared" si="32"/>
        <v/>
      </c>
      <c r="L202" s="108" t="str">
        <f t="shared" si="35"/>
        <v/>
      </c>
      <c r="N202" s="108">
        <v>201</v>
      </c>
      <c r="O202" s="108" t="str">
        <f>IF(INVOICE!$N$16="MANUAL",IF(B202&lt;&gt;"",C202,""),IF(INVOICE!$N$16="AUTOMATE",IF(A202&lt;&gt;"",C202,""),""))</f>
        <v/>
      </c>
      <c r="AO202" s="108">
        <f>IF(INVOICE!$N$16="MANUAL",IFERROR(AM202*B202,""),IF(INVOICE!$N$16="AUTOMATE",IFERROR(AM202*A202,""),""))</f>
        <v>0</v>
      </c>
      <c r="AT202" s="108" t="str">
        <f t="shared" si="29"/>
        <v/>
      </c>
      <c r="AV202" s="108" t="str">
        <f t="shared" si="31"/>
        <v/>
      </c>
    </row>
    <row r="203" spans="1:48">
      <c r="D203" s="324"/>
      <c r="E203" s="324"/>
      <c r="I203" s="229"/>
      <c r="J203" s="108" t="str">
        <f t="shared" si="32"/>
        <v/>
      </c>
      <c r="L203" s="108" t="str">
        <f t="shared" si="35"/>
        <v/>
      </c>
      <c r="N203" s="108">
        <v>202</v>
      </c>
      <c r="O203" s="108" t="str">
        <f>IF(INVOICE!$N$16="MANUAL",IF(B203&lt;&gt;"",C203,""),IF(INVOICE!$N$16="AUTOMATE",IF(A203&lt;&gt;"",C203,""),""))</f>
        <v/>
      </c>
      <c r="AO203" s="108">
        <f>IF(INVOICE!$N$16="MANUAL",IFERROR(AM203*B203,""),IF(INVOICE!$N$16="AUTOMATE",IFERROR(AM203*A203,""),""))</f>
        <v>0</v>
      </c>
      <c r="AV203" s="108">
        <f t="shared" ref="AV203:AV232" si="36">IF(AU203&lt;&gt;"",AU203,AT203)</f>
        <v>0</v>
      </c>
    </row>
    <row r="204" spans="1:48">
      <c r="C204" s="237" t="s">
        <v>1912</v>
      </c>
      <c r="D204" s="327"/>
      <c r="E204" s="327"/>
      <c r="F204" s="257">
        <f t="shared" ref="F204:F230" si="37">$D204/1.219</f>
        <v>0</v>
      </c>
      <c r="G204" s="239">
        <f>IFERROR(ROUNDUP(F204*INVOICE!$O$6,2),0)</f>
        <v>0</v>
      </c>
      <c r="H204" s="257">
        <f t="shared" ref="H204:H230" si="38">$E204/1.219</f>
        <v>0</v>
      </c>
      <c r="I204" s="239">
        <f>IFERROR(ROUNDUP(H204*INVOICE!$O$6,2),0)</f>
        <v>0</v>
      </c>
      <c r="J204" s="108" t="str">
        <f t="shared" si="32"/>
        <v/>
      </c>
      <c r="L204" s="108" t="str">
        <f t="shared" si="35"/>
        <v/>
      </c>
      <c r="N204" s="108">
        <v>203</v>
      </c>
      <c r="O204" s="108" t="str">
        <f>IF(INVOICE!$N$16="MANUAL",IF(B204&lt;&gt;"",C204,""),IF(INVOICE!$N$16="AUTOMATE",IF(A204&lt;&gt;"",C204,""),""))</f>
        <v/>
      </c>
      <c r="AO204" s="108">
        <f>IF(INVOICE!$N$16="MANUAL",IFERROR(AM204*B204,""),IF(INVOICE!$N$16="AUTOMATE",IFERROR(AM204*A204,""),""))</f>
        <v>0</v>
      </c>
      <c r="AV204" s="108">
        <f t="shared" si="36"/>
        <v>0</v>
      </c>
    </row>
    <row r="205" spans="1:48">
      <c r="C205" s="262" t="s">
        <v>1825</v>
      </c>
      <c r="D205" s="328">
        <v>1716.75</v>
      </c>
      <c r="E205" s="328">
        <v>1618.65</v>
      </c>
      <c r="F205" s="259">
        <f t="shared" si="37"/>
        <v>1408.326497128794</v>
      </c>
      <c r="G205" s="260">
        <f>IFERROR(ROUNDUP(F205*INVOICE!$O$6,2),0)</f>
        <v>23519.059999999998</v>
      </c>
      <c r="H205" s="259">
        <f t="shared" si="38"/>
        <v>1327.8506972928631</v>
      </c>
      <c r="I205" s="260">
        <f>IFERROR(ROUNDUP(H205*INVOICE!$O$6,2),0)</f>
        <v>22175.109999999997</v>
      </c>
      <c r="J205" s="108" t="str">
        <f t="shared" si="32"/>
        <v/>
      </c>
      <c r="L205" s="108" t="str">
        <f t="shared" si="35"/>
        <v/>
      </c>
      <c r="N205" s="108">
        <v>204</v>
      </c>
      <c r="O205" s="108" t="str">
        <f>IF(INVOICE!$N$16="MANUAL",IF(B205&lt;&gt;"",C205,""),IF(INVOICE!$N$16="AUTOMATE",IF(A205&lt;&gt;"",C205,""),""))</f>
        <v/>
      </c>
      <c r="AM205" s="108">
        <v>4</v>
      </c>
      <c r="AN205" s="108" t="s">
        <v>2308</v>
      </c>
      <c r="AO205" s="108">
        <f>IF(INVOICE!$N$16="MANUAL",IFERROR(AM205*B205,""),IF(INVOICE!$N$16="AUTOMATE",IFERROR(AM205*A205,""),""))</f>
        <v>0</v>
      </c>
      <c r="AR205" s="108" t="s">
        <v>2227</v>
      </c>
      <c r="AT205" s="108" t="str">
        <f t="shared" ref="AT205:AT232" si="39">IF(AND(AR205=$AY$3,$AZ$3=AN205),BA$3,"")</f>
        <v/>
      </c>
      <c r="AV205" s="108" t="str">
        <f t="shared" si="36"/>
        <v/>
      </c>
    </row>
    <row r="206" spans="1:48">
      <c r="C206" s="262" t="s">
        <v>1826</v>
      </c>
      <c r="D206" s="328">
        <v>1662.5</v>
      </c>
      <c r="E206" s="328">
        <v>1567.5</v>
      </c>
      <c r="F206" s="259">
        <f t="shared" si="37"/>
        <v>1363.8228055783429</v>
      </c>
      <c r="G206" s="260">
        <f>IFERROR(ROUNDUP(F206*INVOICE!$O$6,2),0)</f>
        <v>22775.85</v>
      </c>
      <c r="H206" s="259">
        <f t="shared" si="38"/>
        <v>1285.890073831009</v>
      </c>
      <c r="I206" s="260">
        <f>IFERROR(ROUNDUP(H206*INVOICE!$O$6,2),0)</f>
        <v>21474.37</v>
      </c>
      <c r="J206" s="108" t="str">
        <f t="shared" si="32"/>
        <v/>
      </c>
      <c r="L206" s="108" t="str">
        <f t="shared" si="35"/>
        <v/>
      </c>
      <c r="N206" s="108">
        <v>205</v>
      </c>
      <c r="O206" s="108" t="str">
        <f>IF(INVOICE!$N$16="MANUAL",IF(B206&lt;&gt;"",C206,""),IF(INVOICE!$N$16="AUTOMATE",IF(A206&lt;&gt;"",C206,""),""))</f>
        <v/>
      </c>
      <c r="AM206" s="108">
        <v>5</v>
      </c>
      <c r="AN206" s="108" t="s">
        <v>2307</v>
      </c>
      <c r="AO206" s="108">
        <f>IF(INVOICE!$N$16="MANUAL",IFERROR(AM206*B206,""),IF(INVOICE!$N$16="AUTOMATE",IFERROR(AM206*A206,""),""))</f>
        <v>0</v>
      </c>
      <c r="AR206" s="108" t="s">
        <v>2227</v>
      </c>
      <c r="AT206" s="108" t="str">
        <f t="shared" si="39"/>
        <v/>
      </c>
      <c r="AV206" s="108" t="str">
        <f t="shared" si="36"/>
        <v/>
      </c>
    </row>
    <row r="207" spans="1:48">
      <c r="A207" s="108">
        <f>IFERROR(IF(AND('Customer Base'!D$7&lt;&gt;"Grid-Tied",'Customer Base'!D$20="BYD",'Customer Base'!E$20=5),ROUNDUP('Customer Base'!D$21,0),""),"")</f>
        <v>12</v>
      </c>
      <c r="C207" s="262" t="s">
        <v>2788</v>
      </c>
      <c r="D207" s="328">
        <v>1137.5</v>
      </c>
      <c r="E207" s="328">
        <v>1072.5</v>
      </c>
      <c r="F207" s="259">
        <f t="shared" si="37"/>
        <v>933.14191960623452</v>
      </c>
      <c r="G207" s="260">
        <f>IFERROR(ROUNDUP(F207*INVOICE!$O$6,2),0)</f>
        <v>15583.48</v>
      </c>
      <c r="H207" s="259">
        <f t="shared" si="38"/>
        <v>879.81952420016398</v>
      </c>
      <c r="I207" s="260">
        <f>IFERROR(ROUNDUP(H207*INVOICE!$O$6,2),0)</f>
        <v>14692.99</v>
      </c>
      <c r="N207" s="108">
        <v>206</v>
      </c>
      <c r="O207" s="108" t="str">
        <f>IF(INVOICE!$N$16="MANUAL",IF(B207&lt;&gt;"",C207,""),IF(INVOICE!$N$16="AUTOMATE",IF(A207&lt;&gt;"",C207,""),""))</f>
        <v>BYD LV 5.0KWH Lithium Battery</v>
      </c>
      <c r="AM207" s="108">
        <v>5</v>
      </c>
      <c r="AN207" s="108" t="s">
        <v>2307</v>
      </c>
      <c r="AO207" s="108">
        <f>IF(INVOICE!$N$16="MANUAL",IFERROR(AM207*B207,""),IF(INVOICE!$N$16="AUTOMATE",IFERROR(AM207*A207,""),""))</f>
        <v>60</v>
      </c>
      <c r="AR207" s="108" t="s">
        <v>2227</v>
      </c>
    </row>
    <row r="208" spans="1:48">
      <c r="C208" s="262" t="s">
        <v>974</v>
      </c>
      <c r="D208" s="328">
        <v>469</v>
      </c>
      <c r="E208" s="328">
        <v>442.2</v>
      </c>
      <c r="F208" s="259">
        <f t="shared" si="37"/>
        <v>384.74159146841669</v>
      </c>
      <c r="G208" s="260">
        <f>IFERROR(ROUNDUP(F208*INVOICE!$O$6,2),0)</f>
        <v>6425.1900000000005</v>
      </c>
      <c r="H208" s="259">
        <f t="shared" si="38"/>
        <v>362.75635767022146</v>
      </c>
      <c r="I208" s="260">
        <f>IFERROR(ROUNDUP(H208*INVOICE!$O$6,2),0)</f>
        <v>6058.04</v>
      </c>
      <c r="J208" s="108" t="str">
        <f t="shared" ref="J208:J271" si="40">IF(D208&lt;&gt;"",IF(D208&lt;E208,"lkdfjk",""),"")</f>
        <v/>
      </c>
      <c r="L208" s="108" t="str">
        <f t="shared" ref="L208:L271" si="41">IF(H208&gt;F208,"lkkajdfkj","")</f>
        <v/>
      </c>
      <c r="N208" s="108">
        <v>207</v>
      </c>
      <c r="O208" s="108" t="str">
        <f>IF(INVOICE!$N$16="MANUAL",IF(B208&lt;&gt;"",C208,""),IF(INVOICE!$N$16="AUTOMATE",IF(A208&lt;&gt;"",C208,""),""))</f>
        <v/>
      </c>
      <c r="AO208" s="108">
        <f>IF(INVOICE!$N$16="MANUAL",IFERROR(AM208*B208,""),IF(INVOICE!$N$16="AUTOMATE",IFERROR(AM208*A208,""),""))</f>
        <v>0</v>
      </c>
      <c r="AT208" s="108" t="str">
        <f t="shared" si="39"/>
        <v/>
      </c>
      <c r="AV208" s="108" t="str">
        <f t="shared" si="36"/>
        <v/>
      </c>
    </row>
    <row r="209" spans="1:48">
      <c r="C209" s="262" t="s">
        <v>1002</v>
      </c>
      <c r="D209" s="328">
        <v>33.25</v>
      </c>
      <c r="E209" s="328">
        <v>31.35</v>
      </c>
      <c r="F209" s="259">
        <f t="shared" si="37"/>
        <v>27.276456111566855</v>
      </c>
      <c r="G209" s="260">
        <f>IFERROR(ROUNDUP(F209*INVOICE!$O$6,2),0)</f>
        <v>455.52</v>
      </c>
      <c r="H209" s="259">
        <f t="shared" si="38"/>
        <v>25.717801476620181</v>
      </c>
      <c r="I209" s="260">
        <f>IFERROR(ROUNDUP(H209*INVOICE!$O$6,2),0)</f>
        <v>429.49</v>
      </c>
      <c r="J209" s="108" t="str">
        <f t="shared" si="40"/>
        <v/>
      </c>
      <c r="L209" s="108" t="str">
        <f t="shared" si="41"/>
        <v/>
      </c>
      <c r="N209" s="108">
        <v>208</v>
      </c>
      <c r="O209" s="108" t="str">
        <f>IF(INVOICE!$N$16="MANUAL",IF(B209&lt;&gt;"",C209,""),IF(INVOICE!$N$16="AUTOMATE",IF(A209&lt;&gt;"",C209,""),""))</f>
        <v/>
      </c>
      <c r="AO209" s="108">
        <f>IF(INVOICE!$N$16="MANUAL",IFERROR(AM209*B209,""),IF(INVOICE!$N$16="AUTOMATE",IFERROR(AM209*A209,""),""))</f>
        <v>0</v>
      </c>
      <c r="AT209" s="108" t="str">
        <f t="shared" si="39"/>
        <v/>
      </c>
      <c r="AV209" s="108" t="str">
        <f t="shared" si="36"/>
        <v/>
      </c>
    </row>
    <row r="210" spans="1:48">
      <c r="A210" s="108">
        <f>IFERROR(IF(SUM(A205,A207:A209,A211)&gt;0,1,""),"")</f>
        <v>1</v>
      </c>
      <c r="C210" s="262" t="s">
        <v>975</v>
      </c>
      <c r="D210" s="328">
        <v>162.75</v>
      </c>
      <c r="E210" s="328">
        <v>153.44999999999999</v>
      </c>
      <c r="F210" s="259">
        <f t="shared" si="37"/>
        <v>133.51107465135357</v>
      </c>
      <c r="G210" s="260">
        <f>IFERROR(ROUNDUP(F210*INVOICE!$O$6,2),0)</f>
        <v>2229.6400000000003</v>
      </c>
      <c r="H210" s="259">
        <f t="shared" si="38"/>
        <v>125.88187038556192</v>
      </c>
      <c r="I210" s="260">
        <f>IFERROR(ROUNDUP(H210*INVOICE!$O$6,2),0)</f>
        <v>2102.23</v>
      </c>
      <c r="J210" s="108" t="str">
        <f t="shared" si="40"/>
        <v/>
      </c>
      <c r="L210" s="108" t="str">
        <f t="shared" si="41"/>
        <v/>
      </c>
      <c r="N210" s="108">
        <v>209</v>
      </c>
      <c r="O210" s="108" t="str">
        <f>IF(INVOICE!$N$16="MANUAL",IF(B210&lt;&gt;"",C210,""),IF(INVOICE!$N$16="AUTOMATE",IF(A210&lt;&gt;"",C210,""),""))</f>
        <v>BYD Battery-Box Premium LV BMU</v>
      </c>
      <c r="AO210" s="108">
        <f>IF(INVOICE!$N$16="MANUAL",IFERROR(AM210*B210,""),IF(INVOICE!$N$16="AUTOMATE",IFERROR(AM210*A210,""),""))</f>
        <v>0</v>
      </c>
      <c r="AT210" s="108" t="str">
        <f t="shared" si="39"/>
        <v/>
      </c>
      <c r="AV210" s="108" t="str">
        <f t="shared" si="36"/>
        <v/>
      </c>
    </row>
    <row r="211" spans="1:48">
      <c r="A211" s="108" t="str">
        <f>IFERROR(IF(AND('Customer Base'!D$7&lt;&gt;"Grid-Tied",'Customer Base'!D$20="BYD",'Customer Base'!E$20=15),ROUNDUP('Customer Base'!D$21,0),""),"")</f>
        <v/>
      </c>
      <c r="C211" s="262" t="s">
        <v>1827</v>
      </c>
      <c r="D211" s="328">
        <v>5852</v>
      </c>
      <c r="E211" s="328">
        <v>5517.6</v>
      </c>
      <c r="F211" s="259">
        <f t="shared" si="37"/>
        <v>4800.6562756357671</v>
      </c>
      <c r="G211" s="260">
        <f>IFERROR(ROUNDUP(F211*INVOICE!$O$6,2),0)</f>
        <v>80170.959999999992</v>
      </c>
      <c r="H211" s="259">
        <f t="shared" si="38"/>
        <v>4526.3330598851517</v>
      </c>
      <c r="I211" s="260">
        <f>IFERROR(ROUNDUP(H211*INVOICE!$O$6,2),0)</f>
        <v>75589.76999999999</v>
      </c>
      <c r="J211" s="108" t="str">
        <f t="shared" si="40"/>
        <v/>
      </c>
      <c r="L211" s="108" t="str">
        <f t="shared" si="41"/>
        <v/>
      </c>
      <c r="N211" s="108">
        <v>210</v>
      </c>
      <c r="O211" s="108" t="str">
        <f>IF(INVOICE!$N$16="MANUAL",IF(B211&lt;&gt;"",C211,""),IF(INVOICE!$N$16="AUTOMATE",IF(A211&lt;&gt;"",C211,""),""))</f>
        <v/>
      </c>
      <c r="AM211" s="108">
        <v>15.4</v>
      </c>
      <c r="AN211" s="108" t="s">
        <v>2309</v>
      </c>
      <c r="AO211" s="108" t="str">
        <f>IF(INVOICE!$N$16="MANUAL",IFERROR(AM211*B211,""),IF(INVOICE!$N$16="AUTOMATE",IFERROR(AM211*A211,""),""))</f>
        <v/>
      </c>
      <c r="AR211" s="108" t="s">
        <v>2227</v>
      </c>
      <c r="AT211" s="108" t="str">
        <f t="shared" si="39"/>
        <v/>
      </c>
      <c r="AV211" s="108" t="str">
        <f t="shared" si="36"/>
        <v/>
      </c>
    </row>
    <row r="212" spans="1:48">
      <c r="C212" s="262" t="s">
        <v>1828</v>
      </c>
      <c r="D212" s="328">
        <v>1536.5</v>
      </c>
      <c r="E212" s="328">
        <v>1448.7</v>
      </c>
      <c r="F212" s="259">
        <f t="shared" si="37"/>
        <v>1260.4593929450368</v>
      </c>
      <c r="G212" s="260">
        <f>IFERROR(ROUNDUP(F212*INVOICE!$O$6,2),0)</f>
        <v>21049.679999999997</v>
      </c>
      <c r="H212" s="259">
        <f t="shared" si="38"/>
        <v>1188.4331419196062</v>
      </c>
      <c r="I212" s="260">
        <f>IFERROR(ROUNDUP(H212*INVOICE!$O$6,2),0)</f>
        <v>19846.84</v>
      </c>
      <c r="J212" s="108" t="str">
        <f t="shared" si="40"/>
        <v/>
      </c>
      <c r="L212" s="108" t="str">
        <f t="shared" si="41"/>
        <v/>
      </c>
      <c r="N212" s="108">
        <v>211</v>
      </c>
      <c r="O212" s="108" t="str">
        <f>IF(INVOICE!$N$16="MANUAL",IF(B212&lt;&gt;"",C212,""),IF(INVOICE!$N$16="AUTOMATE",IF(A212&lt;&gt;"",C212,""),""))</f>
        <v/>
      </c>
      <c r="AM212" s="108">
        <v>2.56</v>
      </c>
      <c r="AN212" s="108" t="s">
        <v>2310</v>
      </c>
      <c r="AO212" s="108">
        <f>IF(INVOICE!$N$16="MANUAL",IFERROR(AM212*B212,""),IF(INVOICE!$N$16="AUTOMATE",IFERROR(AM212*A212,""),""))</f>
        <v>0</v>
      </c>
      <c r="AR212" s="108" t="s">
        <v>2227</v>
      </c>
      <c r="AT212" s="108" t="str">
        <f t="shared" si="39"/>
        <v/>
      </c>
      <c r="AV212" s="108" t="str">
        <f t="shared" si="36"/>
        <v/>
      </c>
    </row>
    <row r="213" spans="1:48">
      <c r="C213" s="262" t="s">
        <v>976</v>
      </c>
      <c r="D213" s="328">
        <v>661.5</v>
      </c>
      <c r="E213" s="328">
        <v>623.70000000000005</v>
      </c>
      <c r="F213" s="259">
        <f t="shared" si="37"/>
        <v>542.65791632485639</v>
      </c>
      <c r="G213" s="260">
        <f>IFERROR(ROUNDUP(F213*INVOICE!$O$6,2),0)</f>
        <v>9062.39</v>
      </c>
      <c r="H213" s="259">
        <f t="shared" si="38"/>
        <v>511.64889253486467</v>
      </c>
      <c r="I213" s="260">
        <f>IFERROR(ROUNDUP(H213*INVOICE!$O$6,2),0)</f>
        <v>8544.5400000000009</v>
      </c>
      <c r="J213" s="108" t="str">
        <f t="shared" si="40"/>
        <v/>
      </c>
      <c r="L213" s="108" t="str">
        <f t="shared" si="41"/>
        <v/>
      </c>
      <c r="N213" s="108">
        <v>212</v>
      </c>
      <c r="O213" s="108" t="str">
        <f>IF(INVOICE!$N$16="MANUAL",IF(B213&lt;&gt;"",C213,""),IF(INVOICE!$N$16="AUTOMATE",IF(A213&lt;&gt;"",C213,""),""))</f>
        <v/>
      </c>
      <c r="AO213" s="108">
        <f>IF(INVOICE!$N$16="MANUAL",IFERROR(AM213*B213,""),IF(INVOICE!$N$16="AUTOMATE",IFERROR(AM213*A213,""),""))</f>
        <v>0</v>
      </c>
      <c r="AT213" s="108" t="str">
        <f t="shared" si="39"/>
        <v/>
      </c>
      <c r="AV213" s="108" t="str">
        <f t="shared" si="36"/>
        <v/>
      </c>
    </row>
    <row r="214" spans="1:48">
      <c r="C214" s="231"/>
      <c r="D214" s="329"/>
      <c r="E214" s="329"/>
      <c r="F214" s="261">
        <f t="shared" si="37"/>
        <v>0</v>
      </c>
      <c r="G214" s="229">
        <f>IFERROR(ROUNDUP(F214*INVOICE!$O$6,2),0)</f>
        <v>0</v>
      </c>
      <c r="H214" s="261">
        <f t="shared" si="38"/>
        <v>0</v>
      </c>
      <c r="I214" s="229">
        <f>IFERROR(ROUNDUP(H214*INVOICE!$O$6,2),0)</f>
        <v>0</v>
      </c>
      <c r="J214" s="108" t="str">
        <f t="shared" si="40"/>
        <v/>
      </c>
      <c r="L214" s="108" t="str">
        <f t="shared" si="41"/>
        <v/>
      </c>
      <c r="N214" s="108">
        <v>213</v>
      </c>
      <c r="O214" s="108" t="str">
        <f>IF(INVOICE!$N$16="MANUAL",IF(B214&lt;&gt;"",C214,""),IF(INVOICE!$N$16="AUTOMATE",IF(A214&lt;&gt;"",C214,""),""))</f>
        <v/>
      </c>
      <c r="AO214" s="108">
        <f>IF(INVOICE!$N$16="MANUAL",IFERROR(AM214*B214,""),IF(INVOICE!$N$16="AUTOMATE",IFERROR(AM214*A214,""),""))</f>
        <v>0</v>
      </c>
      <c r="AT214" s="108" t="str">
        <f t="shared" si="39"/>
        <v/>
      </c>
      <c r="AV214" s="108" t="str">
        <f t="shared" si="36"/>
        <v/>
      </c>
    </row>
    <row r="215" spans="1:48">
      <c r="A215" s="108" t="str">
        <f>IFERROR(IF(AND('Customer Base'!D$7&lt;&gt;"Grid-Tied",'Customer Base'!D$20="Jinko"),ROUNDUP('Customer Base'!D$21,0),""),"")</f>
        <v/>
      </c>
      <c r="C215" s="258" t="s">
        <v>1952</v>
      </c>
      <c r="D215" s="330">
        <v>2136.75</v>
      </c>
      <c r="E215" s="330">
        <v>1905.75</v>
      </c>
      <c r="F215" s="259">
        <f t="shared" si="37"/>
        <v>1752.8712059064806</v>
      </c>
      <c r="G215" s="260">
        <f>IFERROR(ROUNDUP(F215*INVOICE!$O$6,2),0)</f>
        <v>29272.949999999997</v>
      </c>
      <c r="H215" s="259">
        <f t="shared" si="38"/>
        <v>1563.371616078753</v>
      </c>
      <c r="I215" s="260">
        <f>IFERROR(ROUNDUP(H215*INVOICE!$O$6,2),0)</f>
        <v>26108.309999999998</v>
      </c>
      <c r="J215" s="108" t="str">
        <f t="shared" si="40"/>
        <v/>
      </c>
      <c r="L215" s="108" t="str">
        <f t="shared" si="41"/>
        <v/>
      </c>
      <c r="N215" s="108">
        <v>214</v>
      </c>
      <c r="O215" s="108" t="str">
        <f>IF(INVOICE!$N$16="MANUAL",IF(B215&lt;&gt;"",C215,""),IF(INVOICE!$N$16="AUTOMATE",IF(A215&lt;&gt;"",C215,""),""))</f>
        <v/>
      </c>
      <c r="AM215" s="108">
        <v>4.8</v>
      </c>
      <c r="AN215" s="108" t="s">
        <v>2311</v>
      </c>
      <c r="AO215" s="108" t="str">
        <f>IF(INVOICE!$N$16="MANUAL",IFERROR(AM215*B215,""),IF(INVOICE!$N$16="AUTOMATE",IFERROR(AM215*A215,""),""))</f>
        <v/>
      </c>
      <c r="AR215" s="108" t="s">
        <v>2228</v>
      </c>
      <c r="AT215" s="108">
        <f t="shared" si="39"/>
        <v>1</v>
      </c>
      <c r="AV215" s="108">
        <f t="shared" si="36"/>
        <v>1</v>
      </c>
    </row>
    <row r="216" spans="1:48">
      <c r="B216" s="276"/>
      <c r="C216" s="231"/>
      <c r="D216" s="329"/>
      <c r="E216" s="329"/>
      <c r="F216" s="261"/>
      <c r="H216" s="261"/>
      <c r="I216" s="229"/>
      <c r="J216" s="108" t="str">
        <f t="shared" si="40"/>
        <v/>
      </c>
      <c r="L216" s="108" t="str">
        <f t="shared" si="41"/>
        <v/>
      </c>
      <c r="N216" s="108">
        <v>215</v>
      </c>
      <c r="O216" s="108" t="str">
        <f>IF(INVOICE!$N$16="MANUAL",IF(B216&lt;&gt;"",C216,""),IF(INVOICE!$N$16="AUTOMATE",IF(A216&lt;&gt;"",C216,""),""))</f>
        <v/>
      </c>
      <c r="AO216" s="108">
        <f>IF(INVOICE!$N$16="MANUAL",IFERROR(AM216*B216,""),IF(INVOICE!$N$16="AUTOMATE",IFERROR(AM216*A216,""),""))</f>
        <v>0</v>
      </c>
      <c r="AT216" s="108" t="str">
        <f t="shared" si="39"/>
        <v/>
      </c>
      <c r="AV216" s="108" t="str">
        <f t="shared" si="36"/>
        <v/>
      </c>
    </row>
    <row r="217" spans="1:48">
      <c r="C217" s="258" t="s">
        <v>1937</v>
      </c>
      <c r="D217" s="330">
        <v>1845.73</v>
      </c>
      <c r="E217" s="330">
        <v>1738.422</v>
      </c>
      <c r="F217" s="259">
        <f t="shared" si="37"/>
        <v>1514.1345365053321</v>
      </c>
      <c r="G217" s="260">
        <f>IFERROR(ROUNDUP(F217*INVOICE!$O$6,2),0)</f>
        <v>25286.05</v>
      </c>
      <c r="H217" s="259">
        <f t="shared" si="38"/>
        <v>1426.1050041017227</v>
      </c>
      <c r="I217" s="260">
        <f>IFERROR(ROUNDUP(H217*INVOICE!$O$6,2),0)</f>
        <v>23815.96</v>
      </c>
      <c r="J217" s="108" t="str">
        <f t="shared" si="40"/>
        <v/>
      </c>
      <c r="L217" s="108" t="str">
        <f t="shared" si="41"/>
        <v/>
      </c>
      <c r="N217" s="108">
        <v>216</v>
      </c>
      <c r="O217" s="108" t="str">
        <f>IF(INVOICE!$N$16="MANUAL",IF(B217&lt;&gt;"",C217,""),IF(INVOICE!$N$16="AUTOMATE",IF(A217&lt;&gt;"",C217,""),""))</f>
        <v/>
      </c>
      <c r="AO217" s="108">
        <f>IF(INVOICE!$N$16="MANUAL",IFERROR(AM217*B217,""),IF(INVOICE!$N$16="AUTOMATE",IFERROR(AM217*A217,""),""))</f>
        <v>0</v>
      </c>
      <c r="AR217" s="108" t="s">
        <v>2229</v>
      </c>
      <c r="AT217" s="108" t="str">
        <f t="shared" si="39"/>
        <v/>
      </c>
      <c r="AV217" s="108" t="str">
        <f t="shared" si="36"/>
        <v/>
      </c>
    </row>
    <row r="218" spans="1:48">
      <c r="C218" s="258" t="s">
        <v>1938</v>
      </c>
      <c r="D218" s="330">
        <v>2528.4</v>
      </c>
      <c r="E218" s="330">
        <v>2381.4</v>
      </c>
      <c r="F218" s="259">
        <f t="shared" si="37"/>
        <v>2074.1591468416736</v>
      </c>
      <c r="G218" s="260">
        <f>IFERROR(ROUNDUP(F218*INVOICE!$O$6,2),0)</f>
        <v>34638.46</v>
      </c>
      <c r="H218" s="259">
        <f t="shared" si="38"/>
        <v>1953.5684987694831</v>
      </c>
      <c r="I218" s="260">
        <f>IFERROR(ROUNDUP(H218*INVOICE!$O$6,2),0)</f>
        <v>32624.6</v>
      </c>
      <c r="J218" s="108" t="str">
        <f t="shared" si="40"/>
        <v/>
      </c>
      <c r="L218" s="108" t="str">
        <f t="shared" si="41"/>
        <v/>
      </c>
      <c r="N218" s="108">
        <v>217</v>
      </c>
      <c r="O218" s="108" t="str">
        <f>IF(INVOICE!$N$16="MANUAL",IF(B218&lt;&gt;"",C218,""),IF(INVOICE!$N$16="AUTOMATE",IF(A218&lt;&gt;"",C218,""),""))</f>
        <v/>
      </c>
      <c r="AO218" s="108">
        <f>IF(INVOICE!$N$16="MANUAL",IFERROR(AM218*B218,""),IF(INVOICE!$N$16="AUTOMATE",IFERROR(AM218*A218,""),""))</f>
        <v>0</v>
      </c>
      <c r="AT218" s="108" t="str">
        <f t="shared" si="39"/>
        <v/>
      </c>
      <c r="AV218" s="108" t="str">
        <f t="shared" si="36"/>
        <v/>
      </c>
    </row>
    <row r="219" spans="1:48">
      <c r="C219" s="258" t="s">
        <v>1939</v>
      </c>
      <c r="D219" s="330">
        <v>41.54</v>
      </c>
      <c r="E219" s="330">
        <v>39.122999999999998</v>
      </c>
      <c r="F219" s="259">
        <f t="shared" si="37"/>
        <v>34.077112387202625</v>
      </c>
      <c r="G219" s="260">
        <f>IFERROR(ROUNDUP(F219*INVOICE!$O$6,2),0)</f>
        <v>569.09</v>
      </c>
      <c r="H219" s="259">
        <f t="shared" si="38"/>
        <v>32.094339622641506</v>
      </c>
      <c r="I219" s="260">
        <f>IFERROR(ROUNDUP(H219*INVOICE!$O$6,2),0)</f>
        <v>535.98</v>
      </c>
      <c r="J219" s="108" t="str">
        <f t="shared" si="40"/>
        <v/>
      </c>
      <c r="L219" s="108" t="str">
        <f t="shared" si="41"/>
        <v/>
      </c>
      <c r="N219" s="108">
        <v>218</v>
      </c>
      <c r="O219" s="108" t="str">
        <f>IF(INVOICE!$N$16="MANUAL",IF(B219&lt;&gt;"",C219,""),IF(INVOICE!$N$16="AUTOMATE",IF(A219&lt;&gt;"",C219,""),""))</f>
        <v/>
      </c>
      <c r="AO219" s="108">
        <f>IF(INVOICE!$N$16="MANUAL",IFERROR(AM219*B219,""),IF(INVOICE!$N$16="AUTOMATE",IFERROR(AM219*A219,""),""))</f>
        <v>0</v>
      </c>
      <c r="AT219" s="108" t="str">
        <f t="shared" si="39"/>
        <v/>
      </c>
      <c r="AV219" s="108" t="str">
        <f t="shared" si="36"/>
        <v/>
      </c>
    </row>
    <row r="220" spans="1:48">
      <c r="C220" s="231"/>
      <c r="D220" s="329"/>
      <c r="E220" s="329"/>
      <c r="F220" s="261"/>
      <c r="H220" s="261"/>
      <c r="I220" s="229"/>
      <c r="J220" s="108" t="str">
        <f t="shared" si="40"/>
        <v/>
      </c>
      <c r="L220" s="108" t="str">
        <f t="shared" si="41"/>
        <v/>
      </c>
      <c r="N220" s="108">
        <v>219</v>
      </c>
      <c r="O220" s="108" t="str">
        <f>IF(INVOICE!$N$16="MANUAL",IF(B220&lt;&gt;"",C220,""),IF(INVOICE!$N$16="AUTOMATE",IF(A220&lt;&gt;"",C220,""),""))</f>
        <v/>
      </c>
      <c r="AO220" s="108">
        <f>IF(INVOICE!$N$16="MANUAL",IFERROR(AM220*B220,""),IF(INVOICE!$N$16="AUTOMATE",IFERROR(AM220*A220,""),""))</f>
        <v>0</v>
      </c>
      <c r="AT220" s="108" t="str">
        <f t="shared" si="39"/>
        <v/>
      </c>
      <c r="AV220" s="108" t="str">
        <f t="shared" si="36"/>
        <v/>
      </c>
    </row>
    <row r="221" spans="1:48">
      <c r="A221" s="108" t="str">
        <f>IFERROR(IF(AND('Customer Base'!D$7&lt;&gt;"Grid-Tied",'Customer Base'!D$20="Victron",'Customer Base'!E$20=8),MROUND('Customer Base'!D$21,'Customer Base'!D$8/12),""),"")</f>
        <v/>
      </c>
      <c r="C221" s="262" t="s">
        <v>880</v>
      </c>
      <c r="D221" s="328">
        <v>22.57</v>
      </c>
      <c r="E221" s="328">
        <v>21.254000000000001</v>
      </c>
      <c r="F221" s="259">
        <f t="shared" si="37"/>
        <v>18.515176374077111</v>
      </c>
      <c r="G221" s="260">
        <f>IFERROR(ROUNDUP(F221*INVOICE!$O$6,2),0)</f>
        <v>309.20999999999998</v>
      </c>
      <c r="H221" s="259">
        <f t="shared" si="38"/>
        <v>17.435602953240362</v>
      </c>
      <c r="I221" s="260">
        <f>IFERROR(ROUNDUP(H221*INVOICE!$O$6,2),0)</f>
        <v>291.18</v>
      </c>
      <c r="J221" s="108" t="str">
        <f t="shared" si="40"/>
        <v/>
      </c>
      <c r="L221" s="108" t="str">
        <f t="shared" si="41"/>
        <v/>
      </c>
      <c r="N221" s="108">
        <v>220</v>
      </c>
      <c r="O221" s="108" t="str">
        <f>IF(INVOICE!$N$16="MANUAL",IF(B221&lt;&gt;"",C221,""),IF(INVOICE!$N$16="AUTOMATE",IF(A221&lt;&gt;"",C221,""),""))</f>
        <v/>
      </c>
      <c r="AM221" s="108">
        <v>9.6000000000000002E-2</v>
      </c>
      <c r="AN221" s="108" t="s">
        <v>2253</v>
      </c>
      <c r="AO221" s="108" t="str">
        <f>IF(INVOICE!$N$16="MANUAL",IFERROR(AM221*B221,""),IF(INVOICE!$N$16="AUTOMATE",IFERROR(AM221*A221,""),""))</f>
        <v/>
      </c>
      <c r="AR221" s="108" t="s">
        <v>2230</v>
      </c>
      <c r="AT221" s="108" t="str">
        <f t="shared" si="39"/>
        <v/>
      </c>
      <c r="AV221" s="108" t="str">
        <f t="shared" si="36"/>
        <v/>
      </c>
    </row>
    <row r="222" spans="1:48">
      <c r="A222" s="108" t="str">
        <f>IFERROR(IF(AND('Customer Base'!D$7&lt;&gt;"Grid-Tied",'Customer Base'!D$20="Victron",'Customer Base'!E$20=14),MROUND('Customer Base'!D$21,'Customer Base'!D$8/12),""),"")</f>
        <v/>
      </c>
      <c r="C222" s="262" t="s">
        <v>881</v>
      </c>
      <c r="D222" s="328">
        <v>40.630000000000003</v>
      </c>
      <c r="E222" s="328">
        <v>38.264000000000003</v>
      </c>
      <c r="F222" s="259">
        <f t="shared" si="37"/>
        <v>33.330598851517635</v>
      </c>
      <c r="G222" s="260">
        <f>IFERROR(ROUNDUP(F222*INVOICE!$O$6,2),0)</f>
        <v>556.63</v>
      </c>
      <c r="H222" s="259">
        <f t="shared" si="38"/>
        <v>31.389663658736669</v>
      </c>
      <c r="I222" s="260">
        <f>IFERROR(ROUNDUP(H222*INVOICE!$O$6,2),0)</f>
        <v>524.21</v>
      </c>
      <c r="J222" s="108" t="str">
        <f t="shared" si="40"/>
        <v/>
      </c>
      <c r="L222" s="108" t="str">
        <f t="shared" si="41"/>
        <v/>
      </c>
      <c r="N222" s="108">
        <v>221</v>
      </c>
      <c r="O222" s="108" t="str">
        <f>IF(INVOICE!$N$16="MANUAL",IF(B222&lt;&gt;"",C222,""),IF(INVOICE!$N$16="AUTOMATE",IF(A222&lt;&gt;"",C222,""),""))</f>
        <v/>
      </c>
      <c r="AL222" s="108">
        <v>0.16800000000000001</v>
      </c>
      <c r="AM222" s="108">
        <v>0.16800000000000001</v>
      </c>
      <c r="AN222" s="108" t="s">
        <v>2254</v>
      </c>
      <c r="AO222" s="108" t="str">
        <f>IF(INVOICE!$N$16="MANUAL",IFERROR(AM222*B222,""),IF(INVOICE!$N$16="AUTOMATE",IFERROR(AM222*A222,""),""))</f>
        <v/>
      </c>
      <c r="AR222" s="108" t="s">
        <v>2230</v>
      </c>
      <c r="AT222" s="108" t="str">
        <f t="shared" si="39"/>
        <v/>
      </c>
      <c r="AV222" s="108" t="str">
        <f t="shared" si="36"/>
        <v/>
      </c>
    </row>
    <row r="223" spans="1:48">
      <c r="A223" s="108" t="str">
        <f>IFERROR(IF(AND('Customer Base'!D$7&lt;&gt;"Grid-Tied",'Customer Base'!D$20="Victron",'Customer Base'!E$20=22),MROUND('Customer Base'!D$21,'Customer Base'!D$8/12),""),"")</f>
        <v/>
      </c>
      <c r="C223" s="262" t="s">
        <v>882</v>
      </c>
      <c r="D223" s="328">
        <v>56.9</v>
      </c>
      <c r="E223" s="328">
        <v>53.59</v>
      </c>
      <c r="F223" s="259">
        <f t="shared" si="37"/>
        <v>46.677604593929445</v>
      </c>
      <c r="G223" s="260">
        <f>IFERROR(ROUNDUP(F223*INVOICE!$O$6,2),0)</f>
        <v>779.52</v>
      </c>
      <c r="H223" s="259">
        <f t="shared" si="38"/>
        <v>43.962264150943398</v>
      </c>
      <c r="I223" s="260">
        <f>IFERROR(ROUNDUP(H223*INVOICE!$O$6,2),0)</f>
        <v>734.17</v>
      </c>
      <c r="J223" s="108" t="str">
        <f t="shared" si="40"/>
        <v/>
      </c>
      <c r="L223" s="108" t="str">
        <f t="shared" si="41"/>
        <v/>
      </c>
      <c r="N223" s="108">
        <v>222</v>
      </c>
      <c r="O223" s="108" t="str">
        <f>IF(INVOICE!$N$16="MANUAL",IF(B223&lt;&gt;"",C223,""),IF(INVOICE!$N$16="AUTOMATE",IF(A223&lt;&gt;"",C223,""),""))</f>
        <v/>
      </c>
      <c r="AL223" s="108">
        <v>0.26400000000000001</v>
      </c>
      <c r="AM223" s="108">
        <v>0.26400000000000001</v>
      </c>
      <c r="AN223" s="108" t="s">
        <v>2255</v>
      </c>
      <c r="AO223" s="108" t="str">
        <f>IF(INVOICE!$N$16="MANUAL",IFERROR(AM223*B223,""),IF(INVOICE!$N$16="AUTOMATE",IFERROR(AM223*A223,""),""))</f>
        <v/>
      </c>
      <c r="AR223" s="108" t="s">
        <v>2230</v>
      </c>
      <c r="AT223" s="108" t="str">
        <f t="shared" si="39"/>
        <v/>
      </c>
      <c r="AV223" s="108" t="str">
        <f t="shared" si="36"/>
        <v/>
      </c>
    </row>
    <row r="224" spans="1:48">
      <c r="A224" s="108" t="str">
        <f>IFERROR(IF(AND('Customer Base'!D$7&lt;&gt;"Grid-Tied",'Customer Base'!D$20="Victron",'Customer Base'!E$20=38),MROUND('Customer Base'!D$21,'Customer Base'!D$8/12),""),"")</f>
        <v/>
      </c>
      <c r="C224" s="262" t="s">
        <v>883</v>
      </c>
      <c r="D224" s="328">
        <v>133.63999999999999</v>
      </c>
      <c r="E224" s="328">
        <v>125.874</v>
      </c>
      <c r="F224" s="259">
        <f t="shared" si="37"/>
        <v>109.63084495488103</v>
      </c>
      <c r="G224" s="260">
        <f>IFERROR(ROUNDUP(F224*INVOICE!$O$6,2),0)</f>
        <v>1830.84</v>
      </c>
      <c r="H224" s="259">
        <f t="shared" si="38"/>
        <v>103.26004922067267</v>
      </c>
      <c r="I224" s="260">
        <f>IFERROR(ROUNDUP(H224*INVOICE!$O$6,2),0)</f>
        <v>1724.45</v>
      </c>
      <c r="J224" s="108" t="str">
        <f t="shared" si="40"/>
        <v/>
      </c>
      <c r="L224" s="108" t="str">
        <f t="shared" si="41"/>
        <v/>
      </c>
      <c r="N224" s="108">
        <v>223</v>
      </c>
      <c r="O224" s="108" t="str">
        <f>IF(INVOICE!$N$16="MANUAL",IF(B224&lt;&gt;"",C224,""),IF(INVOICE!$N$16="AUTOMATE",IF(A224&lt;&gt;"",C224,""),""))</f>
        <v/>
      </c>
      <c r="AL224" s="108">
        <v>0.45600000000000002</v>
      </c>
      <c r="AM224" s="108">
        <v>0.45600000000000002</v>
      </c>
      <c r="AN224" s="108" t="s">
        <v>2256</v>
      </c>
      <c r="AO224" s="108" t="str">
        <f>IF(INVOICE!$N$16="MANUAL",IFERROR(AM224*B224,""),IF(INVOICE!$N$16="AUTOMATE",IFERROR(AM224*A224,""),""))</f>
        <v/>
      </c>
      <c r="AR224" s="108" t="s">
        <v>2230</v>
      </c>
      <c r="AT224" s="108" t="str">
        <f t="shared" si="39"/>
        <v/>
      </c>
      <c r="AV224" s="108" t="str">
        <f t="shared" si="36"/>
        <v/>
      </c>
    </row>
    <row r="225" spans="1:48">
      <c r="A225" s="108" t="str">
        <f>IFERROR(IF(AND('Customer Base'!D$7&lt;&gt;"Grid-Tied",'Customer Base'!D$20="Victron",'Customer Base'!E$20=60),MROUND('Customer Base'!D$21,'Customer Base'!D$8/12),""),"")</f>
        <v/>
      </c>
      <c r="C225" s="262" t="s">
        <v>884</v>
      </c>
      <c r="D225" s="328">
        <v>154.41999999999999</v>
      </c>
      <c r="E225" s="328">
        <v>145.44399999999999</v>
      </c>
      <c r="F225" s="259">
        <f t="shared" si="37"/>
        <v>126.67760459392943</v>
      </c>
      <c r="G225" s="260">
        <f>IFERROR(ROUNDUP(F225*INVOICE!$O$6,2),0)</f>
        <v>2115.5200000000004</v>
      </c>
      <c r="H225" s="259">
        <f t="shared" si="38"/>
        <v>119.31419196062345</v>
      </c>
      <c r="I225" s="260">
        <f>IFERROR(ROUNDUP(H225*INVOICE!$O$6,2),0)</f>
        <v>1992.55</v>
      </c>
      <c r="J225" s="108" t="str">
        <f t="shared" si="40"/>
        <v/>
      </c>
      <c r="L225" s="108" t="str">
        <f t="shared" si="41"/>
        <v/>
      </c>
      <c r="N225" s="108">
        <v>224</v>
      </c>
      <c r="O225" s="108" t="str">
        <f>IF(INVOICE!$N$16="MANUAL",IF(B225&lt;&gt;"",C225,""),IF(INVOICE!$N$16="AUTOMATE",IF(A225&lt;&gt;"",C225,""),""))</f>
        <v/>
      </c>
      <c r="AL225" s="108">
        <v>0.72</v>
      </c>
      <c r="AM225" s="108">
        <v>0.72</v>
      </c>
      <c r="AN225" s="108" t="s">
        <v>2257</v>
      </c>
      <c r="AO225" s="108" t="str">
        <f>IF(INVOICE!$N$16="MANUAL",IFERROR(AM225*B225,""),IF(INVOICE!$N$16="AUTOMATE",IFERROR(AM225*A225,""),""))</f>
        <v/>
      </c>
      <c r="AR225" s="108" t="s">
        <v>2230</v>
      </c>
      <c r="AT225" s="108" t="str">
        <f t="shared" si="39"/>
        <v/>
      </c>
      <c r="AV225" s="108" t="str">
        <f t="shared" si="36"/>
        <v/>
      </c>
    </row>
    <row r="226" spans="1:48">
      <c r="A226" s="108" t="str">
        <f>IFERROR(IF(AND('Customer Base'!D$7&lt;&gt;"Grid-Tied",'Customer Base'!D$20="Victron",'Customer Base'!E$20=90),MROUND('Customer Base'!D$21,'Customer Base'!D$8/12),""),"")</f>
        <v/>
      </c>
      <c r="C226" s="262" t="s">
        <v>885</v>
      </c>
      <c r="D226" s="328">
        <v>226.66</v>
      </c>
      <c r="E226" s="328">
        <v>213.48400000000001</v>
      </c>
      <c r="F226" s="259">
        <f t="shared" si="37"/>
        <v>185.93929450369154</v>
      </c>
      <c r="G226" s="260">
        <f>IFERROR(ROUNDUP(F226*INVOICE!$O$6,2),0)</f>
        <v>3105.19</v>
      </c>
      <c r="H226" s="259">
        <f t="shared" si="38"/>
        <v>175.13043478260869</v>
      </c>
      <c r="I226" s="260">
        <f>IFERROR(ROUNDUP(H226*INVOICE!$O$6,2),0)</f>
        <v>2924.6800000000003</v>
      </c>
      <c r="J226" s="108" t="str">
        <f t="shared" si="40"/>
        <v/>
      </c>
      <c r="L226" s="108" t="str">
        <f t="shared" si="41"/>
        <v/>
      </c>
      <c r="N226" s="108">
        <v>225</v>
      </c>
      <c r="O226" s="108" t="str">
        <f>IF(INVOICE!$N$16="MANUAL",IF(B226&lt;&gt;"",C226,""),IF(INVOICE!$N$16="AUTOMATE",IF(A226&lt;&gt;"",C226,""),""))</f>
        <v/>
      </c>
      <c r="AL226" s="108">
        <v>1.08</v>
      </c>
      <c r="AM226" s="108">
        <v>1.08</v>
      </c>
      <c r="AN226" s="108" t="s">
        <v>2258</v>
      </c>
      <c r="AO226" s="108" t="str">
        <f>IF(INVOICE!$N$16="MANUAL",IFERROR(AM226*B226,""),IF(INVOICE!$N$16="AUTOMATE",IFERROR(AM226*A226,""),""))</f>
        <v/>
      </c>
      <c r="AR226" s="108" t="s">
        <v>2230</v>
      </c>
      <c r="AT226" s="108" t="str">
        <f t="shared" si="39"/>
        <v/>
      </c>
      <c r="AV226" s="108" t="str">
        <f t="shared" si="36"/>
        <v/>
      </c>
    </row>
    <row r="227" spans="1:48">
      <c r="A227" s="108" t="str">
        <f>IFERROR(IF(AND('Customer Base'!D$7&lt;&gt;"Grid-Tied",'Customer Base'!D$20="Victron",'Customer Base'!E$20=110),MROUND('Customer Base'!D$21,'Customer Base'!D$8/12),""),"")</f>
        <v/>
      </c>
      <c r="C227" s="262" t="s">
        <v>886</v>
      </c>
      <c r="D227" s="328">
        <v>284.45</v>
      </c>
      <c r="E227" s="328">
        <v>267.916</v>
      </c>
      <c r="F227" s="259">
        <f t="shared" si="37"/>
        <v>233.3470057424118</v>
      </c>
      <c r="G227" s="260">
        <f>IFERROR(ROUNDUP(F227*INVOICE!$O$6,2),0)</f>
        <v>3896.9</v>
      </c>
      <c r="H227" s="259">
        <f t="shared" si="38"/>
        <v>219.78342904019686</v>
      </c>
      <c r="I227" s="260">
        <f>IFERROR(ROUNDUP(H227*INVOICE!$O$6,2),0)</f>
        <v>3670.3900000000003</v>
      </c>
      <c r="J227" s="108" t="str">
        <f t="shared" si="40"/>
        <v/>
      </c>
      <c r="L227" s="108" t="str">
        <f t="shared" si="41"/>
        <v/>
      </c>
      <c r="N227" s="108">
        <v>226</v>
      </c>
      <c r="O227" s="108" t="str">
        <f>IF(INVOICE!$N$16="MANUAL",IF(B227&lt;&gt;"",C227,""),IF(INVOICE!$N$16="AUTOMATE",IF(A227&lt;&gt;"",C227,""),""))</f>
        <v/>
      </c>
      <c r="AL227" s="108">
        <v>1.32</v>
      </c>
      <c r="AM227" s="108">
        <v>1.32</v>
      </c>
      <c r="AN227" s="108" t="s">
        <v>2259</v>
      </c>
      <c r="AO227" s="108" t="str">
        <f>IF(INVOICE!$N$16="MANUAL",IFERROR(AM227*B227,""),IF(INVOICE!$N$16="AUTOMATE",IFERROR(AM227*A227,""),""))</f>
        <v/>
      </c>
      <c r="AR227" s="108" t="s">
        <v>2230</v>
      </c>
      <c r="AT227" s="108" t="str">
        <f t="shared" si="39"/>
        <v/>
      </c>
      <c r="AV227" s="108" t="str">
        <f t="shared" si="36"/>
        <v/>
      </c>
    </row>
    <row r="228" spans="1:48">
      <c r="C228" s="262" t="s">
        <v>1027</v>
      </c>
      <c r="D228" s="328">
        <v>226.66</v>
      </c>
      <c r="E228" s="328">
        <v>213.48400000000001</v>
      </c>
      <c r="F228" s="259">
        <f t="shared" si="37"/>
        <v>185.93929450369154</v>
      </c>
      <c r="G228" s="260">
        <f>IFERROR(ROUNDUP(F228*INVOICE!$O$6,2),0)</f>
        <v>3105.19</v>
      </c>
      <c r="H228" s="259">
        <f t="shared" si="38"/>
        <v>175.13043478260869</v>
      </c>
      <c r="I228" s="260">
        <f>IFERROR(ROUNDUP(H228*INVOICE!$O$6,2),0)</f>
        <v>2924.6800000000003</v>
      </c>
      <c r="J228" s="108" t="str">
        <f t="shared" si="40"/>
        <v/>
      </c>
      <c r="L228" s="108" t="str">
        <f t="shared" si="41"/>
        <v/>
      </c>
      <c r="N228" s="108">
        <v>227</v>
      </c>
      <c r="O228" s="108" t="str">
        <f>IF(INVOICE!$N$16="MANUAL",IF(B228&lt;&gt;"",C228,""),IF(INVOICE!$N$16="AUTOMATE",IF(A228&lt;&gt;"",C228,""),""))</f>
        <v/>
      </c>
      <c r="AM228" s="108">
        <v>1.08</v>
      </c>
      <c r="AN228" s="108" t="s">
        <v>2258</v>
      </c>
      <c r="AO228" s="108">
        <f>IF(INVOICE!$N$16="MANUAL",IFERROR(AM228*B228,""),IF(INVOICE!$N$16="AUTOMATE",IFERROR(AM228*A228,""),""))</f>
        <v>0</v>
      </c>
      <c r="AR228" s="108" t="s">
        <v>2230</v>
      </c>
      <c r="AT228" s="108" t="str">
        <f t="shared" si="39"/>
        <v/>
      </c>
      <c r="AV228" s="108" t="str">
        <f t="shared" si="36"/>
        <v/>
      </c>
    </row>
    <row r="229" spans="1:48">
      <c r="C229" s="262" t="s">
        <v>1028</v>
      </c>
      <c r="D229" s="328">
        <v>270</v>
      </c>
      <c r="E229" s="328">
        <v>254.30799999999999</v>
      </c>
      <c r="F229" s="259">
        <f t="shared" si="37"/>
        <v>221.49302707136997</v>
      </c>
      <c r="G229" s="260">
        <f>IFERROR(ROUNDUP(F229*INVOICE!$O$6,2),0)</f>
        <v>3698.94</v>
      </c>
      <c r="H229" s="259">
        <f t="shared" si="38"/>
        <v>208.62018047579983</v>
      </c>
      <c r="I229" s="260">
        <f>IFERROR(ROUNDUP(H229*INVOICE!$O$6,2),0)</f>
        <v>3483.96</v>
      </c>
      <c r="J229" s="108" t="str">
        <f t="shared" si="40"/>
        <v/>
      </c>
      <c r="L229" s="108" t="str">
        <f t="shared" si="41"/>
        <v/>
      </c>
      <c r="N229" s="108">
        <v>228</v>
      </c>
      <c r="O229" s="108" t="str">
        <f>IF(INVOICE!$N$16="MANUAL",IF(B229&lt;&gt;"",C229,""),IF(INVOICE!$N$16="AUTOMATE",IF(A229&lt;&gt;"",C229,""),""))</f>
        <v/>
      </c>
      <c r="AM229" s="108">
        <v>1.32</v>
      </c>
      <c r="AN229" s="108" t="s">
        <v>2259</v>
      </c>
      <c r="AO229" s="108">
        <f>IF(INVOICE!$N$16="MANUAL",IFERROR(AM229*B229,""),IF(INVOICE!$N$16="AUTOMATE",IFERROR(AM229*A229,""),""))</f>
        <v>0</v>
      </c>
      <c r="AR229" s="108" t="s">
        <v>2230</v>
      </c>
      <c r="AT229" s="108" t="str">
        <f t="shared" si="39"/>
        <v/>
      </c>
      <c r="AV229" s="108" t="str">
        <f t="shared" si="36"/>
        <v/>
      </c>
    </row>
    <row r="230" spans="1:48">
      <c r="C230" s="262" t="s">
        <v>1029</v>
      </c>
      <c r="D230" s="328">
        <v>519.23</v>
      </c>
      <c r="E230" s="328">
        <v>489.04599999999999</v>
      </c>
      <c r="F230" s="259">
        <f t="shared" si="37"/>
        <v>425.94749794913861</v>
      </c>
      <c r="G230" s="260">
        <f>IFERROR(ROUNDUP(F230*INVOICE!$O$6,2),0)</f>
        <v>7113.33</v>
      </c>
      <c r="H230" s="259">
        <f t="shared" si="38"/>
        <v>401.18621821164885</v>
      </c>
      <c r="I230" s="260">
        <f>IFERROR(ROUNDUP(H230*INVOICE!$O$6,2),0)</f>
        <v>6699.81</v>
      </c>
      <c r="J230" s="108" t="str">
        <f t="shared" si="40"/>
        <v/>
      </c>
      <c r="L230" s="108" t="str">
        <f t="shared" si="41"/>
        <v/>
      </c>
      <c r="N230" s="108">
        <v>229</v>
      </c>
      <c r="O230" s="108" t="str">
        <f>IF(INVOICE!$N$16="MANUAL",IF(B230&lt;&gt;"",C230,""),IF(INVOICE!$N$16="AUTOMATE",IF(A230&lt;&gt;"",C230,""),""))</f>
        <v/>
      </c>
      <c r="AM230" s="108">
        <v>2.64</v>
      </c>
      <c r="AN230" s="108" t="s">
        <v>2260</v>
      </c>
      <c r="AO230" s="108">
        <f>IF(INVOICE!$N$16="MANUAL",IFERROR(AM230*B230,""),IF(INVOICE!$N$16="AUTOMATE",IFERROR(AM230*A230,""),""))</f>
        <v>0</v>
      </c>
      <c r="AR230" s="108" t="s">
        <v>2230</v>
      </c>
      <c r="AT230" s="108" t="str">
        <f t="shared" si="39"/>
        <v/>
      </c>
      <c r="AV230" s="108" t="str">
        <f t="shared" si="36"/>
        <v/>
      </c>
    </row>
    <row r="231" spans="1:48">
      <c r="A231" s="108" t="str">
        <f>IFERROR(IF(AND('Customer Base'!D$7&lt;&gt;"Grid-Tied",'Customer Base'!D$20="Victron",'Customer Base'!E$20=200),MROUND('Customer Base'!D$21,'Customer Base'!D$8/12),""),"")</f>
        <v/>
      </c>
      <c r="C231" s="262" t="s">
        <v>887</v>
      </c>
      <c r="D231" s="328">
        <v>499.35</v>
      </c>
      <c r="E231" s="328">
        <v>470.31799999999998</v>
      </c>
      <c r="F231" s="259">
        <f t="shared" ref="F231:F239" si="42">$D231/1.219</f>
        <v>409.63904840032814</v>
      </c>
      <c r="G231" s="260">
        <f>IFERROR(ROUNDUP(F231*INVOICE!$O$6,2),0)</f>
        <v>6840.9800000000005</v>
      </c>
      <c r="H231" s="259">
        <f t="shared" ref="H231:H239" si="43">$E231/1.219</f>
        <v>385.82280557834287</v>
      </c>
      <c r="I231" s="260">
        <f>IFERROR(ROUNDUP(H231*INVOICE!$O$6,2),0)</f>
        <v>6443.25</v>
      </c>
      <c r="J231" s="108" t="str">
        <f t="shared" si="40"/>
        <v/>
      </c>
      <c r="L231" s="108" t="str">
        <f t="shared" si="41"/>
        <v/>
      </c>
      <c r="N231" s="108">
        <v>230</v>
      </c>
      <c r="O231" s="108" t="str">
        <f>IF(INVOICE!$N$16="MANUAL",IF(B231&lt;&gt;"",C231,""),IF(INVOICE!$N$16="AUTOMATE",IF(A231&lt;&gt;"",C231,""),""))</f>
        <v/>
      </c>
      <c r="AL231" s="108">
        <v>2.4</v>
      </c>
      <c r="AM231" s="108">
        <v>2.4</v>
      </c>
      <c r="AN231" s="108" t="s">
        <v>2262</v>
      </c>
      <c r="AO231" s="108" t="str">
        <f>IF(INVOICE!$N$16="MANUAL",IFERROR(AM231*B231,""),IF(INVOICE!$N$16="AUTOMATE",IFERROR(AM231*A231,""),""))</f>
        <v/>
      </c>
      <c r="AR231" s="108" t="s">
        <v>2230</v>
      </c>
      <c r="AT231" s="108" t="str">
        <f t="shared" si="39"/>
        <v/>
      </c>
      <c r="AV231" s="108" t="str">
        <f t="shared" si="36"/>
        <v/>
      </c>
    </row>
    <row r="232" spans="1:48">
      <c r="C232" s="262" t="s">
        <v>888</v>
      </c>
      <c r="D232" s="328">
        <v>534.58000000000004</v>
      </c>
      <c r="E232" s="328">
        <v>503.49599999999998</v>
      </c>
      <c r="F232" s="259">
        <f t="shared" si="42"/>
        <v>438.53978671041835</v>
      </c>
      <c r="G232" s="260">
        <f>IFERROR(ROUNDUP(F232*INVOICE!$O$6,2),0)</f>
        <v>7323.62</v>
      </c>
      <c r="H232" s="259">
        <f t="shared" si="43"/>
        <v>413.04019688269068</v>
      </c>
      <c r="I232" s="260">
        <f>IFERROR(ROUNDUP(H232*INVOICE!$O$6,2),0)</f>
        <v>6897.7800000000007</v>
      </c>
      <c r="J232" s="108" t="str">
        <f t="shared" si="40"/>
        <v/>
      </c>
      <c r="L232" s="108" t="str">
        <f t="shared" si="41"/>
        <v/>
      </c>
      <c r="N232" s="108">
        <v>231</v>
      </c>
      <c r="O232" s="108" t="str">
        <f>IF(INVOICE!$N$16="MANUAL",IF(B232&lt;&gt;"",C232,""),IF(INVOICE!$N$16="AUTOMATE",IF(A232&lt;&gt;"",C232,""),""))</f>
        <v/>
      </c>
      <c r="AM232" s="108">
        <v>2.64</v>
      </c>
      <c r="AN232" s="108" t="s">
        <v>2260</v>
      </c>
      <c r="AO232" s="108">
        <f>IF(INVOICE!$N$16="MANUAL",IFERROR(AM232*B232,""),IF(INVOICE!$N$16="AUTOMATE",IFERROR(AM232*A232,""),""))</f>
        <v>0</v>
      </c>
      <c r="AR232" s="108" t="s">
        <v>2231</v>
      </c>
      <c r="AT232" s="108" t="str">
        <f t="shared" si="39"/>
        <v/>
      </c>
      <c r="AV232" s="108" t="str">
        <f t="shared" si="36"/>
        <v/>
      </c>
    </row>
    <row r="233" spans="1:48">
      <c r="A233" s="108" t="str">
        <f>IFERROR(IF(AND('Customer Base'!D$7&lt;&gt;"Grid-Tied",'Customer Base'!D$20="Hoppecke",'Customer Base'!D$19="2V OPzV",'Customer Base'!E$20=620),MROUND('Customer Base'!D$21,'Customer Base'!D$8/2)/24,""),"")</f>
        <v/>
      </c>
      <c r="C233" s="258" t="s">
        <v>2263</v>
      </c>
      <c r="D233" s="328">
        <v>13910.998</v>
      </c>
      <c r="E233" s="328">
        <v>13102.22</v>
      </c>
      <c r="F233" s="259">
        <f t="shared" si="42"/>
        <v>11411.811320754716</v>
      </c>
      <c r="G233" s="260">
        <f>IFERROR(ROUNDUP(F233*INVOICE!$O$6,2),0)</f>
        <v>190577.25</v>
      </c>
      <c r="H233" s="259">
        <f t="shared" si="43"/>
        <v>10748.33470057424</v>
      </c>
      <c r="I233" s="260">
        <f>IFERROR(ROUNDUP(H233*INVOICE!$O$6,2),0)</f>
        <v>179497.19</v>
      </c>
      <c r="J233" s="108" t="str">
        <f t="shared" si="40"/>
        <v/>
      </c>
      <c r="L233" s="108" t="str">
        <f t="shared" si="41"/>
        <v/>
      </c>
      <c r="N233" s="108">
        <v>232</v>
      </c>
      <c r="O233" s="108" t="str">
        <f>IF(INVOICE!$N$16="MANUAL",IF(B233&lt;&gt;"",C233,""),IF(INVOICE!$N$16="AUTOMATE",IF(A233&lt;&gt;"",C233,""),""))</f>
        <v/>
      </c>
      <c r="AM233" s="108">
        <v>26.3</v>
      </c>
      <c r="AN233" s="108" t="s">
        <v>2264</v>
      </c>
      <c r="AO233" s="108" t="str">
        <f>IF(INVOICE!$N$16="MANUAL",IFERROR(AM233*B233,""),IF(INVOICE!$N$16="AUTOMATE",IFERROR(AM233*A233,""),""))</f>
        <v/>
      </c>
      <c r="AR233" s="108" t="s">
        <v>2232</v>
      </c>
      <c r="AT233" s="108" t="str">
        <f t="shared" ref="AT233:AT240" si="44">IF(AND(AR233=$AY$3,$AZ$3=AN233),BA$3,"")</f>
        <v/>
      </c>
      <c r="AV233" s="108" t="str">
        <f t="shared" ref="AV233:AV251" si="45">IF(AU233&lt;&gt;"",AU233,AT233)</f>
        <v/>
      </c>
    </row>
    <row r="234" spans="1:48">
      <c r="A234" s="108" t="str">
        <f>IFERROR(IF(AND('Customer Base'!D$7&lt;&gt;"Grid-Tied",'Customer Base'!D$20="Hoppecke",'Customer Base'!D$19="12V Lead-Acid",'Customer Base'!E$20=100),MROUND('Customer Base'!D$21,'Customer Base'!D$8/12),""),"")</f>
        <v/>
      </c>
      <c r="C234" s="258" t="s">
        <v>1526</v>
      </c>
      <c r="D234" s="330">
        <v>310.01</v>
      </c>
      <c r="E234" s="330">
        <v>291.98899999999998</v>
      </c>
      <c r="F234" s="260">
        <f t="shared" si="42"/>
        <v>254.31501230516815</v>
      </c>
      <c r="G234" s="260">
        <f>IFERROR(ROUNDUP(F234*INVOICE!$O$6,2),0)</f>
        <v>4247.0700000000006</v>
      </c>
      <c r="H234" s="260">
        <f t="shared" si="43"/>
        <v>239.53158326497126</v>
      </c>
      <c r="I234" s="260">
        <f>IFERROR(ROUNDUP(H234*INVOICE!$O$6,2),0)</f>
        <v>4000.1800000000003</v>
      </c>
      <c r="J234" s="108" t="str">
        <f t="shared" si="40"/>
        <v/>
      </c>
      <c r="L234" s="108" t="str">
        <f t="shared" si="41"/>
        <v/>
      </c>
      <c r="N234" s="108">
        <v>233</v>
      </c>
      <c r="O234" s="108" t="str">
        <f>IF(INVOICE!$N$16="MANUAL",IF(B234&lt;&gt;"",C234,""),IF(INVOICE!$N$16="AUTOMATE",IF(A234&lt;&gt;"",C234,""),""))</f>
        <v/>
      </c>
      <c r="AM234" s="108">
        <v>1.2</v>
      </c>
      <c r="AN234" s="108" t="s">
        <v>2261</v>
      </c>
      <c r="AO234" s="108" t="str">
        <f>IF(INVOICE!$N$16="MANUAL",IFERROR(AM234*B234,""),IF(INVOICE!$N$16="AUTOMATE",IFERROR(AM234*A234,""),""))</f>
        <v/>
      </c>
      <c r="AR234" s="108" t="s">
        <v>2233</v>
      </c>
      <c r="AT234" s="108" t="str">
        <f t="shared" si="44"/>
        <v/>
      </c>
      <c r="AV234" s="108" t="str">
        <f t="shared" si="45"/>
        <v/>
      </c>
    </row>
    <row r="235" spans="1:48" ht="17">
      <c r="A235" s="108" t="str">
        <f>IFERROR(IF(AND('Customer Base'!D$7&lt;&gt;"Grid-Tied",'Customer Base'!D$20="Hoppecke",'Customer Base'!D$19="12V Lead-Acid",'Customer Base'!E$20=150),MROUND('Customer Base'!D$21,'Customer Base'!D$8/12),""),"")</f>
        <v/>
      </c>
      <c r="C235" s="258" t="s">
        <v>1527</v>
      </c>
      <c r="D235" s="330">
        <v>405.85</v>
      </c>
      <c r="E235" s="330">
        <v>382.255</v>
      </c>
      <c r="F235" s="260">
        <f t="shared" si="42"/>
        <v>332.93683347005742</v>
      </c>
      <c r="G235" s="260">
        <f>IFERROR(ROUNDUP(F235*INVOICE!$O$6,2),0)</f>
        <v>5560.05</v>
      </c>
      <c r="H235" s="260">
        <f t="shared" si="43"/>
        <v>313.5808039376538</v>
      </c>
      <c r="I235" s="260">
        <f>IFERROR(ROUNDUP(H235*INVOICE!$O$6,2),0)</f>
        <v>5236.8</v>
      </c>
      <c r="J235" s="108" t="str">
        <f t="shared" si="40"/>
        <v/>
      </c>
      <c r="L235" s="108" t="str">
        <f t="shared" si="41"/>
        <v/>
      </c>
      <c r="N235" s="108">
        <v>234</v>
      </c>
      <c r="O235" s="108" t="str">
        <f>IF(INVOICE!$N$16="MANUAL",IF(B235&lt;&gt;"",C235,""),IF(INVOICE!$N$16="AUTOMATE",IF(A235&lt;&gt;"",C235,""),""))</f>
        <v/>
      </c>
      <c r="AM235" s="108">
        <v>1.8</v>
      </c>
      <c r="AN235" s="252" t="s">
        <v>2265</v>
      </c>
      <c r="AO235" s="108" t="str">
        <f>IF(INVOICE!$N$16="MANUAL",IFERROR(AM235*B235,""),IF(INVOICE!$N$16="AUTOMATE",IFERROR(AM235*A235,""),""))</f>
        <v/>
      </c>
      <c r="AR235" s="108" t="s">
        <v>2233</v>
      </c>
      <c r="AT235" s="108" t="str">
        <f t="shared" si="44"/>
        <v/>
      </c>
      <c r="AV235" s="108" t="str">
        <f t="shared" si="45"/>
        <v/>
      </c>
    </row>
    <row r="236" spans="1:48">
      <c r="A236" s="108" t="str">
        <f>IFERROR(IF(AND('Customer Base'!D$7&lt;&gt;"Grid-Tied",'Customer Base'!D$20="Hoppecke",'Customer Base'!D$19="12V Lead-Acid",'Customer Base'!E$20=250),MROUND('Customer Base'!D$21,'Customer Base'!D$8/6),""),"")</f>
        <v/>
      </c>
      <c r="C236" s="258" t="s">
        <v>1528</v>
      </c>
      <c r="D236" s="330">
        <v>313.95</v>
      </c>
      <c r="E236" s="330">
        <v>295.69900000000001</v>
      </c>
      <c r="F236" s="260">
        <f t="shared" si="42"/>
        <v>257.54716981132071</v>
      </c>
      <c r="G236" s="260">
        <f>IFERROR(ROUNDUP(F236*INVOICE!$O$6,2),0)</f>
        <v>4301.04</v>
      </c>
      <c r="H236" s="260">
        <f t="shared" si="43"/>
        <v>242.57506152584085</v>
      </c>
      <c r="I236" s="260">
        <f>IFERROR(ROUNDUP(H236*INVOICE!$O$6,2),0)</f>
        <v>4051.01</v>
      </c>
      <c r="J236" s="108" t="str">
        <f t="shared" si="40"/>
        <v/>
      </c>
      <c r="L236" s="108" t="str">
        <f t="shared" si="41"/>
        <v/>
      </c>
      <c r="N236" s="108">
        <v>235</v>
      </c>
      <c r="O236" s="108" t="str">
        <f>IF(INVOICE!$N$16="MANUAL",IF(B236&lt;&gt;"",C236,""),IF(INVOICE!$N$16="AUTOMATE",IF(A236&lt;&gt;"",C236,""),""))</f>
        <v/>
      </c>
      <c r="AM236" s="108">
        <v>3</v>
      </c>
      <c r="AN236" s="108" t="s">
        <v>2266</v>
      </c>
      <c r="AO236" s="108" t="str">
        <f>IF(INVOICE!$N$16="MANUAL",IFERROR(AM236*B236,""),IF(INVOICE!$N$16="AUTOMATE",IFERROR(AM236*A236,""),""))</f>
        <v/>
      </c>
      <c r="AR236" s="108" t="s">
        <v>2233</v>
      </c>
      <c r="AT236" s="108" t="str">
        <f t="shared" si="44"/>
        <v/>
      </c>
      <c r="AV236" s="108" t="str">
        <f t="shared" si="45"/>
        <v/>
      </c>
    </row>
    <row r="237" spans="1:48">
      <c r="D237" s="324"/>
      <c r="E237" s="324"/>
      <c r="F237" s="229">
        <f t="shared" si="42"/>
        <v>0</v>
      </c>
      <c r="H237" s="229">
        <f t="shared" si="43"/>
        <v>0</v>
      </c>
      <c r="I237" s="229"/>
      <c r="J237" s="108" t="str">
        <f t="shared" si="40"/>
        <v/>
      </c>
      <c r="L237" s="108" t="str">
        <f t="shared" si="41"/>
        <v/>
      </c>
      <c r="N237" s="108">
        <v>236</v>
      </c>
      <c r="O237" s="108" t="str">
        <f>IF(INVOICE!$N$16="MANUAL",IF(B237&lt;&gt;"",C237,""),IF(INVOICE!$N$16="AUTOMATE",IF(A237&lt;&gt;"",C237,""),""))</f>
        <v/>
      </c>
      <c r="AO237" s="108">
        <f>IF(INVOICE!$N$16="MANUAL",IFERROR(AM237*B237,""),IF(INVOICE!$N$16="AUTOMATE",IFERROR(AM237*A237,""),""))</f>
        <v>0</v>
      </c>
      <c r="AT237" s="108" t="str">
        <f t="shared" si="44"/>
        <v/>
      </c>
      <c r="AV237" s="108" t="str">
        <f t="shared" si="45"/>
        <v/>
      </c>
    </row>
    <row r="238" spans="1:48">
      <c r="C238" s="249" t="s">
        <v>895</v>
      </c>
      <c r="D238" s="331">
        <v>114.69</v>
      </c>
      <c r="E238" s="331">
        <v>108.02160000000001</v>
      </c>
      <c r="F238" s="263">
        <f t="shared" si="42"/>
        <v>94.085315832649698</v>
      </c>
      <c r="G238" s="250">
        <f>IFERROR(ROUNDUP(F238*INVOICE!$O$6,2),0)</f>
        <v>1571.23</v>
      </c>
      <c r="H238" s="263">
        <f t="shared" si="43"/>
        <v>88.6149302707137</v>
      </c>
      <c r="I238" s="250">
        <f>IFERROR(ROUNDUP(H238*INVOICE!$O$6,2),0)</f>
        <v>1479.87</v>
      </c>
      <c r="J238" s="108" t="str">
        <f t="shared" si="40"/>
        <v/>
      </c>
      <c r="L238" s="108" t="str">
        <f t="shared" si="41"/>
        <v/>
      </c>
      <c r="N238" s="108">
        <v>237</v>
      </c>
      <c r="O238" s="108" t="str">
        <f>IF(INVOICE!$N$16="MANUAL",IF(B238&lt;&gt;"",C238,""),IF(INVOICE!$N$16="AUTOMATE",IF(A238&lt;&gt;"",C238,""),""))</f>
        <v/>
      </c>
      <c r="AO238" s="108">
        <f>IF(INVOICE!$N$16="MANUAL",IFERROR(AM238*B238,""),IF(INVOICE!$N$16="AUTOMATE",IFERROR(AM238*A238,""),""))</f>
        <v>0</v>
      </c>
      <c r="AT238" s="108" t="str">
        <f t="shared" si="44"/>
        <v/>
      </c>
      <c r="AV238" s="108" t="str">
        <f t="shared" si="45"/>
        <v/>
      </c>
    </row>
    <row r="239" spans="1:48">
      <c r="C239" s="249" t="s">
        <v>896</v>
      </c>
      <c r="D239" s="331">
        <v>99.33</v>
      </c>
      <c r="E239" s="331">
        <v>93.555000000000007</v>
      </c>
      <c r="F239" s="263">
        <f t="shared" si="42"/>
        <v>81.484823625922886</v>
      </c>
      <c r="G239" s="250">
        <f>IFERROR(ROUNDUP(F239*INVOICE!$O$6,2),0)</f>
        <v>1360.8</v>
      </c>
      <c r="H239" s="263">
        <f t="shared" si="43"/>
        <v>76.747333880229704</v>
      </c>
      <c r="I239" s="250">
        <f>IFERROR(ROUNDUP(H239*INVOICE!$O$6,2),0)</f>
        <v>1281.69</v>
      </c>
      <c r="J239" s="108" t="str">
        <f t="shared" si="40"/>
        <v/>
      </c>
      <c r="L239" s="108" t="str">
        <f t="shared" si="41"/>
        <v/>
      </c>
      <c r="N239" s="108">
        <v>238</v>
      </c>
      <c r="O239" s="108" t="str">
        <f>IF(INVOICE!$N$16="MANUAL",IF(B239&lt;&gt;"",C239,""),IF(INVOICE!$N$16="AUTOMATE",IF(A239&lt;&gt;"",C239,""),""))</f>
        <v/>
      </c>
      <c r="AO239" s="108">
        <f>IF(INVOICE!$N$16="MANUAL",IFERROR(AM239*B239,""),IF(INVOICE!$N$16="AUTOMATE",IFERROR(AM239*A239,""),""))</f>
        <v>0</v>
      </c>
      <c r="AT239" s="108" t="str">
        <f t="shared" si="44"/>
        <v/>
      </c>
      <c r="AV239" s="108" t="str">
        <f t="shared" si="45"/>
        <v/>
      </c>
    </row>
    <row r="240" spans="1:48">
      <c r="C240" s="231"/>
      <c r="D240" s="329"/>
      <c r="E240" s="329"/>
      <c r="F240" s="261">
        <f t="shared" ref="F240:F251" si="46">$D240/1.219</f>
        <v>0</v>
      </c>
      <c r="G240" s="229">
        <f>IFERROR(ROUNDUP(F240*INVOICE!$O$6,2),0)</f>
        <v>0</v>
      </c>
      <c r="H240" s="261">
        <f t="shared" ref="H240:H251" si="47">$E240/1.219</f>
        <v>0</v>
      </c>
      <c r="I240" s="229">
        <f>IFERROR(ROUNDUP(H240*INVOICE!$O$6,2),0)</f>
        <v>0</v>
      </c>
      <c r="J240" s="108" t="str">
        <f t="shared" si="40"/>
        <v/>
      </c>
      <c r="L240" s="108" t="str">
        <f t="shared" si="41"/>
        <v/>
      </c>
      <c r="N240" s="108">
        <v>239</v>
      </c>
      <c r="O240" s="108" t="str">
        <f>IF(INVOICE!$N$16="MANUAL",IF(B240&lt;&gt;"",C240,""),IF(INVOICE!$N$16="AUTOMATE",IF(A240&lt;&gt;"",C240,""),""))</f>
        <v/>
      </c>
      <c r="AO240" s="108">
        <f>IF(INVOICE!$N$16="MANUAL",IFERROR(AM240*B240,""),IF(INVOICE!$N$16="AUTOMATE",IFERROR(AM240*A240,""),""))</f>
        <v>0</v>
      </c>
      <c r="AT240" s="108" t="str">
        <f t="shared" si="44"/>
        <v/>
      </c>
      <c r="AV240" s="108" t="str">
        <f t="shared" si="45"/>
        <v/>
      </c>
    </row>
    <row r="241" spans="1:48">
      <c r="C241" s="237" t="s">
        <v>1901</v>
      </c>
      <c r="D241" s="327"/>
      <c r="E241" s="327"/>
      <c r="F241" s="257">
        <f t="shared" si="46"/>
        <v>0</v>
      </c>
      <c r="G241" s="239">
        <f>IFERROR(ROUNDUP(F241*INVOICE!$O$6,2),0)</f>
        <v>0</v>
      </c>
      <c r="H241" s="257">
        <f t="shared" si="47"/>
        <v>0</v>
      </c>
      <c r="I241" s="239">
        <f>IFERROR(ROUNDUP(H241*INVOICE!$O$6,2),0)</f>
        <v>0</v>
      </c>
      <c r="J241" s="108" t="str">
        <f t="shared" si="40"/>
        <v/>
      </c>
      <c r="L241" s="108" t="str">
        <f t="shared" si="41"/>
        <v/>
      </c>
      <c r="N241" s="108">
        <v>240</v>
      </c>
      <c r="O241" s="108" t="str">
        <f>IF(INVOICE!$N$16="MANUAL",IF(B241&lt;&gt;"",C241,""),IF(INVOICE!$N$16="AUTOMATE",IF(A241&lt;&gt;"",C241,""),""))</f>
        <v/>
      </c>
      <c r="AO241" s="108">
        <f>IF(INVOICE!$N$16="MANUAL",IFERROR(AM241*B241,""),IF(INVOICE!$N$16="AUTOMATE",IFERROR(AM241*A241,""),""))</f>
        <v>0</v>
      </c>
      <c r="AV241" s="108">
        <f t="shared" si="45"/>
        <v>0</v>
      </c>
    </row>
    <row r="242" spans="1:48">
      <c r="A242" s="108" t="str">
        <f>IFERROR(IF(AND('Customer Base'!D$7&lt;&gt;"Backup",'Customer Base'!D$26=530,'Customer Base'!D$25="BYD"),ROUNDUP('Customer Base'!D$27/AM242,0),""),"")</f>
        <v/>
      </c>
      <c r="C242" s="264" t="s">
        <v>1130</v>
      </c>
      <c r="D242" s="332">
        <v>148.5</v>
      </c>
      <c r="E242" s="332">
        <v>121.5</v>
      </c>
      <c r="F242" s="265">
        <f t="shared" si="46"/>
        <v>121.82116488925348</v>
      </c>
      <c r="G242" s="265">
        <f>IFERROR(ROUNDUP(F242*INVOICE!$O$6,2),0)</f>
        <v>2034.42</v>
      </c>
      <c r="H242" s="265">
        <f t="shared" si="47"/>
        <v>99.671862182116485</v>
      </c>
      <c r="I242" s="265">
        <f>IFERROR(ROUNDUP(H242*INVOICE!$O$6,2),0)</f>
        <v>1664.53</v>
      </c>
      <c r="J242" s="108" t="str">
        <f t="shared" si="40"/>
        <v/>
      </c>
      <c r="L242" s="108" t="str">
        <f t="shared" si="41"/>
        <v/>
      </c>
      <c r="N242" s="108">
        <v>241</v>
      </c>
      <c r="O242" s="108" t="str">
        <f>IF(INVOICE!$N$16="MANUAL",IF(B242&lt;&gt;"",C242,""),IF(INVOICE!$N$16="AUTOMATE",IF(A242&lt;&gt;"",C242,""),""))</f>
        <v/>
      </c>
      <c r="AM242" s="108">
        <v>0.53</v>
      </c>
      <c r="AN242" s="108" t="s">
        <v>2317</v>
      </c>
      <c r="AO242" s="108" t="str">
        <f>IF(INVOICE!$N$16="MANUAL",IFERROR(AM242*B242,""),IF(INVOICE!$N$16="AUTOMATE",IFERROR(AM242*A242,""),""))</f>
        <v/>
      </c>
      <c r="AP242" s="108">
        <v>14</v>
      </c>
      <c r="AQ242" s="108">
        <v>49.12</v>
      </c>
      <c r="AR242" s="108" t="s">
        <v>2324</v>
      </c>
      <c r="AS242" s="108" t="str">
        <f t="shared" ref="AS242:AS250" si="48">IF(AT242&lt;&gt;"",AQ242,"")</f>
        <v/>
      </c>
      <c r="AT242" s="108" t="str">
        <f>IF(AND(AR242=$AY$4,$AZ$4=AN242),BA$4,"")</f>
        <v/>
      </c>
      <c r="AV242" s="108" t="str">
        <f t="shared" si="45"/>
        <v/>
      </c>
    </row>
    <row r="243" spans="1:48">
      <c r="A243" s="108" t="str">
        <f>IFERROR(IF(AND('Customer Base'!D$7&lt;&gt;"Backup",'Customer Base'!D$26=545,'Customer Base'!D$25="BYD"),ROUNDUP('Customer Base'!D$27/AM243,0),""),"")</f>
        <v/>
      </c>
      <c r="C243" s="264" t="s">
        <v>1895</v>
      </c>
      <c r="D243" s="332">
        <v>148.5</v>
      </c>
      <c r="E243" s="332">
        <v>121.5</v>
      </c>
      <c r="F243" s="265">
        <f t="shared" si="46"/>
        <v>121.82116488925348</v>
      </c>
      <c r="G243" s="265">
        <f>IFERROR(ROUNDUP(F243*INVOICE!$O$6,2),0)</f>
        <v>2034.42</v>
      </c>
      <c r="H243" s="265">
        <f t="shared" si="47"/>
        <v>99.671862182116485</v>
      </c>
      <c r="I243" s="265">
        <f>IFERROR(ROUNDUP(H243*INVOICE!$O$6,2),0)</f>
        <v>1664.53</v>
      </c>
      <c r="J243" s="108" t="str">
        <f t="shared" si="40"/>
        <v/>
      </c>
      <c r="L243" s="108" t="str">
        <f t="shared" si="41"/>
        <v/>
      </c>
      <c r="N243" s="108">
        <v>242</v>
      </c>
      <c r="O243" s="108" t="str">
        <f>IF(INVOICE!$N$16="MANUAL",IF(B243&lt;&gt;"",C243,""),IF(INVOICE!$N$16="AUTOMATE",IF(A243&lt;&gt;"",C243,""),""))</f>
        <v/>
      </c>
      <c r="AM243" s="108">
        <v>0.54500000000000004</v>
      </c>
      <c r="AN243" s="108" t="s">
        <v>2318</v>
      </c>
      <c r="AO243" s="108" t="str">
        <f>IF(INVOICE!$N$16="MANUAL",IFERROR(AM243*B243,""),IF(INVOICE!$N$16="AUTOMATE",IFERROR(AM243*A243,""),""))</f>
        <v/>
      </c>
      <c r="AP243" s="108">
        <v>13.57</v>
      </c>
      <c r="AQ243" s="108">
        <v>50.02</v>
      </c>
      <c r="AR243" s="108" t="s">
        <v>2324</v>
      </c>
      <c r="AS243" s="108" t="str">
        <f t="shared" si="48"/>
        <v/>
      </c>
      <c r="AT243" s="108" t="str">
        <f t="shared" ref="AT243:AT254" si="49">IF(AND(AR243=$AY$4,$AZ$4=AN243),BA$4,"")</f>
        <v/>
      </c>
      <c r="AV243" s="108" t="str">
        <f t="shared" si="45"/>
        <v/>
      </c>
    </row>
    <row r="244" spans="1:48">
      <c r="D244" s="324"/>
      <c r="E244" s="324"/>
      <c r="I244" s="229"/>
      <c r="J244" s="108" t="str">
        <f t="shared" si="40"/>
        <v/>
      </c>
      <c r="L244" s="108" t="str">
        <f t="shared" si="41"/>
        <v/>
      </c>
      <c r="N244" s="108">
        <v>243</v>
      </c>
      <c r="O244" s="108" t="str">
        <f>IF(INVOICE!$N$16="MANUAL",IF(B244&lt;&gt;"",C244,""),IF(INVOICE!$N$16="AUTOMATE",IF(A244&lt;&gt;"",C244,""),""))</f>
        <v/>
      </c>
      <c r="AO244" s="108">
        <f>IF(INVOICE!$N$16="MANUAL",IFERROR(AM244*B244,""),IF(INVOICE!$N$16="AUTOMATE",IFERROR(AM244*A244,""),""))</f>
        <v>0</v>
      </c>
      <c r="AS244" s="108" t="str">
        <f t="shared" si="48"/>
        <v/>
      </c>
      <c r="AT244" s="108" t="str">
        <f t="shared" si="49"/>
        <v/>
      </c>
      <c r="AV244" s="108" t="str">
        <f t="shared" si="45"/>
        <v/>
      </c>
    </row>
    <row r="245" spans="1:48">
      <c r="A245" s="108" t="str">
        <f>IFERROR(IF(AND('Customer Base'!D$7&lt;&gt;"Backup",'Customer Base'!D$26=555,'Customer Base'!D$25="Jinko"),ROUNDUP('Customer Base'!D$27/AM245,0),""),"")</f>
        <v/>
      </c>
      <c r="C245" s="264" t="s">
        <v>2202</v>
      </c>
      <c r="D245" s="332">
        <v>147.91</v>
      </c>
      <c r="E245" s="332">
        <v>130.84700000000001</v>
      </c>
      <c r="F245" s="265">
        <f t="shared" si="46"/>
        <v>121.3371616078753</v>
      </c>
      <c r="G245" s="265">
        <f>IFERROR(ROUNDUP(F245*INVOICE!$O$6,2),0)</f>
        <v>2026.34</v>
      </c>
      <c r="H245" s="265">
        <f t="shared" si="47"/>
        <v>107.33962264150944</v>
      </c>
      <c r="I245" s="265">
        <f>IFERROR(ROUNDUP(H245*INVOICE!$O$6,2),0)</f>
        <v>1792.58</v>
      </c>
      <c r="J245" s="108" t="str">
        <f t="shared" si="40"/>
        <v/>
      </c>
      <c r="L245" s="108" t="str">
        <f t="shared" si="41"/>
        <v/>
      </c>
      <c r="N245" s="108">
        <v>244</v>
      </c>
      <c r="O245" s="108" t="str">
        <f>IF(INVOICE!$N$16="MANUAL",IF(B245&lt;&gt;"",C245,""),IF(INVOICE!$N$16="AUTOMATE",IF(A245&lt;&gt;"",C245,""),""))</f>
        <v/>
      </c>
      <c r="AM245" s="108">
        <v>0.55500000000000005</v>
      </c>
      <c r="AN245" s="108" t="s">
        <v>2319</v>
      </c>
      <c r="AO245" s="108" t="str">
        <f>IF(INVOICE!$N$16="MANUAL",IFERROR(AM245*B245,""),IF(INVOICE!$N$16="AUTOMATE",IFERROR(AM245*A245,""),""))</f>
        <v/>
      </c>
      <c r="AP245" s="108">
        <v>14.12</v>
      </c>
      <c r="AQ245" s="108">
        <v>49.72</v>
      </c>
      <c r="AR245" s="108" t="s">
        <v>2315</v>
      </c>
      <c r="AS245" s="108" t="str">
        <f t="shared" si="48"/>
        <v/>
      </c>
      <c r="AT245" s="108" t="str">
        <f t="shared" si="49"/>
        <v/>
      </c>
      <c r="AV245" s="108" t="str">
        <f t="shared" si="45"/>
        <v/>
      </c>
    </row>
    <row r="246" spans="1:48">
      <c r="D246" s="324"/>
      <c r="E246" s="324"/>
      <c r="F246" s="229">
        <f t="shared" si="46"/>
        <v>0</v>
      </c>
      <c r="G246" s="229">
        <f>IFERROR(ROUNDUP(F246*INVOICE!$O$6,2),0)</f>
        <v>0</v>
      </c>
      <c r="H246" s="229">
        <f t="shared" si="47"/>
        <v>0</v>
      </c>
      <c r="I246" s="229">
        <f>IFERROR(ROUNDUP(H246*INVOICE!$O$6,2),0)</f>
        <v>0</v>
      </c>
      <c r="J246" s="108" t="str">
        <f t="shared" si="40"/>
        <v/>
      </c>
      <c r="L246" s="108" t="str">
        <f t="shared" si="41"/>
        <v/>
      </c>
      <c r="N246" s="108">
        <v>245</v>
      </c>
      <c r="O246" s="108" t="str">
        <f>IF(INVOICE!$N$16="MANUAL",IF(B246&lt;&gt;"",C246,""),IF(INVOICE!$N$16="AUTOMATE",IF(A246&lt;&gt;"",C246,""),""))</f>
        <v/>
      </c>
      <c r="AO246" s="108">
        <f>IF(INVOICE!$N$16="MANUAL",IFERROR(AM246*B246,""),IF(INVOICE!$N$16="AUTOMATE",IFERROR(AM246*A246,""),""))</f>
        <v>0</v>
      </c>
      <c r="AS246" s="108" t="str">
        <f t="shared" si="48"/>
        <v/>
      </c>
      <c r="AT246" s="108" t="str">
        <f t="shared" si="49"/>
        <v/>
      </c>
      <c r="AV246" s="108" t="str">
        <f t="shared" si="45"/>
        <v/>
      </c>
    </row>
    <row r="247" spans="1:48">
      <c r="A247" s="108">
        <f>IFERROR(IF(AND('Customer Base'!D$7&lt;&gt;"Backup",'Customer Base'!D$26=565,'Customer Base'!D$25="JA Solar"),ROUNDUP('Customer Base'!D$27/AM247,0),""),"")</f>
        <v>40</v>
      </c>
      <c r="C247" s="264" t="s">
        <v>2668</v>
      </c>
      <c r="D247" s="332">
        <v>116.55</v>
      </c>
      <c r="E247" s="332">
        <v>97.125</v>
      </c>
      <c r="F247" s="265">
        <f t="shared" si="46"/>
        <v>95.611156685808027</v>
      </c>
      <c r="G247" s="265">
        <f>IFERROR(ROUNDUP(F247*INVOICE!$O$6,2),0)</f>
        <v>1596.71</v>
      </c>
      <c r="H247" s="265">
        <f t="shared" si="47"/>
        <v>79.675963904840032</v>
      </c>
      <c r="I247" s="265">
        <f>IFERROR(ROUNDUP(H247*INVOICE!$O$6,2),0)</f>
        <v>1330.59</v>
      </c>
      <c r="J247" s="108" t="str">
        <f t="shared" si="40"/>
        <v/>
      </c>
      <c r="L247" s="108" t="str">
        <f t="shared" si="41"/>
        <v/>
      </c>
      <c r="N247" s="108">
        <v>246</v>
      </c>
      <c r="O247" s="108" t="str">
        <f>IF(INVOICE!$N$16="MANUAL",IF(B247&lt;&gt;"",C247,""),IF(INVOICE!$N$16="AUTOMATE",IF(A247&lt;&gt;"",C247,""),""))</f>
        <v>JA Solar JAM72-S30 565 Watts Solar Panel</v>
      </c>
      <c r="AM247" s="108">
        <v>0.56499999999999995</v>
      </c>
      <c r="AN247" s="108" t="s">
        <v>2671</v>
      </c>
      <c r="AO247" s="108">
        <f>IF(INVOICE!$N$16="MANUAL",IFERROR(AM247*B247,""),IF(INVOICE!$N$16="AUTOMATE",IFERROR(AM247*A247,""),""))</f>
        <v>22.599999999999998</v>
      </c>
      <c r="AP247" s="108">
        <v>14.31</v>
      </c>
      <c r="AQ247" s="108">
        <v>50.5</v>
      </c>
      <c r="AR247" s="108" t="s">
        <v>2314</v>
      </c>
      <c r="AS247" s="108" t="str">
        <f t="shared" ref="AS247" si="50">IF(AT247&lt;&gt;"",AQ247,"")</f>
        <v/>
      </c>
      <c r="AT247" s="108" t="str">
        <f t="shared" ref="AT247" si="51">IF(AND(AR247=$AY$4,$AZ$4=AN247),BA$4,"")</f>
        <v/>
      </c>
    </row>
    <row r="248" spans="1:48">
      <c r="D248" s="324"/>
      <c r="E248" s="324"/>
      <c r="F248" s="229">
        <f t="shared" si="46"/>
        <v>0</v>
      </c>
      <c r="G248" s="229">
        <f>IFERROR(ROUNDUP(F248*INVOICE!$O$6,2),0)</f>
        <v>0</v>
      </c>
      <c r="H248" s="229">
        <f t="shared" si="47"/>
        <v>0</v>
      </c>
      <c r="I248" s="229">
        <f>IFERROR(ROUNDUP(H248*INVOICE!$O$6,2),0)</f>
        <v>0</v>
      </c>
      <c r="J248" s="108" t="str">
        <f t="shared" si="40"/>
        <v/>
      </c>
      <c r="L248" s="108" t="str">
        <f t="shared" si="41"/>
        <v/>
      </c>
      <c r="N248" s="108">
        <v>247</v>
      </c>
      <c r="O248" s="108" t="str">
        <f>IF(INVOICE!$N$16="MANUAL",IF(B248&lt;&gt;"",C248,""),IF(INVOICE!$N$16="AUTOMATE",IF(A248&lt;&gt;"",C248,""),""))</f>
        <v/>
      </c>
      <c r="AO248" s="108">
        <f>IF(INVOICE!$N$16="MANUAL",IFERROR(AM248*B248,""),IF(INVOICE!$N$16="AUTOMATE",IFERROR(AM248*A248,""),""))</f>
        <v>0</v>
      </c>
      <c r="AS248" s="108" t="str">
        <f t="shared" si="48"/>
        <v/>
      </c>
      <c r="AT248" s="108" t="str">
        <f t="shared" si="49"/>
        <v/>
      </c>
      <c r="AV248" s="108" t="str">
        <f t="shared" si="45"/>
        <v/>
      </c>
    </row>
    <row r="249" spans="1:48">
      <c r="A249" s="108" t="str">
        <f>IFERROR(IF(AND('Customer Base'!D$7&lt;&gt;"Backup",'Customer Base'!D$26=415,'Customer Base'!D$25="Sharp"),ROUNDUP('Customer Base'!D$27/AM249,0),""),"")</f>
        <v/>
      </c>
      <c r="C249" s="264" t="s">
        <v>2312</v>
      </c>
      <c r="D249" s="332">
        <v>129.79</v>
      </c>
      <c r="E249" s="332">
        <v>105.754</v>
      </c>
      <c r="F249" s="265">
        <f t="shared" si="46"/>
        <v>106.47251845775224</v>
      </c>
      <c r="G249" s="265">
        <f>IFERROR(ROUNDUP(F249*INVOICE!$O$6,2),0)</f>
        <v>1778.1</v>
      </c>
      <c r="H249" s="265">
        <f t="shared" si="47"/>
        <v>86.754716981132077</v>
      </c>
      <c r="I249" s="265">
        <f>IFERROR(ROUNDUP(H249*INVOICE!$O$6,2),0)</f>
        <v>1448.81</v>
      </c>
      <c r="J249" s="108" t="str">
        <f t="shared" si="40"/>
        <v/>
      </c>
      <c r="L249" s="108" t="str">
        <f t="shared" si="41"/>
        <v/>
      </c>
      <c r="N249" s="108">
        <v>248</v>
      </c>
      <c r="O249" s="108" t="str">
        <f>IF(INVOICE!$N$16="MANUAL",IF(B249&lt;&gt;"",C249,""),IF(INVOICE!$N$16="AUTOMATE",IF(A249&lt;&gt;"",C249,""),""))</f>
        <v/>
      </c>
      <c r="AM249" s="108">
        <v>0.41499999999999998</v>
      </c>
      <c r="AN249" s="108" t="s">
        <v>2320</v>
      </c>
      <c r="AO249" s="108" t="str">
        <f>IF(INVOICE!$N$16="MANUAL",IFERROR(AM249*B249,""),IF(INVOICE!$N$16="AUTOMATE",IFERROR(AM249*A249,""),""))</f>
        <v/>
      </c>
      <c r="AP249" s="108">
        <v>13.87</v>
      </c>
      <c r="AQ249" s="108">
        <v>38.08</v>
      </c>
      <c r="AR249" s="108" t="s">
        <v>2313</v>
      </c>
      <c r="AS249" s="108" t="str">
        <f t="shared" si="48"/>
        <v/>
      </c>
      <c r="AT249" s="108" t="str">
        <f t="shared" si="49"/>
        <v/>
      </c>
      <c r="AV249" s="108" t="str">
        <f t="shared" si="45"/>
        <v/>
      </c>
    </row>
    <row r="250" spans="1:48">
      <c r="D250" s="324"/>
      <c r="E250" s="324"/>
      <c r="F250" s="229">
        <f t="shared" si="46"/>
        <v>0</v>
      </c>
      <c r="G250" s="229">
        <f>IFERROR(ROUNDUP(F250*INVOICE!$O$6,2),0)</f>
        <v>0</v>
      </c>
      <c r="H250" s="229">
        <f t="shared" si="47"/>
        <v>0</v>
      </c>
      <c r="I250" s="229">
        <f>IFERROR(ROUNDUP(H250*INVOICE!$O$6,2),0)</f>
        <v>0</v>
      </c>
      <c r="J250" s="108" t="str">
        <f t="shared" si="40"/>
        <v/>
      </c>
      <c r="L250" s="108" t="str">
        <f t="shared" si="41"/>
        <v/>
      </c>
      <c r="N250" s="108">
        <v>249</v>
      </c>
      <c r="O250" s="108" t="str">
        <f>IF(INVOICE!$N$16="MANUAL",IF(B250&lt;&gt;"",C250,""),IF(INVOICE!$N$16="AUTOMATE",IF(A250&lt;&gt;"",C250,""),""))</f>
        <v/>
      </c>
      <c r="AO250" s="108">
        <f>IF(INVOICE!$N$16="MANUAL",IFERROR(AM250*B250,""),IF(INVOICE!$N$16="AUTOMATE",IFERROR(AM250*A250,""),""))</f>
        <v>0</v>
      </c>
      <c r="AS250" s="108" t="str">
        <f t="shared" si="48"/>
        <v/>
      </c>
      <c r="AT250" s="108" t="str">
        <f t="shared" si="49"/>
        <v/>
      </c>
      <c r="AV250" s="108" t="str">
        <f t="shared" si="45"/>
        <v/>
      </c>
    </row>
    <row r="251" spans="1:48">
      <c r="A251" s="108" t="str">
        <f>IFERROR(IF(AND('Customer Base'!D$7&lt;&gt;"Backup",'Customer Base'!D$26=115,'Customer Base'!D$25="Victron"),ROUNDUP('Customer Base'!D$27/AM251,0),""),"")</f>
        <v/>
      </c>
      <c r="C251" s="264" t="s">
        <v>2760</v>
      </c>
      <c r="D251" s="332">
        <v>64.900000000000006</v>
      </c>
      <c r="E251" s="332">
        <v>62.192</v>
      </c>
      <c r="F251" s="265">
        <f t="shared" si="46"/>
        <v>53.240360951599676</v>
      </c>
      <c r="G251" s="265">
        <f>IFERROR(ROUNDUP(F251*INVOICE!$O$6,2),0)</f>
        <v>889.12</v>
      </c>
      <c r="H251" s="265">
        <f t="shared" si="47"/>
        <v>51.018867924528301</v>
      </c>
      <c r="I251" s="265">
        <f>IFERROR(ROUNDUP(H251*INVOICE!$O$6,2),0)</f>
        <v>852.02</v>
      </c>
      <c r="J251" s="108" t="str">
        <f t="shared" si="40"/>
        <v/>
      </c>
      <c r="L251" s="108" t="str">
        <f t="shared" si="41"/>
        <v/>
      </c>
      <c r="N251" s="108">
        <v>250</v>
      </c>
      <c r="O251" s="108" t="str">
        <f>IF(INVOICE!$N$16="MANUAL",IF(B251&lt;&gt;"",C251,""),IF(INVOICE!$N$16="AUTOMATE",IF(A251&lt;&gt;"",C251,""),""))</f>
        <v/>
      </c>
      <c r="AM251" s="108">
        <v>0.115</v>
      </c>
      <c r="AN251" s="108" t="s">
        <v>2321</v>
      </c>
      <c r="AO251" s="108" t="str">
        <f>IF(INVOICE!$N$16="MANUAL",IFERROR(AM251*B251,""),IF(INVOICE!$N$16="AUTOMATE",IFERROR(AM251*A251,""),""))</f>
        <v/>
      </c>
      <c r="AP251" s="108">
        <v>6.61</v>
      </c>
      <c r="AQ251" s="108">
        <v>23.32</v>
      </c>
      <c r="AR251" s="108" t="s">
        <v>2316</v>
      </c>
      <c r="AS251" s="108" t="str">
        <f>IF(AT251&lt;&gt;"",AQ251,"")</f>
        <v/>
      </c>
      <c r="AT251" s="108" t="str">
        <f t="shared" si="49"/>
        <v/>
      </c>
      <c r="AV251" s="108" t="str">
        <f t="shared" si="45"/>
        <v/>
      </c>
    </row>
    <row r="252" spans="1:48">
      <c r="A252" s="108" t="str">
        <f>IFERROR(IF(AND('Customer Base'!D$7&lt;&gt;"Backup",'Customer Base'!D$26=270,'Customer Base'!D$25="Victron"),ROUNDUP('Customer Base'!D$27/AM252,0),""),"")</f>
        <v/>
      </c>
      <c r="C252" s="264" t="s">
        <v>1360</v>
      </c>
      <c r="D252" s="332">
        <v>118.44</v>
      </c>
      <c r="E252" s="332">
        <v>113.505</v>
      </c>
      <c r="F252" s="265">
        <f t="shared" ref="F252:F289" si="52">$D252/1.219</f>
        <v>97.161607875307624</v>
      </c>
      <c r="G252" s="265">
        <f>IFERROR(ROUNDUP(F252*INVOICE!$O$6,2),0)</f>
        <v>1622.6</v>
      </c>
      <c r="H252" s="265">
        <f t="shared" ref="H252:H289" si="53">$E252/1.219</f>
        <v>93.113207547169807</v>
      </c>
      <c r="I252" s="265">
        <f>IFERROR(ROUNDUP(H252*INVOICE!$O$6,2),0)</f>
        <v>1555</v>
      </c>
      <c r="J252" s="108" t="str">
        <f t="shared" si="40"/>
        <v/>
      </c>
      <c r="L252" s="108" t="str">
        <f t="shared" si="41"/>
        <v/>
      </c>
      <c r="N252" s="108">
        <v>251</v>
      </c>
      <c r="O252" s="108" t="str">
        <f>IF(INVOICE!$N$16="MANUAL",IF(B252&lt;&gt;"",C252,""),IF(INVOICE!$N$16="AUTOMATE",IF(A252&lt;&gt;"",C252,""),""))</f>
        <v/>
      </c>
      <c r="AM252" s="108">
        <v>0.27</v>
      </c>
      <c r="AN252" s="108" t="s">
        <v>2322</v>
      </c>
      <c r="AO252" s="108" t="str">
        <f>IF(INVOICE!$N$16="MANUAL",IFERROR(AM252*B252,""),IF(INVOICE!$N$16="AUTOMATE",IFERROR(AM252*A252,""),""))</f>
        <v/>
      </c>
      <c r="AP252" s="108">
        <v>9.2100000000000009</v>
      </c>
      <c r="AQ252" s="108">
        <v>38.04</v>
      </c>
      <c r="AR252" s="108" t="s">
        <v>2316</v>
      </c>
      <c r="AS252" s="108" t="str">
        <f t="shared" ref="AS252:AS254" si="54">IF(AT252&lt;&gt;"",AQ252,"")</f>
        <v/>
      </c>
      <c r="AT252" s="108" t="str">
        <f t="shared" si="49"/>
        <v/>
      </c>
      <c r="AV252" s="108" t="str">
        <f t="shared" ref="AV252:AV289" si="55">IF(AU252&lt;&gt;"",AU252,AT252)</f>
        <v/>
      </c>
    </row>
    <row r="253" spans="1:48">
      <c r="A253" s="108" t="str">
        <f>IFERROR(IF(AND('Customer Base'!D$7&lt;&gt;"Backup",'Customer Base'!D$26=305,'Customer Base'!D$25="Victron"),ROUNDUP('Customer Base'!D$27/AM254,0),""),"")</f>
        <v/>
      </c>
      <c r="C253" s="264" t="s">
        <v>2759</v>
      </c>
      <c r="D253" s="332">
        <v>131.54</v>
      </c>
      <c r="E253" s="332">
        <v>126.063</v>
      </c>
      <c r="F253" s="265">
        <f t="shared" si="52"/>
        <v>107.90812141099261</v>
      </c>
      <c r="G253" s="265">
        <f>IFERROR(ROUNDUP(F253*INVOICE!$O$6,2),0)</f>
        <v>1802.07</v>
      </c>
      <c r="H253" s="265">
        <f t="shared" si="53"/>
        <v>103.41509433962264</v>
      </c>
      <c r="I253" s="265">
        <f>IFERROR(ROUNDUP(H253*INVOICE!$O$6,2),0)</f>
        <v>1727.04</v>
      </c>
      <c r="J253" s="108" t="str">
        <f t="shared" si="40"/>
        <v/>
      </c>
      <c r="L253" s="108" t="str">
        <f t="shared" si="41"/>
        <v/>
      </c>
      <c r="N253" s="108">
        <v>252</v>
      </c>
      <c r="O253" s="108" t="str">
        <f>IF(INVOICE!$N$16="MANUAL",IF(B253&lt;&gt;"",C253,""),IF(INVOICE!$N$16="AUTOMATE",IF(A253&lt;&gt;"",C253,""),""))</f>
        <v/>
      </c>
      <c r="AM253" s="108">
        <v>0.30499999999999999</v>
      </c>
      <c r="AN253" s="108" t="s">
        <v>2323</v>
      </c>
      <c r="AO253" s="108" t="str">
        <f>IF(INVOICE!$N$16="MANUAL",IFERROR(AM253*B253,""),IF(INVOICE!$N$16="AUTOMATE",IFERROR(AM253*A253,""),""))</f>
        <v/>
      </c>
      <c r="AP253" s="108">
        <v>10.27</v>
      </c>
      <c r="AQ253" s="108">
        <v>39.86</v>
      </c>
      <c r="AR253" s="108" t="s">
        <v>2316</v>
      </c>
    </row>
    <row r="254" spans="1:48">
      <c r="A254" s="108" t="str">
        <f>IFERROR(IF(AND('Customer Base'!D$7&lt;&gt;"Backup",'Customer Base'!D$26=330,'Customer Base'!D$25="Victron"),ROUNDUP('Customer Base'!D$27/AM254,0),""),"")</f>
        <v/>
      </c>
      <c r="C254" s="264" t="s">
        <v>2758</v>
      </c>
      <c r="D254" s="332">
        <v>129.78</v>
      </c>
      <c r="E254" s="332">
        <v>124.373</v>
      </c>
      <c r="F254" s="265">
        <f t="shared" si="52"/>
        <v>106.46431501230516</v>
      </c>
      <c r="G254" s="265">
        <f>IFERROR(ROUNDUP(F254*INVOICE!$O$6,2),0)</f>
        <v>1777.96</v>
      </c>
      <c r="H254" s="265">
        <f t="shared" si="53"/>
        <v>102.0287120590648</v>
      </c>
      <c r="I254" s="265">
        <f>IFERROR(ROUNDUP(H254*INVOICE!$O$6,2),0)</f>
        <v>1703.8799999999999</v>
      </c>
      <c r="J254" s="108" t="str">
        <f t="shared" si="40"/>
        <v/>
      </c>
      <c r="L254" s="108" t="str">
        <f t="shared" si="41"/>
        <v/>
      </c>
      <c r="N254" s="108">
        <v>253</v>
      </c>
      <c r="O254" s="108" t="str">
        <f>IF(INVOICE!$N$16="MANUAL",IF(B254&lt;&gt;"",C254,""),IF(INVOICE!$N$16="AUTOMATE",IF(A254&lt;&gt;"",C254,""),""))</f>
        <v/>
      </c>
      <c r="AM254" s="108">
        <v>0.33</v>
      </c>
      <c r="AN254" s="108" t="s">
        <v>2761</v>
      </c>
      <c r="AO254" s="108" t="str">
        <f>IF(INVOICE!$N$16="MANUAL",IFERROR(AM254*B254,""),IF(INVOICE!$N$16="AUTOMATE",IFERROR(AM254*A254,""),""))</f>
        <v/>
      </c>
      <c r="AP254" s="108">
        <v>9.57</v>
      </c>
      <c r="AQ254" s="108">
        <v>44.72</v>
      </c>
      <c r="AR254" s="108" t="s">
        <v>2316</v>
      </c>
      <c r="AS254" s="108" t="str">
        <f t="shared" si="54"/>
        <v/>
      </c>
      <c r="AT254" s="108" t="str">
        <f t="shared" si="49"/>
        <v/>
      </c>
      <c r="AV254" s="108" t="str">
        <f t="shared" si="55"/>
        <v/>
      </c>
    </row>
    <row r="255" spans="1:48">
      <c r="D255" s="324"/>
      <c r="E255" s="324"/>
      <c r="I255" s="229"/>
      <c r="J255" s="108" t="str">
        <f t="shared" si="40"/>
        <v/>
      </c>
      <c r="L255" s="108" t="str">
        <f t="shared" si="41"/>
        <v/>
      </c>
      <c r="N255" s="108">
        <v>254</v>
      </c>
      <c r="O255" s="108" t="str">
        <f>IF(INVOICE!$N$16="MANUAL",IF(B255&lt;&gt;"",C255,""),IF(INVOICE!$N$16="AUTOMATE",IF(A255&lt;&gt;"",C255,""),""))</f>
        <v/>
      </c>
      <c r="AO255" s="108">
        <f>IF(INVOICE!$N$16="MANUAL",IFERROR(AM255*B255,""),IF(INVOICE!$N$16="AUTOMATE",IFERROR(AM255*A255,""),""))</f>
        <v>0</v>
      </c>
      <c r="AV255" s="108">
        <f t="shared" si="55"/>
        <v>0</v>
      </c>
    </row>
    <row r="256" spans="1:48">
      <c r="C256" s="237" t="s">
        <v>1902</v>
      </c>
      <c r="D256" s="325"/>
      <c r="E256" s="325"/>
      <c r="F256" s="239">
        <f t="shared" si="52"/>
        <v>0</v>
      </c>
      <c r="G256" s="239">
        <f>IFERROR(ROUNDUP(F256*INVOICE!$O$6,2),0)</f>
        <v>0</v>
      </c>
      <c r="H256" s="239">
        <f t="shared" si="53"/>
        <v>0</v>
      </c>
      <c r="I256" s="239">
        <f>IFERROR(ROUNDUP(H256*INVOICE!$O$6,2),0)</f>
        <v>0</v>
      </c>
      <c r="J256" s="108" t="str">
        <f t="shared" si="40"/>
        <v/>
      </c>
      <c r="L256" s="108" t="str">
        <f t="shared" si="41"/>
        <v/>
      </c>
      <c r="N256" s="108">
        <v>255</v>
      </c>
      <c r="O256" s="108" t="str">
        <f>IF(INVOICE!$N$16="MANUAL",IF(B256&lt;&gt;"",C256,""),IF(INVOICE!$N$16="AUTOMATE",IF(A256&lt;&gt;"",C256,""),""))</f>
        <v/>
      </c>
      <c r="AO256" s="108">
        <f>IF(INVOICE!$N$16="MANUAL",IFERROR(AM256*B256,""),IF(INVOICE!$N$16="AUTOMATE",IFERROR(AM256*A256,""),""))</f>
        <v>0</v>
      </c>
      <c r="AV256" s="108">
        <f t="shared" si="55"/>
        <v>0</v>
      </c>
    </row>
    <row r="257" spans="1:49">
      <c r="C257" s="242" t="s">
        <v>861</v>
      </c>
      <c r="D257" s="272">
        <v>63.21</v>
      </c>
      <c r="E257" s="272">
        <v>59.534999999999997</v>
      </c>
      <c r="F257" s="243">
        <f t="shared" si="52"/>
        <v>51.853978671041837</v>
      </c>
      <c r="G257" s="243">
        <f>IFERROR(ROUNDUP(F257*INVOICE!$O$6,2),0)</f>
        <v>865.97</v>
      </c>
      <c r="H257" s="243">
        <f t="shared" si="53"/>
        <v>48.839212469237076</v>
      </c>
      <c r="I257" s="243">
        <f>IFERROR(ROUNDUP(H257*INVOICE!$O$6,2),0)</f>
        <v>815.62</v>
      </c>
      <c r="J257" s="108" t="str">
        <f t="shared" si="40"/>
        <v/>
      </c>
      <c r="L257" s="108" t="str">
        <f t="shared" si="41"/>
        <v/>
      </c>
      <c r="N257" s="108">
        <v>256</v>
      </c>
      <c r="O257" s="108" t="str">
        <f>IF(INVOICE!$N$16="MANUAL",IF(B257&lt;&gt;"",C257,""),IF(INVOICE!$N$16="AUTOMATE",IF(A257&lt;&gt;"",C257,""),""))</f>
        <v/>
      </c>
      <c r="AO257" s="108">
        <f>IF(INVOICE!$N$16="MANUAL",IFERROR(AM257*B257,""),IF(INVOICE!$N$16="AUTOMATE",IFERROR(AM257*A257,""),""))</f>
        <v>0</v>
      </c>
      <c r="AP257" s="108">
        <v>75</v>
      </c>
      <c r="AQ257" s="108">
        <v>145</v>
      </c>
      <c r="AR257" s="108">
        <v>290</v>
      </c>
      <c r="AT257" s="108" t="str">
        <f>IF(AND(SUMPRODUCT(AS$242:AS$254,AT$242:AT$254)&gt;0,SUMPRODUCT(AS$242:AS$254,AT$242:AT$254)&lt;=75,OR(AND(BD$1=12,BB$4&gt;0,BB$4&lt;=0.145),AND(BD$1=24,BB$4&gt;0,BB$4&lt;=0.29))),1,"")</f>
        <v/>
      </c>
      <c r="AV257" s="108" t="str">
        <f t="shared" si="55"/>
        <v/>
      </c>
      <c r="AW257" s="108">
        <f>IF('Customer Base'!$D$8=12,AQ257,IF('Customer Base'!$D$8=24,AR257,IF('Customer Base'!$D$8=48,AS257,"")))</f>
        <v>0</v>
      </c>
    </row>
    <row r="258" spans="1:49">
      <c r="C258" s="242" t="s">
        <v>862</v>
      </c>
      <c r="D258" s="272">
        <v>67.73</v>
      </c>
      <c r="E258" s="272">
        <v>63.7956</v>
      </c>
      <c r="F258" s="243">
        <f t="shared" si="52"/>
        <v>55.561936013125511</v>
      </c>
      <c r="G258" s="243">
        <f>IFERROR(ROUNDUP(F258*INVOICE!$O$6,2),0)</f>
        <v>927.89</v>
      </c>
      <c r="H258" s="243">
        <f t="shared" si="53"/>
        <v>52.334372436423294</v>
      </c>
      <c r="I258" s="243">
        <f>IFERROR(ROUNDUP(H258*INVOICE!$O$6,2),0)</f>
        <v>873.99</v>
      </c>
      <c r="J258" s="108" t="str">
        <f t="shared" si="40"/>
        <v/>
      </c>
      <c r="L258" s="108" t="str">
        <f t="shared" si="41"/>
        <v/>
      </c>
      <c r="N258" s="108">
        <v>257</v>
      </c>
      <c r="O258" s="108" t="str">
        <f>IF(INVOICE!$N$16="MANUAL",IF(B258&lt;&gt;"",C258,""),IF(INVOICE!$N$16="AUTOMATE",IF(A258&lt;&gt;"",C258,""),""))</f>
        <v/>
      </c>
      <c r="AO258" s="108">
        <f>IF(INVOICE!$N$16="MANUAL",IFERROR(AM258*B258,""),IF(INVOICE!$N$16="AUTOMATE",IFERROR(AM258*A258,""),""))</f>
        <v>0</v>
      </c>
      <c r="AP258" s="108">
        <v>75</v>
      </c>
      <c r="AQ258" s="108">
        <v>220</v>
      </c>
      <c r="AR258" s="108">
        <v>440</v>
      </c>
      <c r="AT258" s="108" t="str">
        <f>IF(AND(SUMPRODUCT(AS$242:AS$254,AT$242:AT$254)&gt;0,SUMPRODUCT(AS$242:AS$254,AT$242:AT$254)&lt;=75,OR(AND(BD$1=12,BB$4&gt;0.145,BB$4&lt;=0.22),AND(BD$1=24,BB$4&gt;0.29,BB$4&lt;=0.44))),1,"")</f>
        <v/>
      </c>
      <c r="AV258" s="108" t="str">
        <f t="shared" si="55"/>
        <v/>
      </c>
      <c r="AW258" s="108">
        <f>IF('Customer Base'!$D$8=12,AQ258,IF('Customer Base'!$D$8=24,AR258,IF('Customer Base'!$D$8=48,AS258,"")))</f>
        <v>0</v>
      </c>
    </row>
    <row r="259" spans="1:49">
      <c r="C259" s="242" t="s">
        <v>863</v>
      </c>
      <c r="D259" s="272">
        <v>79.459999999999994</v>
      </c>
      <c r="E259" s="272">
        <v>74.843999999999994</v>
      </c>
      <c r="F259" s="243">
        <f t="shared" si="52"/>
        <v>65.184577522559465</v>
      </c>
      <c r="G259" s="243">
        <f>IFERROR(ROUNDUP(F259*INVOICE!$O$6,2),0)</f>
        <v>1088.5899999999999</v>
      </c>
      <c r="H259" s="243">
        <f t="shared" si="53"/>
        <v>61.397867104183746</v>
      </c>
      <c r="I259" s="243">
        <f>IFERROR(ROUNDUP(H259*INVOICE!$O$6,2),0)</f>
        <v>1025.3499999999999</v>
      </c>
      <c r="J259" s="108" t="str">
        <f t="shared" si="40"/>
        <v/>
      </c>
      <c r="L259" s="108" t="str">
        <f t="shared" si="41"/>
        <v/>
      </c>
      <c r="N259" s="108">
        <v>258</v>
      </c>
      <c r="O259" s="108" t="str">
        <f>IF(INVOICE!$N$16="MANUAL",IF(B259&lt;&gt;"",C259,""),IF(INVOICE!$N$16="AUTOMATE",IF(A259&lt;&gt;"",C259,""),""))</f>
        <v/>
      </c>
      <c r="AO259" s="108">
        <f>IF(INVOICE!$N$16="MANUAL",IFERROR(AM259*B259,""),IF(INVOICE!$N$16="AUTOMATE",IFERROR(AM259*A259,""),""))</f>
        <v>0</v>
      </c>
      <c r="AP259" s="108">
        <v>100</v>
      </c>
      <c r="AQ259" s="108">
        <v>220</v>
      </c>
      <c r="AR259" s="108">
        <v>440</v>
      </c>
      <c r="AT259" s="108" t="str">
        <f>IF(AND(SUMPRODUCT(AS$242:AS$254,AT$242:AT$254)&gt;75,SUMPRODUCT(AS$242:AS$254,AT$242:AT$254)&lt;=100,OR(AND(BD$1=12,BB$4&gt;0.145,BB$4&lt;=0.22),AND(BD$1=24,BB$4&gt;0.29,BB$4&lt;=0.44))),1,"")</f>
        <v/>
      </c>
      <c r="AV259" s="108" t="str">
        <f t="shared" si="55"/>
        <v/>
      </c>
      <c r="AW259" s="108">
        <f>IF('Customer Base'!$D$8=12,AQ259,IF('Customer Base'!$D$8=24,AR259,IF('Customer Base'!$D$8=48,AS259,"")))</f>
        <v>0</v>
      </c>
    </row>
    <row r="260" spans="1:49">
      <c r="A260" s="108" t="str">
        <f ca="1">IFERROR(IF(AND('Client List'!IP474=100,'Client List'!ED474&lt;&gt;0,'Customer Base'!D$7&lt;&gt;"Backup",'Customer Base'!D$13="Victron"),1,IF(AND('Customer Base'!D$7&lt;&gt;"Backup",'Customer Base'!D$13="Victron"),IF(AND('Client List'!EH474=100,'Client List'!EF$474&gt;0,'Client List'!EF$474&lt;=AW$260,OR(SUM('Client List'!EE483:EE485)&gt;0,SUM('Client List'!EE477:EE491)=0)),'Client List'!EC$474,IF(AND('Client List'!IP474=100,'Client List'!IN$474&gt;0,'Client List'!IN$474&lt;=AW$260,SUM('Client List'!IM483:IM485)&gt;0),'Client List'!IK$474,"")),"")),"")</f>
        <v/>
      </c>
      <c r="C260" s="242" t="s">
        <v>1679</v>
      </c>
      <c r="D260" s="272">
        <v>90.3</v>
      </c>
      <c r="E260" s="272">
        <v>85.05</v>
      </c>
      <c r="F260" s="243">
        <f t="shared" si="52"/>
        <v>74.077112387202618</v>
      </c>
      <c r="G260" s="243">
        <f>IFERROR(ROUNDUP(F260*INVOICE!$O$6,2),0)</f>
        <v>1237.0899999999999</v>
      </c>
      <c r="H260" s="243">
        <f t="shared" si="53"/>
        <v>69.770303527481531</v>
      </c>
      <c r="I260" s="243">
        <f>IFERROR(ROUNDUP(H260*INVOICE!$O$6,2),0)</f>
        <v>1165.17</v>
      </c>
      <c r="J260" s="108" t="str">
        <f t="shared" si="40"/>
        <v/>
      </c>
      <c r="L260" s="108" t="str">
        <f t="shared" si="41"/>
        <v/>
      </c>
      <c r="N260" s="108">
        <v>260</v>
      </c>
      <c r="O260" s="108" t="str">
        <f ca="1">IF(INVOICE!$N$16="MANUAL",IF(B260&lt;&gt;"",C260,""),IF(INVOICE!$N$16="AUTOMATE",IF(A260&lt;&gt;"",C260,""),""))</f>
        <v/>
      </c>
      <c r="AO260" s="108" t="str">
        <f ca="1">IF(INVOICE!$N$16="MANUAL",IFERROR(AM260*B260,""),IF(INVOICE!$N$16="AUTOMATE",IFERROR(AM260*A260,""),""))</f>
        <v/>
      </c>
      <c r="AP260" s="108">
        <v>100</v>
      </c>
      <c r="AQ260" s="108">
        <v>290</v>
      </c>
      <c r="AR260" s="108">
        <v>580</v>
      </c>
      <c r="AS260" s="108">
        <v>1160</v>
      </c>
      <c r="AT260" s="108" t="str">
        <f>IF(AND(SUMPRODUCT(AS$242:AS$254,AT$242:AT$254)&gt;75,SUMPRODUCT(AS$242:AS$254,AT$242:AT$254)&lt;=100,OR(AND(BD$1=12,BB$4&gt;0.22,BB$4&lt;=0.29),AND(BD$1=24,BB$4&gt;0.44,BB$4&lt;=0.58),AND(BD$1=48,BB$4&gt;0,BB$4&lt;=1.16))),1,"")</f>
        <v/>
      </c>
      <c r="AV260" s="108" t="str">
        <f t="shared" si="55"/>
        <v/>
      </c>
      <c r="AW260" s="108">
        <f>IF('Customer Base'!$D$8=12,AQ260,IF('Customer Base'!$D$8=24,AR260,IF('Customer Base'!$D$8=48,AS260,"")))</f>
        <v>1160</v>
      </c>
    </row>
    <row r="261" spans="1:49">
      <c r="A261" s="108" t="str">
        <f ca="1">IFERROR(IF(AND('Customer Base'!D$7&lt;&gt;"Backup",'Customer Base'!D$13="Victron"),IF(AND('Client List'!EH474=100,'Client List'!EF$474&gt;AW$260,'Client List'!EF$474&lt;=AW$261,OR(SUM('Client List'!EE483:EE485)&gt;0,SUM('Client List'!EE477:EE491)=0)),'Client List'!EC$474,IF(AND('Client List'!IP474=100,'Client List'!IN$474&gt;AW$260,'Client List'!IN$474&lt;=AW$261,SUM('Client List'!IM483:IM485)&gt;0),'Client List'!IK$474,"")),""),"")</f>
        <v/>
      </c>
      <c r="C261" s="242" t="s">
        <v>864</v>
      </c>
      <c r="D261" s="272">
        <v>130.03</v>
      </c>
      <c r="E261" s="272">
        <v>122.47199999999999</v>
      </c>
      <c r="F261" s="243">
        <f t="shared" si="52"/>
        <v>106.66940114848235</v>
      </c>
      <c r="G261" s="243">
        <f>IFERROR(ROUNDUP(F261*INVOICE!$O$6,2),0)</f>
        <v>1781.3799999999999</v>
      </c>
      <c r="H261" s="243">
        <f t="shared" si="53"/>
        <v>100.4692370795734</v>
      </c>
      <c r="I261" s="243">
        <f>IFERROR(ROUNDUP(H261*INVOICE!$O$6,2),0)</f>
        <v>1677.84</v>
      </c>
      <c r="J261" s="108" t="str">
        <f t="shared" si="40"/>
        <v/>
      </c>
      <c r="L261" s="108" t="str">
        <f t="shared" si="41"/>
        <v/>
      </c>
      <c r="N261" s="108">
        <v>261</v>
      </c>
      <c r="O261" s="108" t="str">
        <f ca="1">IF(INVOICE!$N$16="MANUAL",IF(B261&lt;&gt;"",C261,""),IF(INVOICE!$N$16="AUTOMATE",IF(A261&lt;&gt;"",C261,""),""))</f>
        <v/>
      </c>
      <c r="AO261" s="108" t="str">
        <f ca="1">IF(INVOICE!$N$16="MANUAL",IFERROR(AM261*B261,""),IF(INVOICE!$N$16="AUTOMATE",IFERROR(AM261*A261,""),""))</f>
        <v/>
      </c>
      <c r="AP261" s="108">
        <v>100</v>
      </c>
      <c r="AQ261" s="108">
        <v>440</v>
      </c>
      <c r="AR261" s="108">
        <v>880</v>
      </c>
      <c r="AT261" s="108" t="str">
        <f>IF(AND(SUMPRODUCT(AS$242:AS$254,AT$242:AT$254)&gt;75,SUMPRODUCT(AS$242:AS$254,AT$242:AT$254)&lt;=100,OR(AND(BD$1=12,BB$4&gt;0.29,BB$4&lt;=0.44),AND(BD$1=24,BB$4&gt;0.58,BB$4&lt;=0.88))),1,"")</f>
        <v/>
      </c>
      <c r="AV261" s="108" t="str">
        <f t="shared" si="55"/>
        <v/>
      </c>
      <c r="AW261" s="108">
        <f>IF('Customer Base'!$D$8=12,AQ261,IF('Customer Base'!$D$8=24,AR261,IF('Customer Base'!$D$8=48,AS261,"")))</f>
        <v>0</v>
      </c>
    </row>
    <row r="262" spans="1:49">
      <c r="A262" s="247" t="str">
        <f ca="1">IFERROR(IF(AND('Customer Base'!D$7&lt;&gt;"Backup",'Customer Base'!D$13="Victron"),IF(AND('Client List'!EH474=100,'Client List'!EF$474&gt;AW$261,'Client List'!EF$474&lt;=AW$262,OR(SUM('Client List'!EE483:EE485)&gt;0,SUM('Client List'!EE477:EE491)=0)),'Client List'!EC$474,IF(AND('Client List'!IP474=100,'Client List'!IN$474&gt;AW$261,'Client List'!IN$474&lt;=AW$262,SUM('Client List'!IM483:IM485)&gt;0),'Client List'!IK$474,"")),""),"")</f>
        <v/>
      </c>
      <c r="C262" s="242" t="s">
        <v>865</v>
      </c>
      <c r="D262" s="272">
        <v>186.93</v>
      </c>
      <c r="E262" s="272">
        <v>176.0616</v>
      </c>
      <c r="F262" s="243">
        <f t="shared" si="52"/>
        <v>153.3470057424118</v>
      </c>
      <c r="G262" s="243">
        <f>IFERROR(ROUNDUP(F262*INVOICE!$O$6,2),0)</f>
        <v>2560.9</v>
      </c>
      <c r="H262" s="243">
        <f t="shared" si="53"/>
        <v>144.43117309269891</v>
      </c>
      <c r="I262" s="243">
        <f>IFERROR(ROUNDUP(H262*INVOICE!$O$6,2),0)</f>
        <v>2412.0100000000002</v>
      </c>
      <c r="J262" s="108" t="str">
        <f t="shared" si="40"/>
        <v/>
      </c>
      <c r="L262" s="108" t="str">
        <f t="shared" si="41"/>
        <v/>
      </c>
      <c r="N262" s="108">
        <v>262</v>
      </c>
      <c r="O262" s="108" t="str">
        <f ca="1">IF(INVOICE!$N$16="MANUAL",IF(B262&lt;&gt;"",C262,""),IF(INVOICE!$N$16="AUTOMATE",IF(A262&lt;&gt;"",C262,""),""))</f>
        <v/>
      </c>
      <c r="AO262" s="108" t="str">
        <f ca="1">IF(INVOICE!$N$16="MANUAL",IFERROR(AM262*B262,""),IF(INVOICE!$N$16="AUTOMATE",IFERROR(AM262*A262,""),""))</f>
        <v/>
      </c>
      <c r="AP262" s="108">
        <v>100</v>
      </c>
      <c r="AQ262" s="108">
        <v>700</v>
      </c>
      <c r="AR262" s="108">
        <v>1400</v>
      </c>
      <c r="AT262" s="108" t="str">
        <f>IF(AND(SUMPRODUCT(AS$242:AS$254,AT$242:AT$254)&gt;75,SUMPRODUCT(AS$242:AS$254,AT$242:AT$254)&lt;=100,OR(AND(BD$1=12,BB$4&gt;0.44,BB$4&lt;=0.7),AND(BD$1=24,BB$4&gt;0.88,BB$4&lt;=1.4))),1,"")</f>
        <v/>
      </c>
      <c r="AV262" s="108" t="str">
        <f t="shared" si="55"/>
        <v/>
      </c>
      <c r="AW262" s="108">
        <f>IF('Customer Base'!$D$8=12,AQ262,IF('Customer Base'!$D$8=24,AR262,IF('Customer Base'!$D$8=48,AS262,"")))</f>
        <v>0</v>
      </c>
    </row>
    <row r="263" spans="1:49">
      <c r="A263" s="108">
        <f ca="1">IFERROR(IF(AND('Customer Base'!D$7&lt;&gt;"Backup",'Customer Base'!D$13="Victron"),IF(AND(OR(AND('Client List'!EH474=100,'Client List'!EF474&gt;1160,'Client List'!EF474&lt;2000,'Client List'!EF$474&gt;0),AND('Client List'!EH474=150,'Client List'!EF$474&lt;=AW$263)),OR(SUM('Client List'!EE477:EE485)&gt;0,SUM('Client List'!EE477:EE491)=0)),'Client List'!EC$474,IF(AND(OR(AND('Client List'!IP474=100,'Client List'!EN474&gt;1160,'Client List'!EN474&lt;2000,'Client List'!IN$474&gt;0),AND('Client List'!IP474=150,'Client List'!IN$474&lt;=AW$263)),SUM('Client List'!IM477:IM485)&gt;0),'Client List'!IK$474,"")),""),"")</f>
        <v>1</v>
      </c>
      <c r="C263" s="242" t="s">
        <v>866</v>
      </c>
      <c r="D263" s="272">
        <v>186.93</v>
      </c>
      <c r="E263" s="272">
        <v>176.0616</v>
      </c>
      <c r="F263" s="243">
        <f t="shared" si="52"/>
        <v>153.3470057424118</v>
      </c>
      <c r="G263" s="243">
        <f>IFERROR(ROUNDUP(F263*INVOICE!$O$6,2),0)</f>
        <v>2560.9</v>
      </c>
      <c r="H263" s="243">
        <f t="shared" si="53"/>
        <v>144.43117309269891</v>
      </c>
      <c r="I263" s="243">
        <f>IFERROR(ROUNDUP(H263*INVOICE!$O$6,2),0)</f>
        <v>2412.0100000000002</v>
      </c>
      <c r="J263" s="108" t="str">
        <f t="shared" si="40"/>
        <v/>
      </c>
      <c r="L263" s="108" t="str">
        <f t="shared" si="41"/>
        <v/>
      </c>
      <c r="N263" s="108">
        <v>263</v>
      </c>
      <c r="O263" s="108" t="str">
        <f ca="1">IF(INVOICE!$N$16="MANUAL",IF(B263&lt;&gt;"",C263,""),IF(INVOICE!$N$16="AUTOMATE",IF(A263&lt;&gt;"",C263,""),""))</f>
        <v>Victron SmartSolar MPPT 150/35</v>
      </c>
      <c r="AO263" s="108">
        <f ca="1">IF(INVOICE!$N$16="MANUAL",IFERROR(AM263*B263,""),IF(INVOICE!$N$16="AUTOMATE",IFERROR(AM263*A263,""),""))</f>
        <v>0</v>
      </c>
      <c r="AP263" s="108">
        <v>150</v>
      </c>
      <c r="AQ263" s="108">
        <v>500</v>
      </c>
      <c r="AR263" s="108">
        <v>1000</v>
      </c>
      <c r="AS263" s="108">
        <v>2000</v>
      </c>
      <c r="AT263" s="108" t="str">
        <f>IF(AND(SUMPRODUCT(AS$242:AS$254,AT$242:AT$254)&gt;100,SUMPRODUCT(AS$242:AS$254,AT$242:AT$254)&lt;=150,OR(AND(BD$1=12,BB$4&gt;0,BB$4&lt;=0.5),AND(BD$1=24,BB$4&gt;0,BB$4&lt;=1),,AND(BD$1=48,BB$4&gt;0,BB$4&lt;=2))),1,"")</f>
        <v/>
      </c>
      <c r="AV263" s="108" t="str">
        <f t="shared" si="55"/>
        <v/>
      </c>
      <c r="AW263" s="108">
        <f>IF('Customer Base'!$D$8=12,AQ263,IF('Customer Base'!$D$8=24,AR263,IF('Customer Base'!$D$8=48,AS263,"")))</f>
        <v>2000</v>
      </c>
    </row>
    <row r="264" spans="1:49">
      <c r="A264" s="108" t="str">
        <f ca="1">IFERROR(IF(AND('Customer Base'!D$7&lt;&gt;"Backup",'Customer Base'!D$13="Victron"),IF(AND('Client List'!EH474=150,'Client List'!EF$474&gt;AW$263,'Client List'!EF$474&lt;=AW$264,OR(SUM('Client List'!EE477:EE485)&gt;0,SUM('Client List'!EE477:EE491)=0)),'Client List'!EC$474,IF(AND('Client List'!IP474=150,'Client List'!IN$474&gt;AW$263,'Client List'!IN$474&lt;=AW$264,SUM('Client List'!IM477:IM485)&gt;0),'Client List'!IK$474,"")),""),"")</f>
        <v/>
      </c>
      <c r="C264" s="242" t="s">
        <v>1036</v>
      </c>
      <c r="D264" s="272">
        <v>221.23</v>
      </c>
      <c r="E264" s="272">
        <v>208.364</v>
      </c>
      <c r="F264" s="243">
        <f t="shared" si="52"/>
        <v>181.48482362592287</v>
      </c>
      <c r="G264" s="243">
        <f>IFERROR(ROUNDUP(F264*INVOICE!$O$6,2),0)</f>
        <v>3030.8</v>
      </c>
      <c r="H264" s="243">
        <f t="shared" si="53"/>
        <v>170.93027071369974</v>
      </c>
      <c r="I264" s="243">
        <f>IFERROR(ROUNDUP(H264*INVOICE!$O$6,2),0)</f>
        <v>2854.5400000000004</v>
      </c>
      <c r="J264" s="108" t="str">
        <f t="shared" si="40"/>
        <v/>
      </c>
      <c r="L264" s="108" t="str">
        <f t="shared" si="41"/>
        <v/>
      </c>
      <c r="N264" s="108">
        <v>264</v>
      </c>
      <c r="O264" s="108" t="str">
        <f ca="1">IF(INVOICE!$N$16="MANUAL",IF(B264&lt;&gt;"",C264,""),IF(INVOICE!$N$16="AUTOMATE",IF(A264&lt;&gt;"",C264,""),""))</f>
        <v/>
      </c>
      <c r="AO264" s="108" t="str">
        <f ca="1">IF(INVOICE!$N$16="MANUAL",IFERROR(AM264*B264,""),IF(INVOICE!$N$16="AUTOMATE",IFERROR(AM264*A264,""),""))</f>
        <v/>
      </c>
      <c r="AP264" s="108">
        <v>150</v>
      </c>
      <c r="AQ264" s="108">
        <v>650</v>
      </c>
      <c r="AR264" s="108">
        <v>1300</v>
      </c>
      <c r="AS264" s="108">
        <v>2600</v>
      </c>
      <c r="AT264" s="108" t="str">
        <f>IF(AND(SUMPRODUCT(AS$242:AS$254,AT$242:AT$254)&gt;100,SUMPRODUCT(AS$242:AS$254,AT$242:AT$254)&lt;=150,OR(AND(BD$1=12,BB$4&gt;0.5,BB$4&lt;=0.65),AND(BD$1=24,BB$4&gt;1,BB$4&lt;=1.3),,AND(BD$1=48,BB$4&gt;2,BB$4&lt;=2.6))),1,"")</f>
        <v/>
      </c>
      <c r="AV264" s="108" t="str">
        <f t="shared" ref="AV264" si="56">IF(AU264&lt;&gt;"",AU264,AT264)</f>
        <v/>
      </c>
      <c r="AW264" s="108">
        <f>IF('Customer Base'!$D$8=12,AQ264,IF('Customer Base'!$D$8=24,AR264,IF('Customer Base'!$D$8=48,AS264,"")))</f>
        <v>2600</v>
      </c>
    </row>
    <row r="265" spans="1:49">
      <c r="A265" s="108" t="str">
        <f ca="1">IFERROR(IF(AND('Customer Base'!D$7&lt;&gt;"Backup",'Customer Base'!D$13="Victron"),IF(AND('Client List'!EH474=150,'Client List'!EF$474&gt;AW$264,'Client List'!EF$474&lt;=AW$265,OR(SUM('Client List'!EE477:EE485)&gt;0,SUM('Client List'!EE477:EE491)=0)),'Client List'!EC$474,IF(AND('Client List'!IP474=150,'Client List'!IN$474&gt;AW$264,'Client List'!IN$474&lt;=AW$265,SUM('Client List'!IM477:IM485)&gt;0),'Client List'!IK$474,"")),""),"")</f>
        <v/>
      </c>
      <c r="C265" s="242" t="s">
        <v>867</v>
      </c>
      <c r="D265" s="272">
        <v>354.87</v>
      </c>
      <c r="E265" s="272">
        <v>334.23840000000001</v>
      </c>
      <c r="F265" s="243">
        <f t="shared" si="52"/>
        <v>291.11566858080391</v>
      </c>
      <c r="G265" s="243">
        <f>IFERROR(ROUNDUP(F265*INVOICE!$O$6,2),0)</f>
        <v>4861.6400000000003</v>
      </c>
      <c r="H265" s="243">
        <f t="shared" si="53"/>
        <v>274.1906480721903</v>
      </c>
      <c r="I265" s="243">
        <f>IFERROR(ROUNDUP(H265*INVOICE!$O$6,2),0)</f>
        <v>4578.99</v>
      </c>
      <c r="J265" s="108" t="str">
        <f t="shared" si="40"/>
        <v/>
      </c>
      <c r="L265" s="108" t="str">
        <f t="shared" si="41"/>
        <v/>
      </c>
      <c r="N265" s="108">
        <v>266</v>
      </c>
      <c r="O265" s="108" t="str">
        <f ca="1">IF(INVOICE!$N$16="MANUAL",IF(B265&lt;&gt;"",C265,""),IF(INVOICE!$N$16="AUTOMATE",IF(A265&lt;&gt;"",C265,""),""))</f>
        <v/>
      </c>
      <c r="AO265" s="108" t="str">
        <f ca="1">IF(INVOICE!$N$16="MANUAL",IFERROR(AM265*B265,""),IF(INVOICE!$N$16="AUTOMATE",IFERROR(AM265*A265,""),""))</f>
        <v/>
      </c>
      <c r="AP265" s="108">
        <v>150</v>
      </c>
      <c r="AQ265" s="108">
        <v>860</v>
      </c>
      <c r="AR265" s="108">
        <v>1720</v>
      </c>
      <c r="AS265" s="108">
        <v>3440</v>
      </c>
      <c r="AV265" s="108">
        <f t="shared" si="55"/>
        <v>0</v>
      </c>
      <c r="AW265" s="108">
        <f>IF('Customer Base'!$D$8=12,AQ265,IF('Customer Base'!$D$8=24,AR265,IF('Customer Base'!$D$8=48,AS265,"")))</f>
        <v>3440</v>
      </c>
    </row>
    <row r="266" spans="1:49">
      <c r="C266" s="242" t="s">
        <v>2756</v>
      </c>
      <c r="D266" s="272">
        <v>354.87</v>
      </c>
      <c r="E266" s="272">
        <v>334.238</v>
      </c>
      <c r="F266" s="243">
        <f t="shared" si="52"/>
        <v>291.11566858080391</v>
      </c>
      <c r="G266" s="243">
        <f>IFERROR(ROUNDUP(F266*INVOICE!$O$6,2),0)</f>
        <v>4861.6400000000003</v>
      </c>
      <c r="H266" s="243">
        <f t="shared" si="53"/>
        <v>274.19031993437244</v>
      </c>
      <c r="I266" s="243">
        <f>IFERROR(ROUNDUP(H266*INVOICE!$O$6,2),0)</f>
        <v>4578.9800000000005</v>
      </c>
      <c r="J266" s="108" t="str">
        <f t="shared" si="40"/>
        <v/>
      </c>
      <c r="L266" s="108" t="str">
        <f t="shared" si="41"/>
        <v/>
      </c>
      <c r="N266" s="108">
        <v>267</v>
      </c>
      <c r="O266" s="108" t="str">
        <f>IF(INVOICE!$N$16="MANUAL",IF(B266&lt;&gt;"",C266,""),IF(INVOICE!$N$16="AUTOMATE",IF(A266&lt;&gt;"",C266,""),""))</f>
        <v/>
      </c>
      <c r="AO266" s="108">
        <f>IF(INVOICE!$N$16="MANUAL",IFERROR(AM266*B266,""),IF(INVOICE!$N$16="AUTOMATE",IFERROR(AM266*A266,""),""))</f>
        <v>0</v>
      </c>
      <c r="AV266" s="108">
        <f t="shared" si="55"/>
        <v>0</v>
      </c>
      <c r="AW266" s="108">
        <f>IF('Customer Base'!$D$8=12,AQ266,IF('Customer Base'!$D$8=24,AR266,IF('Customer Base'!$D$8=48,AS266,"")))</f>
        <v>0</v>
      </c>
    </row>
    <row r="267" spans="1:49">
      <c r="C267" s="242" t="s">
        <v>868</v>
      </c>
      <c r="D267" s="272">
        <v>387.38</v>
      </c>
      <c r="E267" s="272">
        <v>364.85640000000001</v>
      </c>
      <c r="F267" s="243">
        <f t="shared" si="52"/>
        <v>317.78506972928625</v>
      </c>
      <c r="G267" s="243">
        <f>IFERROR(ROUNDUP(F267*INVOICE!$O$6,2),0)</f>
        <v>5307.02</v>
      </c>
      <c r="H267" s="243">
        <f t="shared" si="53"/>
        <v>299.30795734208368</v>
      </c>
      <c r="I267" s="243">
        <f>IFERROR(ROUNDUP(H267*INVOICE!$O$6,2),0)</f>
        <v>4998.45</v>
      </c>
      <c r="J267" s="108" t="str">
        <f t="shared" si="40"/>
        <v/>
      </c>
      <c r="L267" s="108" t="str">
        <f t="shared" si="41"/>
        <v/>
      </c>
      <c r="N267" s="108">
        <v>268</v>
      </c>
      <c r="O267" s="108" t="str">
        <f>IF(INVOICE!$N$16="MANUAL",IF(B267&lt;&gt;"",C267,""),IF(INVOICE!$N$16="AUTOMATE",IF(A267&lt;&gt;"",C267,""),""))</f>
        <v/>
      </c>
      <c r="AO267" s="108">
        <f>IF(INVOICE!$N$16="MANUAL",IFERROR(AM267*B267,""),IF(INVOICE!$N$16="AUTOMATE",IFERROR(AM267*A267,""),""))</f>
        <v>0</v>
      </c>
      <c r="AP267" s="108">
        <v>150</v>
      </c>
      <c r="AQ267" s="108">
        <v>1000</v>
      </c>
      <c r="AR267" s="108">
        <v>2000</v>
      </c>
      <c r="AS267" s="108">
        <v>4000</v>
      </c>
      <c r="AV267" s="108">
        <f t="shared" si="55"/>
        <v>0</v>
      </c>
      <c r="AW267" s="108">
        <f>IF('Customer Base'!$D$8=12,AQ267,IF('Customer Base'!$D$8=24,AR267,IF('Customer Base'!$D$8=48,AS267,"")))</f>
        <v>4000</v>
      </c>
    </row>
    <row r="268" spans="1:49">
      <c r="A268" s="108" t="str">
        <f ca="1">IFERROR(IF(AND('Customer Base'!D$7&lt;&gt;"Backup",'Customer Base'!D$13="Victron"),IF(AND('Client List'!EH474=150,'Client List'!EF$474&gt;AW$265,'Client List'!EF$474&lt;=AW$268,OR(SUM('Client List'!EE477:EE485)&gt;0,SUM('Client List'!EE477:EE491)=0)),'Client List'!EC$474,IF(AND('Client List'!IP474=150,'Client List'!IN$474&gt;AW$265,'Client List'!IN$474&lt;=AW$268,SUM('Client List'!IM477:IM485)&gt;0),'Client List'!IK$474,"")),""),"")</f>
        <v/>
      </c>
      <c r="C268" s="242" t="s">
        <v>869</v>
      </c>
      <c r="D268" s="272">
        <v>418.89</v>
      </c>
      <c r="E268" s="272">
        <v>395.4744</v>
      </c>
      <c r="F268" s="243">
        <f t="shared" si="52"/>
        <v>343.63412633305984</v>
      </c>
      <c r="G268" s="243">
        <f>IFERROR(ROUNDUP(F268*INVOICE!$O$6,2),0)</f>
        <v>5738.6900000000005</v>
      </c>
      <c r="H268" s="243">
        <f t="shared" si="53"/>
        <v>324.42526661197701</v>
      </c>
      <c r="I268" s="243">
        <f>IFERROR(ROUNDUP(H268*INVOICE!$O$6,2),0)</f>
        <v>5417.91</v>
      </c>
      <c r="J268" s="108" t="str">
        <f t="shared" si="40"/>
        <v/>
      </c>
      <c r="L268" s="108" t="str">
        <f t="shared" si="41"/>
        <v/>
      </c>
      <c r="N268" s="108">
        <v>269</v>
      </c>
      <c r="O268" s="108" t="str">
        <f ca="1">IF(INVOICE!$N$16="MANUAL",IF(B268&lt;&gt;"",C268,""),IF(INVOICE!$N$16="AUTOMATE",IF(A268&lt;&gt;"",C268,""),""))</f>
        <v/>
      </c>
      <c r="AO268" s="108" t="str">
        <f ca="1">IF(INVOICE!$N$16="MANUAL",IFERROR(AM268*B268,""),IF(INVOICE!$N$16="AUTOMATE",IFERROR(AM268*A268,""),""))</f>
        <v/>
      </c>
      <c r="AP268" s="108">
        <v>150</v>
      </c>
      <c r="AQ268" s="108">
        <v>1000</v>
      </c>
      <c r="AR268" s="108">
        <v>2000</v>
      </c>
      <c r="AS268" s="108">
        <v>4000</v>
      </c>
      <c r="AV268" s="108">
        <f t="shared" si="55"/>
        <v>0</v>
      </c>
      <c r="AW268" s="108">
        <f>IF('Customer Base'!$D$8=12,AQ268,IF('Customer Base'!$D$8=24,AR268,IF('Customer Base'!$D$8=48,AS268,"")))</f>
        <v>4000</v>
      </c>
    </row>
    <row r="269" spans="1:49">
      <c r="C269" s="242" t="s">
        <v>1037</v>
      </c>
      <c r="D269" s="272">
        <v>418.89</v>
      </c>
      <c r="E269" s="272">
        <v>395.47</v>
      </c>
      <c r="F269" s="243">
        <f t="shared" si="52"/>
        <v>343.63412633305984</v>
      </c>
      <c r="G269" s="243">
        <f>IFERROR(ROUNDUP(F269*INVOICE!$O$6,2),0)</f>
        <v>5738.6900000000005</v>
      </c>
      <c r="H269" s="243">
        <f t="shared" si="53"/>
        <v>324.42165709598032</v>
      </c>
      <c r="I269" s="243">
        <f>IFERROR(ROUNDUP(H269*INVOICE!$O$6,2),0)</f>
        <v>5417.85</v>
      </c>
      <c r="J269" s="108" t="str">
        <f t="shared" si="40"/>
        <v/>
      </c>
      <c r="L269" s="108" t="str">
        <f t="shared" si="41"/>
        <v/>
      </c>
      <c r="N269" s="108">
        <v>271</v>
      </c>
      <c r="O269" s="108" t="str">
        <f>IF(INVOICE!$N$16="MANUAL",IF(B269&lt;&gt;"",C269,""),IF(INVOICE!$N$16="AUTOMATE",IF(A269&lt;&gt;"",C269,""),""))</f>
        <v/>
      </c>
      <c r="AO269" s="108">
        <f>IF(INVOICE!$N$16="MANUAL",IFERROR(AM269*B269,""),IF(INVOICE!$N$16="AUTOMATE",IFERROR(AM269*A269,""),""))</f>
        <v>0</v>
      </c>
      <c r="AP269" s="108">
        <v>150</v>
      </c>
      <c r="AQ269" s="108">
        <v>1000</v>
      </c>
      <c r="AR269" s="108">
        <v>2000</v>
      </c>
      <c r="AS269" s="108">
        <v>4000</v>
      </c>
      <c r="AV269" s="108">
        <f t="shared" si="55"/>
        <v>0</v>
      </c>
      <c r="AW269" s="108">
        <f>IF('Customer Base'!$D$8=12,AQ269,IF('Customer Base'!$D$8=24,AR269,IF('Customer Base'!$D$8=48,AS269,"")))</f>
        <v>4000</v>
      </c>
    </row>
    <row r="270" spans="1:49">
      <c r="A270" s="108" t="str">
        <f ca="1">IFERROR(IF(AND('Customer Base'!D$7&lt;&gt;"Backup",'Customer Base'!D$13="Victron"),IF(AND('Client List'!EH474=150,'Client List'!EF$474&gt;AW$268,'Client List'!EF$474&lt;=AW$270,OR(SUM('Client List'!EE477:EE483)&gt;0,SUM('Client List'!EE477:EE491)=0)),'Client List'!EC$474,IF(AND('Client List'!IP474=150,'Client List'!IN$474&gt;AW$268,'Client List'!IN$474&lt;=AW$270,SUM('Client List'!IM477:IM485)&gt;0),'Client List'!IK$474,"")),""),"")</f>
        <v/>
      </c>
      <c r="C270" s="242" t="s">
        <v>870</v>
      </c>
      <c r="D270" s="272">
        <v>458.72</v>
      </c>
      <c r="E270" s="272">
        <v>432.05399999999997</v>
      </c>
      <c r="F270" s="243">
        <f t="shared" si="52"/>
        <v>376.30844954881047</v>
      </c>
      <c r="G270" s="243">
        <f>IFERROR(ROUNDUP(F270*INVOICE!$O$6,2),0)</f>
        <v>6284.3600000000006</v>
      </c>
      <c r="H270" s="243">
        <f t="shared" si="53"/>
        <v>354.43314191960621</v>
      </c>
      <c r="I270" s="243">
        <f>IFERROR(ROUNDUP(H270*INVOICE!$O$6,2),0)</f>
        <v>5919.04</v>
      </c>
      <c r="J270" s="108" t="str">
        <f t="shared" si="40"/>
        <v/>
      </c>
      <c r="L270" s="108" t="str">
        <f t="shared" si="41"/>
        <v/>
      </c>
      <c r="N270" s="108">
        <v>273</v>
      </c>
      <c r="O270" s="108" t="str">
        <f ca="1">IF(INVOICE!$N$16="MANUAL",IF(B270&lt;&gt;"",C270,""),IF(INVOICE!$N$16="AUTOMATE",IF(A270&lt;&gt;"",C270,""),""))</f>
        <v/>
      </c>
      <c r="AO270" s="108" t="str">
        <f ca="1">IF(INVOICE!$N$16="MANUAL",IFERROR(AM270*B270,""),IF(INVOICE!$N$16="AUTOMATE",IFERROR(AM270*A270,""),""))</f>
        <v/>
      </c>
      <c r="AP270" s="108">
        <v>150</v>
      </c>
      <c r="AQ270" s="108">
        <v>1200</v>
      </c>
      <c r="AR270" s="108">
        <v>2400</v>
      </c>
      <c r="AS270" s="108">
        <v>4900</v>
      </c>
      <c r="AV270" s="108">
        <f t="shared" si="55"/>
        <v>0</v>
      </c>
      <c r="AW270" s="108">
        <f>IF('Customer Base'!$D$8=12,AQ270,IF('Customer Base'!$D$8=24,AR270,IF('Customer Base'!$D$8=48,AS270,"")))</f>
        <v>4900</v>
      </c>
    </row>
    <row r="271" spans="1:49">
      <c r="C271" s="242" t="s">
        <v>1038</v>
      </c>
      <c r="D271" s="272">
        <v>468.67</v>
      </c>
      <c r="E271" s="272">
        <v>441.41759999999999</v>
      </c>
      <c r="F271" s="243">
        <f t="shared" si="52"/>
        <v>384.47087776866283</v>
      </c>
      <c r="G271" s="243">
        <f>IFERROR(ROUNDUP(F271*INVOICE!$O$6,2),0)</f>
        <v>6420.67</v>
      </c>
      <c r="H271" s="243">
        <f t="shared" si="53"/>
        <v>362.11452009844129</v>
      </c>
      <c r="I271" s="243">
        <f>IFERROR(ROUNDUP(H271*INVOICE!$O$6,2),0)</f>
        <v>6047.3200000000006</v>
      </c>
      <c r="J271" s="108" t="str">
        <f t="shared" si="40"/>
        <v/>
      </c>
      <c r="L271" s="108" t="str">
        <f t="shared" si="41"/>
        <v/>
      </c>
      <c r="N271" s="108">
        <v>275</v>
      </c>
      <c r="O271" s="108" t="str">
        <f>IF(INVOICE!$N$16="MANUAL",IF(B271&lt;&gt;"",C271,""),IF(INVOICE!$N$16="AUTOMATE",IF(A271&lt;&gt;"",C271,""),""))</f>
        <v/>
      </c>
      <c r="AO271" s="108">
        <f>IF(INVOICE!$N$16="MANUAL",IFERROR(AM271*B271,""),IF(INVOICE!$N$16="AUTOMATE",IFERROR(AM271*A271,""),""))</f>
        <v>0</v>
      </c>
      <c r="AP271" s="108">
        <v>150</v>
      </c>
      <c r="AQ271" s="108">
        <v>1200</v>
      </c>
      <c r="AR271" s="108">
        <v>2400</v>
      </c>
      <c r="AS271" s="108">
        <v>4900</v>
      </c>
      <c r="AV271" s="108">
        <f t="shared" si="55"/>
        <v>0</v>
      </c>
      <c r="AW271" s="108">
        <f>IF('Customer Base'!$D$8=12,AQ271,IF('Customer Base'!$D$8=24,AR271,IF('Customer Base'!$D$8=48,AS271,"")))</f>
        <v>4900</v>
      </c>
    </row>
    <row r="272" spans="1:49">
      <c r="A272" s="247" t="str">
        <f ca="1">IFERROR(IF(AND('Customer Base'!D$7&lt;&gt;"Backup",'Customer Base'!D$13="Victron"),IF(AND('Client List'!EH474=150,'Client List'!EF$474&gt;AW$270,'Client List'!EF$474&lt;=AW$272,OR(SUM('Client List'!EE477:EE485)&gt;0,SUM('Client List'!EE477:EE491)=0)),'Client List'!EC$474,IF(AND('Client List'!IP474=150,'Client List'!IN$474&gt;AW$270,'Client List'!IN$474&lt;=AW$272,SUM('Client List'!IM477:IM485)&gt;0),'Client List'!IK$474,"")),""),"")</f>
        <v/>
      </c>
      <c r="C272" s="242" t="s">
        <v>871</v>
      </c>
      <c r="D272" s="272">
        <v>522.85</v>
      </c>
      <c r="E272" s="272">
        <v>492.44760000000002</v>
      </c>
      <c r="F272" s="243">
        <f t="shared" si="52"/>
        <v>428.91714520098441</v>
      </c>
      <c r="G272" s="243">
        <f>IFERROR(ROUNDUP(F272*INVOICE!$O$6,2),0)</f>
        <v>7162.92</v>
      </c>
      <c r="H272" s="243">
        <f t="shared" si="53"/>
        <v>403.97670221493024</v>
      </c>
      <c r="I272" s="243">
        <f>IFERROR(ROUNDUP(H272*INVOICE!$O$6,2),0)</f>
        <v>6746.42</v>
      </c>
      <c r="J272" s="108" t="str">
        <f t="shared" ref="J272:J335" si="57">IF(D272&lt;&gt;"",IF(D272&lt;E272,"lkdfjk",""),"")</f>
        <v/>
      </c>
      <c r="L272" s="108" t="str">
        <f t="shared" ref="L272:L335" si="58">IF(H272&gt;F272,"lkkajdfkj","")</f>
        <v/>
      </c>
      <c r="N272" s="108">
        <v>277</v>
      </c>
      <c r="O272" s="108" t="str">
        <f ca="1">IF(INVOICE!$N$16="MANUAL",IF(B272&lt;&gt;"",C272,""),IF(INVOICE!$N$16="AUTOMATE",IF(A272&lt;&gt;"",C272,""),""))</f>
        <v/>
      </c>
      <c r="AO272" s="108" t="str">
        <f ca="1">IF(INVOICE!$N$16="MANUAL",IFERROR(AM272*B272,""),IF(INVOICE!$N$16="AUTOMATE",IFERROR(AM272*A272,""),""))</f>
        <v/>
      </c>
      <c r="AP272" s="108">
        <v>150</v>
      </c>
      <c r="AQ272" s="108">
        <v>1450</v>
      </c>
      <c r="AR272" s="108">
        <v>2900</v>
      </c>
      <c r="AS272" s="108">
        <v>5800</v>
      </c>
      <c r="AV272" s="108">
        <f t="shared" si="55"/>
        <v>0</v>
      </c>
      <c r="AW272" s="108">
        <f>IF('Customer Base'!$D$8=12,AQ272,IF('Customer Base'!$D$8=24,AR272,IF('Customer Base'!$D$8=48,AS272,"")))</f>
        <v>5800</v>
      </c>
    </row>
    <row r="273" spans="1:49">
      <c r="C273" s="242" t="s">
        <v>1039</v>
      </c>
      <c r="D273" s="272">
        <v>532.77</v>
      </c>
      <c r="E273" s="272">
        <v>501.79500000000002</v>
      </c>
      <c r="F273" s="243">
        <f t="shared" si="52"/>
        <v>437.05496308449545</v>
      </c>
      <c r="G273" s="243">
        <f>IFERROR(ROUNDUP(F273*INVOICE!$O$6,2),0)</f>
        <v>7298.8200000000006</v>
      </c>
      <c r="H273" s="243">
        <f t="shared" si="53"/>
        <v>411.64479081214108</v>
      </c>
      <c r="I273" s="243">
        <f>IFERROR(ROUNDUP(H273*INVOICE!$O$6,2),0)</f>
        <v>6874.47</v>
      </c>
      <c r="J273" s="108" t="str">
        <f t="shared" si="57"/>
        <v/>
      </c>
      <c r="L273" s="108" t="str">
        <f t="shared" si="58"/>
        <v/>
      </c>
      <c r="N273" s="108">
        <v>279</v>
      </c>
      <c r="O273" s="108" t="str">
        <f>IF(INVOICE!$N$16="MANUAL",IF(B273&lt;&gt;"",C273,""),IF(INVOICE!$N$16="AUTOMATE",IF(A273&lt;&gt;"",C273,""),""))</f>
        <v/>
      </c>
      <c r="AO273" s="108">
        <f>IF(INVOICE!$N$16="MANUAL",IFERROR(AM273*B273,""),IF(INVOICE!$N$16="AUTOMATE",IFERROR(AM273*A273,""),""))</f>
        <v>0</v>
      </c>
      <c r="AP273" s="108">
        <v>150</v>
      </c>
      <c r="AQ273" s="108">
        <v>1450</v>
      </c>
      <c r="AR273" s="108">
        <v>2900</v>
      </c>
      <c r="AS273" s="108">
        <v>5800</v>
      </c>
      <c r="AV273" s="108">
        <f t="shared" si="55"/>
        <v>0</v>
      </c>
      <c r="AW273" s="108">
        <f>IF('Customer Base'!$D$8=12,AQ273,IF('Customer Base'!$D$8=24,AR273,IF('Customer Base'!$D$8=48,AS273,"")))</f>
        <v>5800</v>
      </c>
    </row>
    <row r="274" spans="1:49">
      <c r="A274" s="108" t="str">
        <f ca="1">IFERROR(IF(AND('Customer Base'!D$7&lt;&gt;"Backup",'Customer Base'!D$13="Victron"),IF(AND('Client List'!EH474=250,'Client List'!EF$474&gt;0,'Client List'!EF$474&lt;=AW$274,OR(SUM('Client List'!EE489:EE491)&gt;0,SUM('Client List'!EE477:EE491)=0)),'Client List'!EC$474,IF(AND('Client List'!IP474=250,'Client List'!IN$474&gt;0,'Client List'!IN$474&lt;=AW$274,SUM('Client List'!IM489:IM491)&gt;0),'Client List'!IK$474,"")),""),"")</f>
        <v/>
      </c>
      <c r="C274" s="242" t="s">
        <v>872</v>
      </c>
      <c r="D274" s="272">
        <v>419.89</v>
      </c>
      <c r="E274" s="272">
        <v>395.4744</v>
      </c>
      <c r="F274" s="243">
        <f t="shared" si="52"/>
        <v>344.45447087776864</v>
      </c>
      <c r="G274" s="243">
        <f>IFERROR(ROUNDUP(F274*INVOICE!$O$6,2),0)</f>
        <v>5752.39</v>
      </c>
      <c r="H274" s="243">
        <f t="shared" si="53"/>
        <v>324.42526661197701</v>
      </c>
      <c r="I274" s="243">
        <f>IFERROR(ROUNDUP(H274*INVOICE!$O$6,2),0)</f>
        <v>5417.91</v>
      </c>
      <c r="J274" s="108" t="str">
        <f t="shared" si="57"/>
        <v/>
      </c>
      <c r="L274" s="108" t="str">
        <f t="shared" si="58"/>
        <v/>
      </c>
      <c r="N274" s="108">
        <v>280</v>
      </c>
      <c r="O274" s="108" t="str">
        <f ca="1">IF(INVOICE!$N$16="MANUAL",IF(B274&lt;&gt;"",C274,""),IF(INVOICE!$N$16="AUTOMATE",IF(A274&lt;&gt;"",C274,""),""))</f>
        <v/>
      </c>
      <c r="AO274" s="108" t="str">
        <f ca="1">IF(INVOICE!$N$16="MANUAL",IFERROR(AM274*B274,""),IF(INVOICE!$N$16="AUTOMATE",IFERROR(AM274*A274,""),""))</f>
        <v/>
      </c>
      <c r="AP274" s="108">
        <v>250</v>
      </c>
      <c r="AQ274" s="108">
        <v>860</v>
      </c>
      <c r="AR274" s="108">
        <v>1720</v>
      </c>
      <c r="AS274" s="108">
        <v>3440</v>
      </c>
      <c r="AV274" s="108">
        <f t="shared" si="55"/>
        <v>0</v>
      </c>
      <c r="AW274" s="108">
        <f>IF('Customer Base'!$D$8=12,AQ274,IF('Customer Base'!$D$8=24,AR274,IF('Customer Base'!$D$8=48,AS274,"")))</f>
        <v>3440</v>
      </c>
    </row>
    <row r="275" spans="1:49">
      <c r="C275" s="242" t="s">
        <v>2757</v>
      </c>
      <c r="D275" s="272">
        <v>419.89</v>
      </c>
      <c r="E275" s="272">
        <v>395.47399999999999</v>
      </c>
      <c r="F275" s="243">
        <f t="shared" si="52"/>
        <v>344.45447087776864</v>
      </c>
      <c r="G275" s="243">
        <f>IFERROR(ROUNDUP(F275*INVOICE!$O$6,2),0)</f>
        <v>5752.39</v>
      </c>
      <c r="H275" s="243">
        <f t="shared" si="53"/>
        <v>324.42493847415909</v>
      </c>
      <c r="I275" s="243">
        <f>IFERROR(ROUNDUP(H275*INVOICE!$O$6,2),0)</f>
        <v>5417.9000000000005</v>
      </c>
      <c r="J275" s="108" t="str">
        <f t="shared" si="57"/>
        <v/>
      </c>
      <c r="L275" s="108" t="str">
        <f t="shared" si="58"/>
        <v/>
      </c>
      <c r="N275" s="108">
        <v>281</v>
      </c>
      <c r="O275" s="108" t="str">
        <f>IF(INVOICE!$N$16="MANUAL",IF(B275&lt;&gt;"",C275,""),IF(INVOICE!$N$16="AUTOMATE",IF(A275&lt;&gt;"",C275,""),""))</f>
        <v/>
      </c>
      <c r="AO275" s="108">
        <f>IF(INVOICE!$N$16="MANUAL",IFERROR(AM275*B275,""),IF(INVOICE!$N$16="AUTOMATE",IFERROR(AM275*A275,""),""))</f>
        <v>0</v>
      </c>
      <c r="AP275" s="108">
        <v>250</v>
      </c>
      <c r="AQ275" s="108">
        <v>860</v>
      </c>
      <c r="AR275" s="108">
        <v>1720</v>
      </c>
      <c r="AS275" s="108">
        <v>3440</v>
      </c>
      <c r="AV275" s="108">
        <f t="shared" si="55"/>
        <v>0</v>
      </c>
      <c r="AW275" s="108">
        <f>IF('Customer Base'!$D$8=12,AQ275,IF('Customer Base'!$D$8=24,AR275,IF('Customer Base'!$D$8=48,AS275,"")))</f>
        <v>3440</v>
      </c>
    </row>
    <row r="276" spans="1:49">
      <c r="C276" s="242" t="s">
        <v>873</v>
      </c>
      <c r="D276" s="272">
        <v>484</v>
      </c>
      <c r="E276" s="272">
        <v>455.86799999999999</v>
      </c>
      <c r="F276" s="243">
        <f t="shared" si="52"/>
        <v>397.04675963904839</v>
      </c>
      <c r="G276" s="243">
        <f>IFERROR(ROUNDUP(F276*INVOICE!$O$6,2),0)</f>
        <v>6630.6900000000005</v>
      </c>
      <c r="H276" s="243">
        <f t="shared" si="53"/>
        <v>373.96882690730104</v>
      </c>
      <c r="I276" s="243">
        <f>IFERROR(ROUNDUP(H276*INVOICE!$O$6,2),0)</f>
        <v>6245.2800000000007</v>
      </c>
      <c r="J276" s="108" t="str">
        <f t="shared" si="57"/>
        <v/>
      </c>
      <c r="L276" s="108" t="str">
        <f t="shared" si="58"/>
        <v/>
      </c>
      <c r="N276" s="108">
        <v>282</v>
      </c>
      <c r="O276" s="108" t="str">
        <f>IF(INVOICE!$N$16="MANUAL",IF(B276&lt;&gt;"",C276,""),IF(INVOICE!$N$16="AUTOMATE",IF(A276&lt;&gt;"",C276,""),""))</f>
        <v/>
      </c>
      <c r="AO276" s="108">
        <f>IF(INVOICE!$N$16="MANUAL",IFERROR(AM276*B276,""),IF(INVOICE!$N$16="AUTOMATE",IFERROR(AM276*A276,""),""))</f>
        <v>0</v>
      </c>
      <c r="AP276" s="108">
        <v>250</v>
      </c>
      <c r="AQ276" s="108">
        <v>1000</v>
      </c>
      <c r="AR276" s="108">
        <v>2000</v>
      </c>
      <c r="AS276" s="108">
        <v>4000</v>
      </c>
      <c r="AV276" s="108">
        <f t="shared" si="55"/>
        <v>0</v>
      </c>
      <c r="AW276" s="108">
        <f>IF('Customer Base'!$D$8=12,AQ276,IF('Customer Base'!$D$8=24,AR276,IF('Customer Base'!$D$8=48,AS276,"")))</f>
        <v>4000</v>
      </c>
    </row>
    <row r="277" spans="1:49">
      <c r="A277" s="108" t="str">
        <f ca="1">IFERROR(IF(AND('Customer Base'!D$7&lt;&gt;"Backup",'Customer Base'!D$13="Victron"),IF(AND('Client List'!EH474=250,'Client List'!EF$474&gt;AW$274,'Client List'!EF$474&lt;=AW$277,OR(SUM('Client List'!EE489:EE491)&gt;0,SUM('Client List'!EE477:EE491)=0)),'Client List'!EC$474,IF(AND('Client List'!IP474=250,'Client List'!IN$474&gt;AW$274,'Client List'!IN$474&lt;=AW$277,SUM('Client List'!IM489:IM491)&gt;0),'Client List'!IK$474,"")),""),"")</f>
        <v/>
      </c>
      <c r="C277" s="242" t="s">
        <v>874</v>
      </c>
      <c r="D277" s="272">
        <v>516.52</v>
      </c>
      <c r="E277" s="272">
        <v>486.48599999999999</v>
      </c>
      <c r="F277" s="243">
        <f t="shared" si="52"/>
        <v>423.72436423297779</v>
      </c>
      <c r="G277" s="243">
        <f>IFERROR(ROUNDUP(F277*INVOICE!$O$6,2),0)</f>
        <v>7076.2</v>
      </c>
      <c r="H277" s="243">
        <f t="shared" si="53"/>
        <v>399.08613617719436</v>
      </c>
      <c r="I277" s="243">
        <f>IFERROR(ROUNDUP(H277*INVOICE!$O$6,2),0)</f>
        <v>6664.74</v>
      </c>
      <c r="J277" s="108" t="str">
        <f t="shared" si="57"/>
        <v/>
      </c>
      <c r="L277" s="108" t="str">
        <f t="shared" si="58"/>
        <v/>
      </c>
      <c r="N277" s="108">
        <v>283</v>
      </c>
      <c r="O277" s="108" t="str">
        <f ca="1">IF(INVOICE!$N$16="MANUAL",IF(B277&lt;&gt;"",C277,""),IF(INVOICE!$N$16="AUTOMATE",IF(A277&lt;&gt;"",C277,""),""))</f>
        <v/>
      </c>
      <c r="AO277" s="108" t="str">
        <f ca="1">IF(INVOICE!$N$16="MANUAL",IFERROR(AM277*B277,""),IF(INVOICE!$N$16="AUTOMATE",IFERROR(AM277*A277,""),""))</f>
        <v/>
      </c>
      <c r="AP277" s="108">
        <v>250</v>
      </c>
      <c r="AQ277" s="108">
        <v>1000</v>
      </c>
      <c r="AR277" s="108">
        <v>2000</v>
      </c>
      <c r="AS277" s="108">
        <v>4000</v>
      </c>
      <c r="AV277" s="108">
        <f t="shared" si="55"/>
        <v>0</v>
      </c>
      <c r="AW277" s="108">
        <f>IF('Customer Base'!$D$8=12,AQ277,IF('Customer Base'!$D$8=24,AR277,IF('Customer Base'!$D$8=48,AS277,"")))</f>
        <v>4000</v>
      </c>
    </row>
    <row r="278" spans="1:49">
      <c r="C278" s="242" t="s">
        <v>1040</v>
      </c>
      <c r="D278" s="272">
        <v>516.52</v>
      </c>
      <c r="E278" s="272">
        <v>486.49</v>
      </c>
      <c r="F278" s="243">
        <f t="shared" si="52"/>
        <v>423.72436423297779</v>
      </c>
      <c r="G278" s="243">
        <f>IFERROR(ROUNDUP(F278*INVOICE!$O$6,2),0)</f>
        <v>7076.2</v>
      </c>
      <c r="H278" s="243">
        <f t="shared" si="53"/>
        <v>399.08941755537325</v>
      </c>
      <c r="I278" s="243">
        <f>IFERROR(ROUNDUP(H278*INVOICE!$O$6,2),0)</f>
        <v>6664.8</v>
      </c>
      <c r="J278" s="108" t="str">
        <f t="shared" si="57"/>
        <v/>
      </c>
      <c r="L278" s="108" t="str">
        <f t="shared" si="58"/>
        <v/>
      </c>
      <c r="N278" s="108">
        <v>285</v>
      </c>
      <c r="O278" s="108" t="str">
        <f>IF(INVOICE!$N$16="MANUAL",IF(B278&lt;&gt;"",C278,""),IF(INVOICE!$N$16="AUTOMATE",IF(A278&lt;&gt;"",C278,""),""))</f>
        <v/>
      </c>
      <c r="AO278" s="108">
        <f>IF(INVOICE!$N$16="MANUAL",IFERROR(AM278*B278,""),IF(INVOICE!$N$16="AUTOMATE",IFERROR(AM278*A278,""),""))</f>
        <v>0</v>
      </c>
      <c r="AP278" s="108">
        <v>250</v>
      </c>
      <c r="AQ278" s="108">
        <v>1000</v>
      </c>
      <c r="AR278" s="108">
        <v>2000</v>
      </c>
      <c r="AS278" s="108">
        <v>4000</v>
      </c>
      <c r="AV278" s="108">
        <f t="shared" si="55"/>
        <v>0</v>
      </c>
      <c r="AW278" s="108">
        <f>IF('Customer Base'!$D$8=12,AQ278,IF('Customer Base'!$D$8=24,AR278,IF('Customer Base'!$D$8=48,AS278,"")))</f>
        <v>4000</v>
      </c>
    </row>
    <row r="279" spans="1:49">
      <c r="A279" s="108" t="str">
        <f ca="1">IFERROR(IF(AND('Customer Base'!D$7&lt;&gt;"Backup",'Customer Base'!D$13="Victron"),IF(AND('Client List'!EH474=250,'Client List'!EF$474&gt;AW$277,'Client List'!EF$474&lt;=AW$279,OR(SUM('Client List'!EE489:EE491)&gt;0,SUM('Client List'!EE477:EE491)=0)),'Client List'!EC$474,IF(AND('Client List'!IP474=250,'Client List'!IN$474&gt;AW$277,'Client List'!IN$474&lt;=AW$279,SUM('Client List'!IM489:IM491)&gt;0),'Client List'!IK$474,"")),""),"")</f>
        <v/>
      </c>
      <c r="C279" s="242" t="s">
        <v>875</v>
      </c>
      <c r="D279" s="272">
        <v>555.35</v>
      </c>
      <c r="E279" s="272">
        <v>523.06560000000002</v>
      </c>
      <c r="F279" s="243">
        <f t="shared" si="52"/>
        <v>455.57834290401968</v>
      </c>
      <c r="G279" s="243">
        <f>IFERROR(ROUNDUP(F279*INVOICE!$O$6,2),0)</f>
        <v>7608.16</v>
      </c>
      <c r="H279" s="243">
        <f t="shared" si="53"/>
        <v>429.09401148482362</v>
      </c>
      <c r="I279" s="243">
        <f>IFERROR(ROUNDUP(H279*INVOICE!$O$6,2),0)</f>
        <v>7165.87</v>
      </c>
      <c r="J279" s="108" t="str">
        <f t="shared" si="57"/>
        <v/>
      </c>
      <c r="L279" s="108" t="str">
        <f t="shared" si="58"/>
        <v/>
      </c>
      <c r="N279" s="108">
        <v>287</v>
      </c>
      <c r="O279" s="108" t="str">
        <f ca="1">IF(INVOICE!$N$16="MANUAL",IF(B279&lt;&gt;"",C279,""),IF(INVOICE!$N$16="AUTOMATE",IF(A279&lt;&gt;"",C279,""),""))</f>
        <v/>
      </c>
      <c r="AO279" s="108" t="str">
        <f ca="1">IF(INVOICE!$N$16="MANUAL",IFERROR(AM279*B279,""),IF(INVOICE!$N$16="AUTOMATE",IFERROR(AM279*A279,""),""))</f>
        <v/>
      </c>
      <c r="AP279" s="108">
        <v>250</v>
      </c>
      <c r="AQ279" s="108">
        <v>1200</v>
      </c>
      <c r="AR279" s="108">
        <v>2400</v>
      </c>
      <c r="AS279" s="108">
        <v>4900</v>
      </c>
      <c r="AV279" s="108">
        <f t="shared" si="55"/>
        <v>0</v>
      </c>
      <c r="AW279" s="108">
        <f>IF('Customer Base'!$D$8=12,AQ279,IF('Customer Base'!$D$8=24,AR279,IF('Customer Base'!$D$8=48,AS279,"")))</f>
        <v>4900</v>
      </c>
    </row>
    <row r="280" spans="1:49">
      <c r="C280" s="242" t="s">
        <v>876</v>
      </c>
      <c r="D280" s="272">
        <v>565.28</v>
      </c>
      <c r="E280" s="272">
        <v>532.41300000000001</v>
      </c>
      <c r="F280" s="243">
        <f t="shared" si="52"/>
        <v>463.72436423297779</v>
      </c>
      <c r="G280" s="243">
        <f>IFERROR(ROUNDUP(F280*INVOICE!$O$6,2),0)</f>
        <v>7744.2</v>
      </c>
      <c r="H280" s="243">
        <f t="shared" si="53"/>
        <v>436.76210008203441</v>
      </c>
      <c r="I280" s="243">
        <f>IFERROR(ROUNDUP(H280*INVOICE!$O$6,2),0)</f>
        <v>7293.93</v>
      </c>
      <c r="J280" s="108" t="str">
        <f t="shared" si="57"/>
        <v/>
      </c>
      <c r="L280" s="108" t="str">
        <f t="shared" si="58"/>
        <v/>
      </c>
      <c r="N280" s="108">
        <v>289</v>
      </c>
      <c r="O280" s="108" t="str">
        <f>IF(INVOICE!$N$16="MANUAL",IF(B280&lt;&gt;"",C280,""),IF(INVOICE!$N$16="AUTOMATE",IF(A280&lt;&gt;"",C280,""),""))</f>
        <v/>
      </c>
      <c r="AO280" s="108">
        <f>IF(INVOICE!$N$16="MANUAL",IFERROR(AM280*B280,""),IF(INVOICE!$N$16="AUTOMATE",IFERROR(AM280*A280,""),""))</f>
        <v>0</v>
      </c>
      <c r="AP280" s="108">
        <v>250</v>
      </c>
      <c r="AQ280" s="108">
        <v>1200</v>
      </c>
      <c r="AR280" s="108">
        <v>2400</v>
      </c>
      <c r="AS280" s="108">
        <v>4900</v>
      </c>
      <c r="AV280" s="108">
        <f t="shared" si="55"/>
        <v>0</v>
      </c>
      <c r="AW280" s="108">
        <f>IF('Customer Base'!$D$8=12,AQ280,IF('Customer Base'!$D$8=24,AR280,IF('Customer Base'!$D$8=48,AS280,"")))</f>
        <v>4900</v>
      </c>
    </row>
    <row r="281" spans="1:49">
      <c r="A281" s="247">
        <f ca="1">IFERROR(IF(AND('Customer Base'!D$7&lt;&gt;"Backup",'Customer Base'!D$13="Victron"),IF(AND('Client List'!EH474=250,'Client List'!EF$474&gt;AW$279,'Client List'!EF$474&lt;=AW$281,OR(SUM('Client List'!EE489:EE491)&gt;0,SUM('Client List'!EE477:EE491)=0)),'Client List'!EC$474,IF(AND('Client List'!IP474=250,'Client List'!IN$474&gt;AW$279,'Client List'!IN$474&lt;=AW$281,SUM('Client List'!IM489:IM491)&gt;0),'Client List'!IK$474,"")),""),"")</f>
        <v>3</v>
      </c>
      <c r="C281" s="242" t="s">
        <v>877</v>
      </c>
      <c r="D281" s="272">
        <v>619.46</v>
      </c>
      <c r="E281" s="272">
        <v>583.44299999999998</v>
      </c>
      <c r="F281" s="243">
        <f t="shared" si="52"/>
        <v>508.17063166529942</v>
      </c>
      <c r="G281" s="243">
        <f>IFERROR(ROUNDUP(F281*INVOICE!$O$6,2),0)</f>
        <v>8486.4500000000007</v>
      </c>
      <c r="H281" s="243">
        <f t="shared" si="53"/>
        <v>478.62428219852336</v>
      </c>
      <c r="I281" s="243">
        <f>IFERROR(ROUNDUP(H281*INVOICE!$O$6,2),0)</f>
        <v>7993.0300000000007</v>
      </c>
      <c r="J281" s="108" t="str">
        <f t="shared" si="57"/>
        <v/>
      </c>
      <c r="L281" s="108" t="str">
        <f t="shared" si="58"/>
        <v/>
      </c>
      <c r="N281" s="108">
        <v>290</v>
      </c>
      <c r="O281" s="108" t="str">
        <f ca="1">IF(INVOICE!$N$16="MANUAL",IF(B281&lt;&gt;"",C281,""),IF(INVOICE!$N$16="AUTOMATE",IF(A281&lt;&gt;"",C281,""),""))</f>
        <v>Victron SmartSolar MPPT 250/100-Tr VE.Can</v>
      </c>
      <c r="AO281" s="108">
        <f ca="1">IF(INVOICE!$N$16="MANUAL",IFERROR(AM281*B281,""),IF(INVOICE!$N$16="AUTOMATE",IFERROR(AM281*A281,""),""))</f>
        <v>0</v>
      </c>
      <c r="AP281" s="108">
        <v>250</v>
      </c>
      <c r="AQ281" s="108">
        <v>1450</v>
      </c>
      <c r="AR281" s="108">
        <v>2900</v>
      </c>
      <c r="AS281" s="108">
        <v>5800</v>
      </c>
      <c r="AV281" s="108">
        <f t="shared" si="55"/>
        <v>0</v>
      </c>
      <c r="AW281" s="108">
        <f>IF('Customer Base'!$D$8=12,AQ281,IF('Customer Base'!$D$8=24,AR281,IF('Customer Base'!$D$8=48,AS281,"")))</f>
        <v>5800</v>
      </c>
    </row>
    <row r="282" spans="1:49">
      <c r="C282" s="242" t="s">
        <v>878</v>
      </c>
      <c r="D282" s="272">
        <v>629.38</v>
      </c>
      <c r="E282" s="272">
        <v>592.79039999999998</v>
      </c>
      <c r="F282" s="243">
        <f t="shared" si="52"/>
        <v>516.30844954881047</v>
      </c>
      <c r="G282" s="243">
        <f>IFERROR(ROUNDUP(F282*INVOICE!$O$6,2),0)</f>
        <v>8622.36</v>
      </c>
      <c r="H282" s="243">
        <f t="shared" si="53"/>
        <v>486.29237079573414</v>
      </c>
      <c r="I282" s="243">
        <f>IFERROR(ROUNDUP(H282*INVOICE!$O$6,2),0)</f>
        <v>8121.09</v>
      </c>
      <c r="J282" s="108" t="str">
        <f t="shared" si="57"/>
        <v/>
      </c>
      <c r="L282" s="108" t="str">
        <f t="shared" si="58"/>
        <v/>
      </c>
      <c r="N282" s="108">
        <v>291</v>
      </c>
      <c r="O282" s="108" t="str">
        <f>IF(INVOICE!$N$16="MANUAL",IF(B282&lt;&gt;"",C282,""),IF(INVOICE!$N$16="AUTOMATE",IF(A282&lt;&gt;"",C282,""),""))</f>
        <v/>
      </c>
      <c r="AO282" s="108">
        <f>IF(INVOICE!$N$16="MANUAL",IFERROR(AM282*B282,""),IF(INVOICE!$N$16="AUTOMATE",IFERROR(AM282*A282,""),""))</f>
        <v>0</v>
      </c>
      <c r="AP282" s="108">
        <v>250</v>
      </c>
      <c r="AQ282" s="108">
        <v>1450</v>
      </c>
      <c r="AR282" s="108">
        <v>2900</v>
      </c>
      <c r="AS282" s="108">
        <v>5800</v>
      </c>
      <c r="AV282" s="108">
        <f t="shared" si="55"/>
        <v>0</v>
      </c>
      <c r="AW282" s="108">
        <f>IF('Customer Base'!$D$8=12,AQ282,IF('Customer Base'!$D$8=24,AR282,IF('Customer Base'!$D$8=48,AS282,"")))</f>
        <v>5800</v>
      </c>
    </row>
    <row r="283" spans="1:49">
      <c r="C283" s="242" t="s">
        <v>1034</v>
      </c>
      <c r="D283" s="272">
        <v>1120.6099999999999</v>
      </c>
      <c r="E283" s="272">
        <v>1055.462</v>
      </c>
      <c r="F283" s="243">
        <f t="shared" si="52"/>
        <v>919.28630024610322</v>
      </c>
      <c r="G283" s="243">
        <f>IFERROR(ROUNDUP(F283*INVOICE!$O$6,2),0)</f>
        <v>15352.09</v>
      </c>
      <c r="H283" s="243">
        <f t="shared" si="53"/>
        <v>865.84249384741588</v>
      </c>
      <c r="I283" s="243">
        <f>IFERROR(ROUNDUP(H283*INVOICE!$O$6,2),0)</f>
        <v>14459.57</v>
      </c>
      <c r="J283" s="108" t="str">
        <f t="shared" si="57"/>
        <v/>
      </c>
      <c r="L283" s="108" t="str">
        <f t="shared" si="58"/>
        <v/>
      </c>
      <c r="N283" s="108">
        <v>292</v>
      </c>
      <c r="O283" s="108" t="str">
        <f>IF(INVOICE!$N$16="MANUAL",IF(B283&lt;&gt;"",C283,""),IF(INVOICE!$N$16="AUTOMATE",IF(A283&lt;&gt;"",C283,""),""))</f>
        <v/>
      </c>
      <c r="AO283" s="108">
        <f>IF(INVOICE!$N$16="MANUAL",IFERROR(AM283*B283,""),IF(INVOICE!$N$16="AUTOMATE",IFERROR(AM283*A283,""),""))</f>
        <v>0</v>
      </c>
      <c r="AP283" s="108">
        <v>450</v>
      </c>
      <c r="AS283" s="108">
        <v>5760</v>
      </c>
      <c r="AV283" s="108">
        <f t="shared" si="55"/>
        <v>0</v>
      </c>
      <c r="AW283" s="108">
        <f>IF('Customer Base'!$D$8=12,AQ283,IF('Customer Base'!$D$8=24,AR283,IF('Customer Base'!$D$8=48,AS283,"")))</f>
        <v>5760</v>
      </c>
    </row>
    <row r="284" spans="1:49">
      <c r="C284" s="242" t="s">
        <v>1035</v>
      </c>
      <c r="D284" s="272">
        <v>1962.21</v>
      </c>
      <c r="E284" s="272">
        <v>1848.1279999999999</v>
      </c>
      <c r="F284" s="243">
        <f t="shared" si="52"/>
        <v>1609.6882690730106</v>
      </c>
      <c r="G284" s="243">
        <f>IFERROR(ROUNDUP(F284*INVOICE!$O$6,2),0)</f>
        <v>26881.8</v>
      </c>
      <c r="H284" s="243">
        <f t="shared" si="53"/>
        <v>1516.1017227235436</v>
      </c>
      <c r="I284" s="243">
        <f>IFERROR(ROUNDUP(H284*INVOICE!$O$6,2),0)</f>
        <v>25318.899999999998</v>
      </c>
      <c r="J284" s="108" t="str">
        <f t="shared" si="57"/>
        <v/>
      </c>
      <c r="L284" s="108" t="str">
        <f t="shared" si="58"/>
        <v/>
      </c>
      <c r="N284" s="108">
        <v>293</v>
      </c>
      <c r="O284" s="108" t="str">
        <f>IF(INVOICE!$N$16="MANUAL",IF(B284&lt;&gt;"",C284,""),IF(INVOICE!$N$16="AUTOMATE",IF(A284&lt;&gt;"",C284,""),""))</f>
        <v/>
      </c>
      <c r="AO284" s="108">
        <f>IF(INVOICE!$N$16="MANUAL",IFERROR(AM284*B284,""),IF(INVOICE!$N$16="AUTOMATE",IFERROR(AM284*A284,""),""))</f>
        <v>0</v>
      </c>
      <c r="AP284" s="108">
        <v>450</v>
      </c>
      <c r="AS284" s="108">
        <v>11520</v>
      </c>
      <c r="AV284" s="108">
        <f t="shared" si="55"/>
        <v>0</v>
      </c>
      <c r="AW284" s="108">
        <f>IF('Customer Base'!$D$8=12,AQ284,IF('Customer Base'!$D$8=24,AR284,IF('Customer Base'!$D$8=48,AS284,"")))</f>
        <v>11520</v>
      </c>
    </row>
    <row r="285" spans="1:49">
      <c r="D285" s="324"/>
      <c r="E285" s="324"/>
      <c r="F285" s="229">
        <f t="shared" si="52"/>
        <v>0</v>
      </c>
      <c r="H285" s="229">
        <f t="shared" si="53"/>
        <v>0</v>
      </c>
      <c r="I285" s="229"/>
      <c r="J285" s="108" t="str">
        <f t="shared" si="57"/>
        <v/>
      </c>
      <c r="L285" s="108" t="str">
        <f t="shared" si="58"/>
        <v/>
      </c>
      <c r="N285" s="108">
        <v>294</v>
      </c>
      <c r="O285" s="108" t="str">
        <f>IF(INVOICE!$N$16="MANUAL",IF(B285&lt;&gt;"",C285,""),IF(INVOICE!$N$16="AUTOMATE",IF(A285&lt;&gt;"",C285,""),""))</f>
        <v/>
      </c>
      <c r="AO285" s="108">
        <f>IF(INVOICE!$N$16="MANUAL",IFERROR(AM285*B285,""),IF(INVOICE!$N$16="AUTOMATE",IFERROR(AM285*A285,""),""))</f>
        <v>0</v>
      </c>
      <c r="AV285" s="108">
        <f t="shared" si="55"/>
        <v>0</v>
      </c>
    </row>
    <row r="286" spans="1:49">
      <c r="C286" s="256" t="s">
        <v>879</v>
      </c>
      <c r="D286" s="333">
        <v>32.51</v>
      </c>
      <c r="E286" s="333">
        <v>30.617999999999999</v>
      </c>
      <c r="F286" s="250">
        <f t="shared" si="52"/>
        <v>26.669401148482358</v>
      </c>
      <c r="G286" s="250">
        <f>IFERROR(ROUNDUP(F286*INVOICE!$O$6,2),0)</f>
        <v>445.38</v>
      </c>
      <c r="H286" s="250">
        <f t="shared" si="53"/>
        <v>25.117309269893351</v>
      </c>
      <c r="I286" s="250">
        <f>IFERROR(ROUNDUP(H286*INVOICE!$O$6,2),0)</f>
        <v>419.46</v>
      </c>
      <c r="J286" s="108" t="str">
        <f t="shared" si="57"/>
        <v/>
      </c>
      <c r="L286" s="108" t="str">
        <f t="shared" si="58"/>
        <v/>
      </c>
      <c r="N286" s="108">
        <v>295</v>
      </c>
      <c r="O286" s="108" t="str">
        <f>IF(INVOICE!$N$16="MANUAL",IF(B286&lt;&gt;"",C286,""),IF(INVOICE!$N$16="AUTOMATE",IF(A286&lt;&gt;"",C286,""),""))</f>
        <v/>
      </c>
      <c r="AO286" s="108">
        <f>IF(INVOICE!$N$16="MANUAL",IFERROR(AM286*B286,""),IF(INVOICE!$N$16="AUTOMATE",IFERROR(AM286*A286,""),""))</f>
        <v>0</v>
      </c>
      <c r="AV286" s="108">
        <f t="shared" si="55"/>
        <v>0</v>
      </c>
    </row>
    <row r="287" spans="1:49">
      <c r="C287" s="256" t="s">
        <v>1041</v>
      </c>
      <c r="D287" s="333">
        <v>23.48</v>
      </c>
      <c r="E287" s="333">
        <v>22.113</v>
      </c>
      <c r="F287" s="250">
        <f t="shared" si="52"/>
        <v>19.261689909762101</v>
      </c>
      <c r="G287" s="250">
        <f>IFERROR(ROUNDUP(F287*INVOICE!$O$6,2),0)</f>
        <v>321.68</v>
      </c>
      <c r="H287" s="250">
        <f t="shared" si="53"/>
        <v>18.140278917145199</v>
      </c>
      <c r="I287" s="250">
        <f>IFERROR(ROUNDUP(H287*INVOICE!$O$6,2),0)</f>
        <v>302.95</v>
      </c>
      <c r="J287" s="108" t="str">
        <f t="shared" si="57"/>
        <v/>
      </c>
      <c r="L287" s="108" t="str">
        <f t="shared" si="58"/>
        <v/>
      </c>
      <c r="N287" s="108">
        <v>296</v>
      </c>
      <c r="O287" s="108" t="str">
        <f>IF(INVOICE!$N$16="MANUAL",IF(B287&lt;&gt;"",C287,""),IF(INVOICE!$N$16="AUTOMATE",IF(A287&lt;&gt;"",C287,""),""))</f>
        <v/>
      </c>
      <c r="AO287" s="108">
        <f>IF(INVOICE!$N$16="MANUAL",IFERROR(AM287*B287,""),IF(INVOICE!$N$16="AUTOMATE",IFERROR(AM287*A287,""),""))</f>
        <v>0</v>
      </c>
      <c r="AV287" s="108">
        <f t="shared" si="55"/>
        <v>0</v>
      </c>
    </row>
    <row r="288" spans="1:49">
      <c r="C288" s="256" t="s">
        <v>1042</v>
      </c>
      <c r="D288" s="333">
        <v>23.48</v>
      </c>
      <c r="E288" s="333">
        <v>22.113</v>
      </c>
      <c r="F288" s="250">
        <f t="shared" si="52"/>
        <v>19.261689909762101</v>
      </c>
      <c r="G288" s="250">
        <f>IFERROR(ROUNDUP(F288*INVOICE!$O$6,2),0)</f>
        <v>321.68</v>
      </c>
      <c r="H288" s="250">
        <f t="shared" si="53"/>
        <v>18.140278917145199</v>
      </c>
      <c r="I288" s="250">
        <f>IFERROR(ROUNDUP(H288*INVOICE!$O$6,2),0)</f>
        <v>302.95</v>
      </c>
      <c r="J288" s="108" t="str">
        <f t="shared" si="57"/>
        <v/>
      </c>
      <c r="L288" s="108" t="str">
        <f t="shared" si="58"/>
        <v/>
      </c>
      <c r="N288" s="108">
        <v>297</v>
      </c>
      <c r="O288" s="108" t="str">
        <f>IF(INVOICE!$N$16="MANUAL",IF(B288&lt;&gt;"",C288,""),IF(INVOICE!$N$16="AUTOMATE",IF(A288&lt;&gt;"",C288,""),""))</f>
        <v/>
      </c>
      <c r="AO288" s="108">
        <f>IF(INVOICE!$N$16="MANUAL",IFERROR(AM288*B288,""),IF(INVOICE!$N$16="AUTOMATE",IFERROR(AM288*A288,""),""))</f>
        <v>0</v>
      </c>
      <c r="AV288" s="108">
        <f t="shared" si="55"/>
        <v>0</v>
      </c>
    </row>
    <row r="289" spans="1:48">
      <c r="C289" s="256" t="s">
        <v>1043</v>
      </c>
      <c r="D289" s="333">
        <v>23.48</v>
      </c>
      <c r="E289" s="333">
        <v>22.113</v>
      </c>
      <c r="F289" s="250">
        <f t="shared" si="52"/>
        <v>19.261689909762101</v>
      </c>
      <c r="G289" s="250">
        <f>IFERROR(ROUNDUP(F289*INVOICE!$O$6,2),0)</f>
        <v>321.68</v>
      </c>
      <c r="H289" s="250">
        <f t="shared" si="53"/>
        <v>18.140278917145199</v>
      </c>
      <c r="I289" s="250">
        <f>IFERROR(ROUNDUP(H289*INVOICE!$O$6,2),0)</f>
        <v>302.95</v>
      </c>
      <c r="J289" s="108" t="str">
        <f t="shared" si="57"/>
        <v/>
      </c>
      <c r="L289" s="108" t="str">
        <f t="shared" si="58"/>
        <v/>
      </c>
      <c r="N289" s="108">
        <v>298</v>
      </c>
      <c r="O289" s="108" t="str">
        <f>IF(INVOICE!$N$16="MANUAL",IF(B289&lt;&gt;"",C289,""),IF(INVOICE!$N$16="AUTOMATE",IF(A289&lt;&gt;"",C289,""),""))</f>
        <v/>
      </c>
      <c r="AO289" s="108">
        <f>IF(INVOICE!$N$16="MANUAL",IFERROR(AM289*B289,""),IF(INVOICE!$N$16="AUTOMATE",IFERROR(AM289*A289,""),""))</f>
        <v>0</v>
      </c>
      <c r="AV289" s="108">
        <f t="shared" si="55"/>
        <v>0</v>
      </c>
    </row>
    <row r="290" spans="1:48">
      <c r="C290" s="231"/>
      <c r="D290" s="324"/>
      <c r="E290" s="324"/>
      <c r="I290" s="229"/>
      <c r="J290" s="108" t="str">
        <f t="shared" si="57"/>
        <v/>
      </c>
      <c r="L290" s="108" t="str">
        <f t="shared" si="58"/>
        <v/>
      </c>
      <c r="N290" s="108">
        <v>299</v>
      </c>
      <c r="O290" s="108" t="str">
        <f>IF(INVOICE!$N$16="MANUAL",IF(B290&lt;&gt;"",C290,""),IF(INVOICE!$N$16="AUTOMATE",IF(A290&lt;&gt;"",C290,""),""))</f>
        <v/>
      </c>
      <c r="AO290" s="108">
        <f>IF(INVOICE!$N$16="MANUAL",IFERROR(AM290*B290,""),IF(INVOICE!$N$16="AUTOMATE",IFERROR(AM290*A290,""),""))</f>
        <v>0</v>
      </c>
      <c r="AV290" s="108">
        <f t="shared" ref="AV290:AV336" si="59">IF(AU290&lt;&gt;"",AU290,AT290)</f>
        <v>0</v>
      </c>
    </row>
    <row r="291" spans="1:48">
      <c r="C291" s="237" t="s">
        <v>1907</v>
      </c>
      <c r="D291" s="325"/>
      <c r="E291" s="325"/>
      <c r="F291" s="239">
        <f t="shared" ref="F291:F309" si="60">$D291/1.219</f>
        <v>0</v>
      </c>
      <c r="G291" s="239">
        <f>IFERROR(ROUNDUP(F291*INVOICE!$O$6,2),0)</f>
        <v>0</v>
      </c>
      <c r="H291" s="239">
        <f t="shared" ref="H291:H309" si="61">$E291/1.219</f>
        <v>0</v>
      </c>
      <c r="I291" s="239">
        <f>IFERROR(ROUNDUP(H291*INVOICE!$O$6,2),0)</f>
        <v>0</v>
      </c>
      <c r="J291" s="108" t="str">
        <f t="shared" si="57"/>
        <v/>
      </c>
      <c r="L291" s="108" t="str">
        <f t="shared" si="58"/>
        <v/>
      </c>
      <c r="N291" s="108">
        <v>300</v>
      </c>
      <c r="O291" s="108" t="str">
        <f>IF(INVOICE!$N$16="MANUAL",IF(B291&lt;&gt;"",C291,""),IF(INVOICE!$N$16="AUTOMATE",IF(A291&lt;&gt;"",C291,""),""))</f>
        <v/>
      </c>
      <c r="AO291" s="108">
        <f>IF(INVOICE!$N$16="MANUAL",IFERROR(AM291*B291,""),IF(INVOICE!$N$16="AUTOMATE",IFERROR(AM291*A291,""),""))</f>
        <v>0</v>
      </c>
      <c r="AV291" s="108">
        <f t="shared" si="59"/>
        <v>0</v>
      </c>
    </row>
    <row r="292" spans="1:48">
      <c r="C292" s="255" t="s">
        <v>916</v>
      </c>
      <c r="D292" s="326">
        <v>111.97</v>
      </c>
      <c r="E292" s="326">
        <v>105.462</v>
      </c>
      <c r="F292" s="254">
        <f t="shared" si="60"/>
        <v>91.85397867104183</v>
      </c>
      <c r="G292" s="254">
        <f>IFERROR(ROUNDUP(F292*INVOICE!$O$6,2),0)</f>
        <v>1533.97</v>
      </c>
      <c r="H292" s="254">
        <f t="shared" si="61"/>
        <v>86.515176374077114</v>
      </c>
      <c r="I292" s="254">
        <f>IFERROR(ROUNDUP(H292*INVOICE!$O$6,2),0)</f>
        <v>1444.81</v>
      </c>
      <c r="J292" s="108" t="str">
        <f t="shared" si="57"/>
        <v/>
      </c>
      <c r="L292" s="108" t="str">
        <f t="shared" si="58"/>
        <v/>
      </c>
      <c r="N292" s="108">
        <v>301</v>
      </c>
      <c r="O292" s="108" t="str">
        <f>IF(INVOICE!$N$16="MANUAL",IF(B292&lt;&gt;"",C292,""),IF(INVOICE!$N$16="AUTOMATE",IF(A292&lt;&gt;"",C292,""),""))</f>
        <v/>
      </c>
      <c r="AO292" s="108">
        <f>IF(INVOICE!$N$16="MANUAL",IFERROR(AM292*B292,""),IF(INVOICE!$N$16="AUTOMATE",IFERROR(AM292*A292,""),""))</f>
        <v>0</v>
      </c>
      <c r="AV292" s="108">
        <f t="shared" si="59"/>
        <v>0</v>
      </c>
    </row>
    <row r="293" spans="1:48">
      <c r="C293" s="255" t="s">
        <v>1025</v>
      </c>
      <c r="D293" s="326">
        <v>111.97</v>
      </c>
      <c r="E293" s="326">
        <v>105.462</v>
      </c>
      <c r="F293" s="254">
        <f t="shared" si="60"/>
        <v>91.85397867104183</v>
      </c>
      <c r="G293" s="254">
        <f>IFERROR(ROUNDUP(F293*INVOICE!$O$6,2),0)</f>
        <v>1533.97</v>
      </c>
      <c r="H293" s="254">
        <f t="shared" si="61"/>
        <v>86.515176374077114</v>
      </c>
      <c r="I293" s="254">
        <f>IFERROR(ROUNDUP(H293*INVOICE!$O$6,2),0)</f>
        <v>1444.81</v>
      </c>
      <c r="J293" s="108" t="str">
        <f t="shared" si="57"/>
        <v/>
      </c>
      <c r="L293" s="108" t="str">
        <f t="shared" si="58"/>
        <v/>
      </c>
      <c r="N293" s="108">
        <v>302</v>
      </c>
      <c r="O293" s="108" t="str">
        <f>IF(INVOICE!$N$16="MANUAL",IF(B293&lt;&gt;"",C293,""),IF(INVOICE!$N$16="AUTOMATE",IF(A293&lt;&gt;"",C293,""),""))</f>
        <v/>
      </c>
      <c r="AO293" s="108">
        <f>IF(INVOICE!$N$16="MANUAL",IFERROR(AM293*B293,""),IF(INVOICE!$N$16="AUTOMATE",IFERROR(AM293*A293,""),""))</f>
        <v>0</v>
      </c>
      <c r="AV293" s="108">
        <f t="shared" si="59"/>
        <v>0</v>
      </c>
    </row>
    <row r="294" spans="1:48">
      <c r="C294" s="255" t="s">
        <v>917</v>
      </c>
      <c r="D294" s="326">
        <v>139.06</v>
      </c>
      <c r="E294" s="326">
        <v>130.977</v>
      </c>
      <c r="F294" s="254">
        <f t="shared" si="60"/>
        <v>114.07711238720262</v>
      </c>
      <c r="G294" s="254">
        <f>IFERROR(ROUNDUP(F294*INVOICE!$O$6,2),0)</f>
        <v>1905.09</v>
      </c>
      <c r="H294" s="254">
        <f t="shared" si="61"/>
        <v>107.44626743232158</v>
      </c>
      <c r="I294" s="254">
        <f>IFERROR(ROUNDUP(H294*INVOICE!$O$6,2),0)</f>
        <v>1794.36</v>
      </c>
      <c r="J294" s="108" t="str">
        <f t="shared" si="57"/>
        <v/>
      </c>
      <c r="L294" s="108" t="str">
        <f t="shared" si="58"/>
        <v/>
      </c>
      <c r="N294" s="108">
        <v>303</v>
      </c>
      <c r="O294" s="108" t="str">
        <f>IF(INVOICE!$N$16="MANUAL",IF(B294&lt;&gt;"",C294,""),IF(INVOICE!$N$16="AUTOMATE",IF(A294&lt;&gt;"",C294,""),""))</f>
        <v/>
      </c>
      <c r="AO294" s="108">
        <f>IF(INVOICE!$N$16="MANUAL",IFERROR(AM294*B294,""),IF(INVOICE!$N$16="AUTOMATE",IFERROR(AM294*A294,""),""))</f>
        <v>0</v>
      </c>
      <c r="AV294" s="108">
        <f t="shared" si="59"/>
        <v>0</v>
      </c>
    </row>
    <row r="295" spans="1:48">
      <c r="C295" s="255" t="s">
        <v>1026</v>
      </c>
      <c r="D295" s="326">
        <v>139.06</v>
      </c>
      <c r="E295" s="326">
        <v>130.977</v>
      </c>
      <c r="F295" s="254">
        <f t="shared" si="60"/>
        <v>114.07711238720262</v>
      </c>
      <c r="G295" s="254">
        <f>IFERROR(ROUNDUP(F295*INVOICE!$O$6,2),0)</f>
        <v>1905.09</v>
      </c>
      <c r="H295" s="254">
        <f t="shared" si="61"/>
        <v>107.44626743232158</v>
      </c>
      <c r="I295" s="254">
        <f>IFERROR(ROUNDUP(H295*INVOICE!$O$6,2),0)</f>
        <v>1794.36</v>
      </c>
      <c r="J295" s="108" t="str">
        <f t="shared" si="57"/>
        <v/>
      </c>
      <c r="L295" s="108" t="str">
        <f t="shared" si="58"/>
        <v/>
      </c>
      <c r="N295" s="108">
        <v>304</v>
      </c>
      <c r="O295" s="108" t="str">
        <f>IF(INVOICE!$N$16="MANUAL",IF(B295&lt;&gt;"",C295,""),IF(INVOICE!$N$16="AUTOMATE",IF(A295&lt;&gt;"",C295,""),""))</f>
        <v/>
      </c>
      <c r="AO295" s="108">
        <f>IF(INVOICE!$N$16="MANUAL",IFERROR(AM295*B295,""),IF(INVOICE!$N$16="AUTOMATE",IFERROR(AM295*A295,""),""))</f>
        <v>0</v>
      </c>
      <c r="AV295" s="108">
        <f t="shared" si="59"/>
        <v>0</v>
      </c>
    </row>
    <row r="296" spans="1:48">
      <c r="C296" s="255" t="s">
        <v>1024</v>
      </c>
      <c r="D296" s="326">
        <v>160.72999999999999</v>
      </c>
      <c r="E296" s="326">
        <v>151.38900000000001</v>
      </c>
      <c r="F296" s="254">
        <f t="shared" si="60"/>
        <v>131.85397867104183</v>
      </c>
      <c r="G296" s="254">
        <f>IFERROR(ROUNDUP(F296*INVOICE!$O$6,2),0)</f>
        <v>2201.9700000000003</v>
      </c>
      <c r="H296" s="254">
        <f t="shared" si="61"/>
        <v>124.19114027891715</v>
      </c>
      <c r="I296" s="254">
        <f>IFERROR(ROUNDUP(H296*INVOICE!$O$6,2),0)</f>
        <v>2074</v>
      </c>
      <c r="J296" s="108" t="str">
        <f t="shared" si="57"/>
        <v/>
      </c>
      <c r="L296" s="108" t="str">
        <f t="shared" si="58"/>
        <v/>
      </c>
      <c r="N296" s="108">
        <v>305</v>
      </c>
      <c r="O296" s="108" t="str">
        <f>IF(INVOICE!$N$16="MANUAL",IF(B296&lt;&gt;"",C296,""),IF(INVOICE!$N$16="AUTOMATE",IF(A296&lt;&gt;"",C296,""),""))</f>
        <v/>
      </c>
      <c r="AO296" s="108">
        <f>IF(INVOICE!$N$16="MANUAL",IFERROR(AM296*B296,""),IF(INVOICE!$N$16="AUTOMATE",IFERROR(AM296*A296,""),""))</f>
        <v>0</v>
      </c>
      <c r="AV296" s="108">
        <f t="shared" si="59"/>
        <v>0</v>
      </c>
    </row>
    <row r="297" spans="1:48">
      <c r="D297" s="324"/>
      <c r="E297" s="324"/>
      <c r="F297" s="229">
        <f t="shared" si="60"/>
        <v>0</v>
      </c>
      <c r="G297" s="229">
        <f>IFERROR(ROUNDUP(F297*INVOICE!$O$6,2),0)</f>
        <v>0</v>
      </c>
      <c r="H297" s="229">
        <f t="shared" si="61"/>
        <v>0</v>
      </c>
      <c r="I297" s="229">
        <f>IFERROR(ROUNDUP(H297*INVOICE!$O$6,2),0)</f>
        <v>0</v>
      </c>
      <c r="J297" s="108" t="str">
        <f t="shared" si="57"/>
        <v/>
      </c>
      <c r="L297" s="108" t="str">
        <f t="shared" si="58"/>
        <v/>
      </c>
      <c r="N297" s="108">
        <v>306</v>
      </c>
      <c r="O297" s="108" t="str">
        <f>IF(INVOICE!$N$16="MANUAL",IF(B297&lt;&gt;"",C297,""),IF(INVOICE!$N$16="AUTOMATE",IF(A297&lt;&gt;"",C297,""),""))</f>
        <v/>
      </c>
      <c r="AO297" s="108">
        <f>IF(INVOICE!$N$16="MANUAL",IFERROR(AM297*B297,""),IF(INVOICE!$N$16="AUTOMATE",IFERROR(AM297*A297,""),""))</f>
        <v>0</v>
      </c>
      <c r="AV297" s="108">
        <f t="shared" si="59"/>
        <v>0</v>
      </c>
    </row>
    <row r="298" spans="1:48">
      <c r="A298" s="108">
        <f>IF(AND('Customer Base'!D13="Victron",OR(AND('Customer Base'!D20="BYD",'Customer Base'!D19="Lithium"),'Customer Base'!D34="Yes")),1,"")</f>
        <v>1</v>
      </c>
      <c r="C298" s="253" t="s">
        <v>899</v>
      </c>
      <c r="D298" s="334">
        <v>278.12</v>
      </c>
      <c r="E298" s="334">
        <v>261.95400000000001</v>
      </c>
      <c r="F298" s="266">
        <f t="shared" si="60"/>
        <v>228.15422477440524</v>
      </c>
      <c r="G298" s="254">
        <f>IFERROR(ROUNDUP(F298*INVOICE!$O$6,2),0)</f>
        <v>3810.1800000000003</v>
      </c>
      <c r="H298" s="266">
        <f t="shared" si="61"/>
        <v>214.89253486464315</v>
      </c>
      <c r="I298" s="254">
        <f>IFERROR(ROUNDUP(H298*INVOICE!$O$6,2),0)</f>
        <v>3588.71</v>
      </c>
      <c r="J298" s="108" t="str">
        <f t="shared" si="57"/>
        <v/>
      </c>
      <c r="L298" s="108" t="str">
        <f t="shared" si="58"/>
        <v/>
      </c>
      <c r="N298" s="108">
        <v>307</v>
      </c>
      <c r="O298" s="108" t="str">
        <f>IF(INVOICE!$N$16="MANUAL",IF(B298&lt;&gt;"",C298,""),IF(INVOICE!$N$16="AUTOMATE",IF(A298&lt;&gt;"",C298,""),""))</f>
        <v>Victron Cerbo GX</v>
      </c>
      <c r="AO298" s="108">
        <f>IF(INVOICE!$N$16="MANUAL",IFERROR(AM298*B298,""),IF(INVOICE!$N$16="AUTOMATE",IFERROR(AM298*A298,""),""))</f>
        <v>0</v>
      </c>
      <c r="AV298" s="108">
        <f t="shared" si="59"/>
        <v>0</v>
      </c>
    </row>
    <row r="299" spans="1:48">
      <c r="C299" s="253" t="s">
        <v>2744</v>
      </c>
      <c r="D299" s="334">
        <v>320.57</v>
      </c>
      <c r="E299" s="334">
        <v>301.93599999999998</v>
      </c>
      <c r="F299" s="266">
        <f t="shared" si="60"/>
        <v>262.97785069729287</v>
      </c>
      <c r="G299" s="254">
        <f>IFERROR(ROUNDUP(F299*INVOICE!$O$6,2),0)</f>
        <v>4391.74</v>
      </c>
      <c r="H299" s="266">
        <f t="shared" si="61"/>
        <v>247.69155045118947</v>
      </c>
      <c r="I299" s="254">
        <f>IFERROR(ROUNDUP(H299*INVOICE!$O$6,2),0)</f>
        <v>4136.45</v>
      </c>
      <c r="J299" s="108" t="str">
        <f t="shared" si="57"/>
        <v/>
      </c>
      <c r="L299" s="108" t="str">
        <f t="shared" si="58"/>
        <v/>
      </c>
      <c r="N299" s="108">
        <v>308</v>
      </c>
      <c r="O299" s="108" t="str">
        <f>IF(INVOICE!$N$16="MANUAL",IF(B299&lt;&gt;"",C299,""),IF(INVOICE!$N$16="AUTOMATE",IF(A299&lt;&gt;"",C299,""),""))</f>
        <v/>
      </c>
      <c r="AO299" s="108">
        <f>IF(INVOICE!$N$16="MANUAL",IFERROR(AM299*B299,""),IF(INVOICE!$N$16="AUTOMATE",IFERROR(AM299*A299,""),""))</f>
        <v>0</v>
      </c>
      <c r="AV299" s="108">
        <f t="shared" si="59"/>
        <v>0</v>
      </c>
    </row>
    <row r="300" spans="1:48">
      <c r="C300" s="253" t="s">
        <v>2745</v>
      </c>
      <c r="D300" s="334">
        <v>220.33</v>
      </c>
      <c r="E300" s="334">
        <v>207.52199999999999</v>
      </c>
      <c r="F300" s="266">
        <f t="shared" si="60"/>
        <v>180.74651353568498</v>
      </c>
      <c r="G300" s="254">
        <f>IFERROR(ROUNDUP(F300*INVOICE!$O$6,2),0)</f>
        <v>3018.4700000000003</v>
      </c>
      <c r="H300" s="266">
        <f t="shared" si="61"/>
        <v>170.23954060705495</v>
      </c>
      <c r="I300" s="254">
        <f>IFERROR(ROUNDUP(H300*INVOICE!$O$6,2),0)</f>
        <v>2843.01</v>
      </c>
      <c r="J300" s="108" t="str">
        <f t="shared" si="57"/>
        <v/>
      </c>
      <c r="L300" s="108" t="str">
        <f t="shared" si="58"/>
        <v/>
      </c>
      <c r="N300" s="108">
        <v>309</v>
      </c>
      <c r="O300" s="108" t="str">
        <f>IF(INVOICE!$N$16="MANUAL",IF(B300&lt;&gt;"",C300,""),IF(INVOICE!$N$16="AUTOMATE",IF(A300&lt;&gt;"",C300,""),""))</f>
        <v/>
      </c>
      <c r="AO300" s="108">
        <f>IF(INVOICE!$N$16="MANUAL",IFERROR(AM300*B300,""),IF(INVOICE!$N$16="AUTOMATE",IFERROR(AM300*A300,""),""))</f>
        <v>0</v>
      </c>
      <c r="AV300" s="108">
        <f t="shared" si="59"/>
        <v>0</v>
      </c>
    </row>
    <row r="301" spans="1:48">
      <c r="A301" s="108">
        <f>IF(AND('Customer Base'!D$34="Yes",A298=1),1,"")</f>
        <v>1</v>
      </c>
      <c r="C301" s="253" t="s">
        <v>1032</v>
      </c>
      <c r="D301" s="334">
        <v>15.34</v>
      </c>
      <c r="E301" s="334">
        <v>14.4504</v>
      </c>
      <c r="F301" s="266">
        <f t="shared" si="60"/>
        <v>12.584085315832649</v>
      </c>
      <c r="G301" s="254">
        <f>IFERROR(ROUNDUP(F301*INVOICE!$O$6,2),0)</f>
        <v>210.16</v>
      </c>
      <c r="H301" s="266">
        <f t="shared" si="61"/>
        <v>11.85430680885972</v>
      </c>
      <c r="I301" s="254">
        <f>IFERROR(ROUNDUP(H301*INVOICE!$O$6,2),0)</f>
        <v>197.97</v>
      </c>
      <c r="J301" s="108" t="str">
        <f t="shared" si="57"/>
        <v/>
      </c>
      <c r="L301" s="108" t="str">
        <f t="shared" si="58"/>
        <v/>
      </c>
      <c r="N301" s="108">
        <v>310</v>
      </c>
      <c r="O301" s="108" t="str">
        <f>IF(INVOICE!$N$16="MANUAL",IF(B301&lt;&gt;"",C301,""),IF(INVOICE!$N$16="AUTOMATE",IF(A301&lt;&gt;"",C301,""),""))</f>
        <v>Victron GX Touch 50 Wall Mount</v>
      </c>
      <c r="AO301" s="108">
        <f>IF(INVOICE!$N$16="MANUAL",IFERROR(AM301*B301,""),IF(INVOICE!$N$16="AUTOMATE",IFERROR(AM301*A301,""),""))</f>
        <v>0</v>
      </c>
      <c r="AV301" s="108">
        <f t="shared" si="59"/>
        <v>0</v>
      </c>
    </row>
    <row r="302" spans="1:48">
      <c r="C302" s="253" t="s">
        <v>1033</v>
      </c>
      <c r="D302" s="334">
        <v>20.78</v>
      </c>
      <c r="E302" s="334">
        <v>19.57</v>
      </c>
      <c r="F302" s="266">
        <f t="shared" si="60"/>
        <v>17.0467596390484</v>
      </c>
      <c r="G302" s="254">
        <f>IFERROR(ROUNDUP(F302*INVOICE!$O$6,2),0)</f>
        <v>284.69</v>
      </c>
      <c r="H302" s="266">
        <f t="shared" si="61"/>
        <v>16.054142739950777</v>
      </c>
      <c r="I302" s="254">
        <f>IFERROR(ROUNDUP(H302*INVOICE!$O$6,2),0)</f>
        <v>268.11</v>
      </c>
      <c r="J302" s="108" t="str">
        <f t="shared" si="57"/>
        <v/>
      </c>
      <c r="L302" s="108" t="str">
        <f t="shared" si="58"/>
        <v/>
      </c>
      <c r="N302" s="108">
        <v>311</v>
      </c>
      <c r="O302" s="108" t="str">
        <f>IF(INVOICE!$N$16="MANUAL",IF(B302&lt;&gt;"",C302,""),IF(INVOICE!$N$16="AUTOMATE",IF(A302&lt;&gt;"",C302,""),""))</f>
        <v/>
      </c>
      <c r="AO302" s="108">
        <f>IF(INVOICE!$N$16="MANUAL",IFERROR(AM302*B302,""),IF(INVOICE!$N$16="AUTOMATE",IFERROR(AM302*A302,""),""))</f>
        <v>0</v>
      </c>
      <c r="AV302" s="108">
        <f t="shared" si="59"/>
        <v>0</v>
      </c>
    </row>
    <row r="303" spans="1:48">
      <c r="C303" s="253" t="s">
        <v>2746</v>
      </c>
      <c r="D303" s="334">
        <v>17.170000000000002</v>
      </c>
      <c r="E303" s="334">
        <v>16.167999999999999</v>
      </c>
      <c r="F303" s="266">
        <f t="shared" si="60"/>
        <v>14.085315832649714</v>
      </c>
      <c r="G303" s="254">
        <f>IFERROR(ROUNDUP(F303*INVOICE!$O$6,2),0)</f>
        <v>235.23</v>
      </c>
      <c r="H303" s="266">
        <f t="shared" si="61"/>
        <v>13.263330598851516</v>
      </c>
      <c r="I303" s="254">
        <f>IFERROR(ROUNDUP(H303*INVOICE!$O$6,2),0)</f>
        <v>221.5</v>
      </c>
      <c r="J303" s="108" t="str">
        <f t="shared" si="57"/>
        <v/>
      </c>
      <c r="L303" s="108" t="str">
        <f t="shared" si="58"/>
        <v/>
      </c>
      <c r="N303" s="108">
        <v>312</v>
      </c>
      <c r="O303" s="108" t="str">
        <f>IF(INVOICE!$N$16="MANUAL",IF(B303&lt;&gt;"",C303,""),IF(INVOICE!$N$16="AUTOMATE",IF(A303&lt;&gt;"",C303,""),""))</f>
        <v/>
      </c>
      <c r="AO303" s="108">
        <f>IF(INVOICE!$N$16="MANUAL",IFERROR(AM303*B303,""),IF(INVOICE!$N$16="AUTOMATE",IFERROR(AM303*A303,""),""))</f>
        <v>0</v>
      </c>
      <c r="AV303" s="108">
        <f t="shared" si="59"/>
        <v>0</v>
      </c>
    </row>
    <row r="304" spans="1:48">
      <c r="C304" s="253" t="s">
        <v>1550</v>
      </c>
      <c r="D304" s="334">
        <v>438.86</v>
      </c>
      <c r="E304" s="334">
        <v>413.34300000000002</v>
      </c>
      <c r="F304" s="266">
        <f t="shared" si="60"/>
        <v>360.01640689089419</v>
      </c>
      <c r="G304" s="254">
        <f>IFERROR(ROUNDUP(F304*INVOICE!$O$6,2),0)</f>
        <v>6012.2800000000007</v>
      </c>
      <c r="H304" s="266">
        <f t="shared" si="61"/>
        <v>339.0836751435603</v>
      </c>
      <c r="I304" s="254">
        <f>IFERROR(ROUNDUP(H304*INVOICE!$O$6,2),0)</f>
        <v>5662.7</v>
      </c>
      <c r="J304" s="108" t="str">
        <f t="shared" si="57"/>
        <v/>
      </c>
      <c r="L304" s="108" t="str">
        <f t="shared" si="58"/>
        <v/>
      </c>
      <c r="N304" s="108">
        <v>313</v>
      </c>
      <c r="O304" s="108" t="str">
        <f>IF(INVOICE!$N$16="MANUAL",IF(B304&lt;&gt;"",C304,""),IF(INVOICE!$N$16="AUTOMATE",IF(A304&lt;&gt;"",C304,""),""))</f>
        <v/>
      </c>
      <c r="AO304" s="108">
        <f>IF(INVOICE!$N$16="MANUAL",IFERROR(AM304*B304,""),IF(INVOICE!$N$16="AUTOMATE",IFERROR(AM304*A304,""),""))</f>
        <v>0</v>
      </c>
      <c r="AV304" s="108">
        <f t="shared" si="59"/>
        <v>0</v>
      </c>
    </row>
    <row r="305" spans="3:48">
      <c r="C305" s="253" t="s">
        <v>2747</v>
      </c>
      <c r="D305" s="334">
        <v>570.70000000000005</v>
      </c>
      <c r="E305" s="334">
        <v>537.51599999999996</v>
      </c>
      <c r="F305" s="266">
        <f t="shared" si="60"/>
        <v>468.17063166529942</v>
      </c>
      <c r="G305" s="254">
        <f>IFERROR(ROUNDUP(F305*INVOICE!$O$6,2),0)</f>
        <v>7818.45</v>
      </c>
      <c r="H305" s="266">
        <f t="shared" si="61"/>
        <v>440.94831829368331</v>
      </c>
      <c r="I305" s="254">
        <f>IFERROR(ROUNDUP(H305*INVOICE!$O$6,2),0)</f>
        <v>7363.84</v>
      </c>
      <c r="J305" s="108" t="str">
        <f t="shared" si="57"/>
        <v/>
      </c>
      <c r="L305" s="108" t="str">
        <f t="shared" si="58"/>
        <v/>
      </c>
      <c r="N305" s="108">
        <v>314</v>
      </c>
      <c r="O305" s="108" t="str">
        <f>IF(INVOICE!$N$16="MANUAL",IF(B305&lt;&gt;"",C305,""),IF(INVOICE!$N$16="AUTOMATE",IF(A305&lt;&gt;"",C305,""),""))</f>
        <v/>
      </c>
      <c r="AO305" s="108">
        <f>IF(INVOICE!$N$16="MANUAL",IFERROR(AM305*B305,""),IF(INVOICE!$N$16="AUTOMATE",IFERROR(AM305*A305,""),""))</f>
        <v>0</v>
      </c>
      <c r="AV305" s="108">
        <f t="shared" si="59"/>
        <v>0</v>
      </c>
    </row>
    <row r="306" spans="3:48">
      <c r="C306" s="253" t="s">
        <v>890</v>
      </c>
      <c r="D306" s="334">
        <v>248.33</v>
      </c>
      <c r="E306" s="334">
        <v>233.89599999999999</v>
      </c>
      <c r="F306" s="266">
        <f t="shared" si="60"/>
        <v>203.71616078753075</v>
      </c>
      <c r="G306" s="254">
        <f>IFERROR(ROUNDUP(F306*INVOICE!$O$6,2),0)</f>
        <v>3402.0600000000004</v>
      </c>
      <c r="H306" s="266">
        <f t="shared" si="61"/>
        <v>191.87530762920423</v>
      </c>
      <c r="I306" s="254">
        <f>IFERROR(ROUNDUP(H306*INVOICE!$O$6,2),0)</f>
        <v>3204.32</v>
      </c>
      <c r="J306" s="108" t="str">
        <f t="shared" si="57"/>
        <v/>
      </c>
      <c r="L306" s="108" t="str">
        <f t="shared" si="58"/>
        <v/>
      </c>
      <c r="N306" s="108">
        <v>315</v>
      </c>
      <c r="O306" s="108" t="str">
        <f>IF(INVOICE!$N$16="MANUAL",IF(B306&lt;&gt;"",C306,""),IF(INVOICE!$N$16="AUTOMATE",IF(A306&lt;&gt;"",C306,""),""))</f>
        <v/>
      </c>
      <c r="AO306" s="108">
        <f>IF(INVOICE!$N$16="MANUAL",IFERROR(AM306*B306,""),IF(INVOICE!$N$16="AUTOMATE",IFERROR(AM306*A306,""),""))</f>
        <v>0</v>
      </c>
      <c r="AV306" s="108">
        <f t="shared" si="59"/>
        <v>0</v>
      </c>
    </row>
    <row r="307" spans="3:48">
      <c r="C307" s="253" t="s">
        <v>891</v>
      </c>
      <c r="D307" s="334">
        <v>22.57</v>
      </c>
      <c r="E307" s="334">
        <v>21.254000000000001</v>
      </c>
      <c r="F307" s="266">
        <f t="shared" si="60"/>
        <v>18.515176374077111</v>
      </c>
      <c r="G307" s="254">
        <f>IFERROR(ROUNDUP(F307*INVOICE!$O$6,2),0)</f>
        <v>309.20999999999998</v>
      </c>
      <c r="H307" s="266">
        <f t="shared" si="61"/>
        <v>17.435602953240362</v>
      </c>
      <c r="I307" s="254">
        <f>IFERROR(ROUNDUP(H307*INVOICE!$O$6,2),0)</f>
        <v>291.18</v>
      </c>
      <c r="J307" s="108" t="str">
        <f t="shared" si="57"/>
        <v/>
      </c>
      <c r="L307" s="108" t="str">
        <f t="shared" si="58"/>
        <v/>
      </c>
      <c r="N307" s="108">
        <v>316</v>
      </c>
      <c r="O307" s="108" t="str">
        <f>IF(INVOICE!$N$16="MANUAL",IF(B307&lt;&gt;"",C307,""),IF(INVOICE!$N$16="AUTOMATE",IF(A307&lt;&gt;"",C307,""),""))</f>
        <v/>
      </c>
      <c r="AO307" s="108">
        <f>IF(INVOICE!$N$16="MANUAL",IFERROR(AM307*B307,""),IF(INVOICE!$N$16="AUTOMATE",IFERROR(AM307*A307,""),""))</f>
        <v>0</v>
      </c>
      <c r="AV307" s="108">
        <f t="shared" si="59"/>
        <v>0</v>
      </c>
    </row>
    <row r="308" spans="3:48">
      <c r="C308" s="253" t="s">
        <v>2748</v>
      </c>
      <c r="D308" s="334">
        <v>134.54</v>
      </c>
      <c r="E308" s="334">
        <v>126.71599999999999</v>
      </c>
      <c r="F308" s="266">
        <f t="shared" si="60"/>
        <v>110.36915504511893</v>
      </c>
      <c r="G308" s="254">
        <f>IFERROR(ROUNDUP(F308*INVOICE!$O$6,2),0)</f>
        <v>1843.17</v>
      </c>
      <c r="H308" s="266">
        <f t="shared" si="61"/>
        <v>103.95077932731746</v>
      </c>
      <c r="I308" s="254">
        <f>IFERROR(ROUNDUP(H308*INVOICE!$O$6,2),0)</f>
        <v>1735.98</v>
      </c>
      <c r="J308" s="108" t="str">
        <f t="shared" si="57"/>
        <v/>
      </c>
      <c r="L308" s="108" t="str">
        <f t="shared" si="58"/>
        <v/>
      </c>
      <c r="N308" s="108">
        <v>317</v>
      </c>
      <c r="O308" s="108" t="str">
        <f>IF(INVOICE!$N$16="MANUAL",IF(B308&lt;&gt;"",C308,""),IF(INVOICE!$N$16="AUTOMATE",IF(A308&lt;&gt;"",C308,""),""))</f>
        <v/>
      </c>
      <c r="AO308" s="108">
        <f>IF(INVOICE!$N$16="MANUAL",IFERROR(AM308*B308,""),IF(INVOICE!$N$16="AUTOMATE",IFERROR(AM308*A308,""),""))</f>
        <v>0</v>
      </c>
      <c r="AV308" s="108">
        <f t="shared" si="59"/>
        <v>0</v>
      </c>
    </row>
    <row r="309" spans="3:48">
      <c r="C309" s="253" t="s">
        <v>897</v>
      </c>
      <c r="D309" s="334">
        <v>35.909999999999997</v>
      </c>
      <c r="E309" s="334">
        <v>32.319000000000003</v>
      </c>
      <c r="F309" s="266">
        <f t="shared" si="60"/>
        <v>29.4585726004922</v>
      </c>
      <c r="G309" s="254">
        <f>IFERROR(ROUNDUP(F309*INVOICE!$O$6,2),0)</f>
        <v>491.96</v>
      </c>
      <c r="H309" s="266">
        <f t="shared" si="61"/>
        <v>26.512715340442988</v>
      </c>
      <c r="I309" s="254">
        <f>IFERROR(ROUNDUP(H309*INVOICE!$O$6,2),0)</f>
        <v>442.77</v>
      </c>
      <c r="J309" s="108" t="str">
        <f t="shared" si="57"/>
        <v/>
      </c>
      <c r="L309" s="108" t="str">
        <f t="shared" si="58"/>
        <v/>
      </c>
      <c r="N309" s="108">
        <v>318</v>
      </c>
      <c r="O309" s="108" t="str">
        <f>IF(INVOICE!$N$16="MANUAL",IF(B309&lt;&gt;"",C309,""),IF(INVOICE!$N$16="AUTOMATE",IF(A309&lt;&gt;"",C309,""),""))</f>
        <v/>
      </c>
      <c r="AO309" s="108">
        <f>IF(INVOICE!$N$16="MANUAL",IFERROR(AM309*B309,""),IF(INVOICE!$N$16="AUTOMATE",IFERROR(AM309*A309,""),""))</f>
        <v>0</v>
      </c>
      <c r="AV309" s="108">
        <f t="shared" si="59"/>
        <v>0</v>
      </c>
    </row>
    <row r="310" spans="3:48">
      <c r="C310" s="253" t="s">
        <v>1626</v>
      </c>
      <c r="D310" s="334">
        <v>24.57</v>
      </c>
      <c r="E310" s="334">
        <v>22.113</v>
      </c>
      <c r="F310" s="266">
        <f t="shared" ref="F310:F375" si="62">$D310/1.219</f>
        <v>20.155865463494667</v>
      </c>
      <c r="G310" s="254">
        <f>IFERROR(ROUNDUP(F310*INVOICE!$O$6,2),0)</f>
        <v>336.61</v>
      </c>
      <c r="H310" s="266">
        <f t="shared" ref="H310:H375" si="63">$E310/1.219</f>
        <v>18.140278917145199</v>
      </c>
      <c r="I310" s="254">
        <f>IFERROR(ROUNDUP(H310*INVOICE!$O$6,2),0)</f>
        <v>302.95</v>
      </c>
      <c r="J310" s="108" t="str">
        <f t="shared" si="57"/>
        <v/>
      </c>
      <c r="L310" s="108" t="str">
        <f t="shared" si="58"/>
        <v/>
      </c>
      <c r="N310" s="108">
        <v>319</v>
      </c>
      <c r="O310" s="108" t="str">
        <f>IF(INVOICE!$N$16="MANUAL",IF(B310&lt;&gt;"",C310,""),IF(INVOICE!$N$16="AUTOMATE",IF(A310&lt;&gt;"",C310,""),""))</f>
        <v/>
      </c>
      <c r="AO310" s="108">
        <f>IF(INVOICE!$N$16="MANUAL",IFERROR(AM310*B310,""),IF(INVOICE!$N$16="AUTOMATE",IFERROR(AM310*A310,""),""))</f>
        <v>0</v>
      </c>
      <c r="AV310" s="108">
        <f t="shared" si="59"/>
        <v>0</v>
      </c>
    </row>
    <row r="311" spans="3:48">
      <c r="C311" s="253" t="s">
        <v>898</v>
      </c>
      <c r="D311" s="334">
        <v>39.69</v>
      </c>
      <c r="E311" s="334">
        <v>35.720999999999997</v>
      </c>
      <c r="F311" s="266">
        <f t="shared" si="62"/>
        <v>32.559474979491384</v>
      </c>
      <c r="G311" s="254">
        <f>IFERROR(ROUNDUP(F311*INVOICE!$O$6,2),0)</f>
        <v>543.75</v>
      </c>
      <c r="H311" s="266">
        <f t="shared" si="63"/>
        <v>29.303527481542243</v>
      </c>
      <c r="I311" s="254">
        <f>IFERROR(ROUNDUP(H311*INVOICE!$O$6,2),0)</f>
        <v>489.37</v>
      </c>
      <c r="J311" s="108" t="str">
        <f t="shared" si="57"/>
        <v/>
      </c>
      <c r="L311" s="108" t="str">
        <f t="shared" si="58"/>
        <v/>
      </c>
      <c r="N311" s="108">
        <v>320</v>
      </c>
      <c r="O311" s="108" t="str">
        <f>IF(INVOICE!$N$16="MANUAL",IF(B311&lt;&gt;"",C311,""),IF(INVOICE!$N$16="AUTOMATE",IF(A311&lt;&gt;"",C311,""),""))</f>
        <v/>
      </c>
      <c r="AO311" s="108">
        <f>IF(INVOICE!$N$16="MANUAL",IFERROR(AM311*B311,""),IF(INVOICE!$N$16="AUTOMATE",IFERROR(AM311*A311,""),""))</f>
        <v>0</v>
      </c>
      <c r="AV311" s="108">
        <f t="shared" si="59"/>
        <v>0</v>
      </c>
    </row>
    <row r="312" spans="3:48">
      <c r="C312" s="231"/>
      <c r="D312" s="329"/>
      <c r="E312" s="329"/>
      <c r="F312" s="261">
        <f t="shared" si="62"/>
        <v>0</v>
      </c>
      <c r="H312" s="261">
        <f t="shared" si="63"/>
        <v>0</v>
      </c>
      <c r="I312" s="229"/>
      <c r="J312" s="108" t="str">
        <f t="shared" si="57"/>
        <v/>
      </c>
      <c r="L312" s="108" t="str">
        <f t="shared" si="58"/>
        <v/>
      </c>
      <c r="N312" s="108">
        <v>321</v>
      </c>
      <c r="O312" s="108" t="str">
        <f>IF(INVOICE!$N$16="MANUAL",IF(B312&lt;&gt;"",C312,""),IF(INVOICE!$N$16="AUTOMATE",IF(A312&lt;&gt;"",C312,""),""))</f>
        <v/>
      </c>
      <c r="AO312" s="108">
        <f>IF(INVOICE!$N$16="MANUAL",IFERROR(AM312*B312,""),IF(INVOICE!$N$16="AUTOMATE",IFERROR(AM312*A312,""),""))</f>
        <v>0</v>
      </c>
      <c r="AV312" s="108">
        <f t="shared" si="59"/>
        <v>0</v>
      </c>
    </row>
    <row r="313" spans="3:48">
      <c r="C313" s="249" t="s">
        <v>2750</v>
      </c>
      <c r="D313" s="331">
        <v>173.38</v>
      </c>
      <c r="E313" s="331">
        <v>163.29599999999999</v>
      </c>
      <c r="F313" s="263">
        <f t="shared" si="62"/>
        <v>142.23133716160785</v>
      </c>
      <c r="G313" s="250">
        <f>IFERROR(ROUNDUP(F313*INVOICE!$O$6,2),0)</f>
        <v>2375.2700000000004</v>
      </c>
      <c r="H313" s="263">
        <f t="shared" si="63"/>
        <v>133.95898277276456</v>
      </c>
      <c r="I313" s="250">
        <f>IFERROR(ROUNDUP(H313*INVOICE!$O$6,2),0)</f>
        <v>2237.1200000000003</v>
      </c>
      <c r="J313" s="108" t="str">
        <f t="shared" si="57"/>
        <v/>
      </c>
      <c r="L313" s="108" t="str">
        <f t="shared" si="58"/>
        <v/>
      </c>
      <c r="N313" s="108">
        <v>322</v>
      </c>
      <c r="O313" s="108" t="str">
        <f>IF(INVOICE!$N$16="MANUAL",IF(B313&lt;&gt;"",C313,""),IF(INVOICE!$N$16="AUTOMATE",IF(A313&lt;&gt;"",C313,""),""))</f>
        <v/>
      </c>
      <c r="AO313" s="108">
        <f>IF(INVOICE!$N$16="MANUAL",IFERROR(AM313*B313,""),IF(INVOICE!$N$16="AUTOMATE",IFERROR(AM313*A313,""),""))</f>
        <v>0</v>
      </c>
      <c r="AV313" s="108">
        <f t="shared" si="59"/>
        <v>0</v>
      </c>
    </row>
    <row r="314" spans="3:48">
      <c r="C314" s="249" t="s">
        <v>893</v>
      </c>
      <c r="D314" s="331">
        <v>56.9</v>
      </c>
      <c r="E314" s="331">
        <v>53.59</v>
      </c>
      <c r="F314" s="263">
        <f t="shared" si="62"/>
        <v>46.677604593929445</v>
      </c>
      <c r="G314" s="250">
        <f>IFERROR(ROUNDUP(F314*INVOICE!$O$6,2),0)</f>
        <v>779.52</v>
      </c>
      <c r="H314" s="263">
        <f t="shared" si="63"/>
        <v>43.962264150943398</v>
      </c>
      <c r="I314" s="250">
        <f>IFERROR(ROUNDUP(H314*INVOICE!$O$6,2),0)</f>
        <v>734.17</v>
      </c>
      <c r="J314" s="108" t="str">
        <f t="shared" si="57"/>
        <v/>
      </c>
      <c r="L314" s="108" t="str">
        <f t="shared" si="58"/>
        <v/>
      </c>
      <c r="N314" s="108">
        <v>323</v>
      </c>
      <c r="O314" s="108" t="str">
        <f>IF(INVOICE!$N$16="MANUAL",IF(B314&lt;&gt;"",C314,""),IF(INVOICE!$N$16="AUTOMATE",IF(A314&lt;&gt;"",C314,""),""))</f>
        <v/>
      </c>
      <c r="AO314" s="108">
        <f>IF(INVOICE!$N$16="MANUAL",IFERROR(AM314*B314,""),IF(INVOICE!$N$16="AUTOMATE",IFERROR(AM314*A314,""),""))</f>
        <v>0</v>
      </c>
      <c r="AV314" s="108">
        <f t="shared" si="59"/>
        <v>0</v>
      </c>
    </row>
    <row r="315" spans="3:48">
      <c r="C315" s="249" t="s">
        <v>894</v>
      </c>
      <c r="D315" s="331">
        <v>100.24</v>
      </c>
      <c r="E315" s="331">
        <v>94.414000000000001</v>
      </c>
      <c r="F315" s="263">
        <f t="shared" si="62"/>
        <v>82.231337161607868</v>
      </c>
      <c r="G315" s="250">
        <f>IFERROR(ROUNDUP(F315*INVOICE!$O$6,2),0)</f>
        <v>1373.27</v>
      </c>
      <c r="H315" s="263">
        <f t="shared" si="63"/>
        <v>77.452009844134537</v>
      </c>
      <c r="I315" s="250">
        <f>IFERROR(ROUNDUP(H315*INVOICE!$O$6,2),0)</f>
        <v>1293.45</v>
      </c>
      <c r="J315" s="108" t="str">
        <f t="shared" si="57"/>
        <v/>
      </c>
      <c r="L315" s="108" t="str">
        <f t="shared" si="58"/>
        <v/>
      </c>
      <c r="N315" s="108">
        <v>324</v>
      </c>
      <c r="O315" s="108" t="str">
        <f>IF(INVOICE!$N$16="MANUAL",IF(B315&lt;&gt;"",C315,""),IF(INVOICE!$N$16="AUTOMATE",IF(A315&lt;&gt;"",C315,""),""))</f>
        <v/>
      </c>
      <c r="AO315" s="108">
        <f>IF(INVOICE!$N$16="MANUAL",IFERROR(AM315*B315,""),IF(INVOICE!$N$16="AUTOMATE",IFERROR(AM315*A315,""),""))</f>
        <v>0</v>
      </c>
      <c r="AV315" s="108">
        <f t="shared" si="59"/>
        <v>0</v>
      </c>
    </row>
    <row r="316" spans="3:48">
      <c r="C316" s="249" t="s">
        <v>2749</v>
      </c>
      <c r="D316" s="331">
        <v>133.63999999999999</v>
      </c>
      <c r="E316" s="331">
        <v>125.874</v>
      </c>
      <c r="F316" s="263">
        <f t="shared" si="62"/>
        <v>109.63084495488103</v>
      </c>
      <c r="G316" s="250">
        <f>IFERROR(ROUNDUP(F316*INVOICE!$O$6,2),0)</f>
        <v>1830.84</v>
      </c>
      <c r="H316" s="263">
        <f t="shared" si="63"/>
        <v>103.26004922067267</v>
      </c>
      <c r="I316" s="250">
        <f>IFERROR(ROUNDUP(H316*INVOICE!$O$6,2),0)</f>
        <v>1724.45</v>
      </c>
      <c r="J316" s="108" t="str">
        <f t="shared" si="57"/>
        <v/>
      </c>
      <c r="L316" s="108" t="str">
        <f t="shared" si="58"/>
        <v/>
      </c>
      <c r="N316" s="108">
        <v>325</v>
      </c>
      <c r="O316" s="108" t="str">
        <f>IF(INVOICE!$N$16="MANUAL",IF(B316&lt;&gt;"",C316,""),IF(INVOICE!$N$16="AUTOMATE",IF(A316&lt;&gt;"",C316,""),""))</f>
        <v/>
      </c>
      <c r="AO316" s="108">
        <f>IF(INVOICE!$N$16="MANUAL",IFERROR(AM316*B316,""),IF(INVOICE!$N$16="AUTOMATE",IFERROR(AM316*A316,""),""))</f>
        <v>0</v>
      </c>
    </row>
    <row r="317" spans="3:48">
      <c r="C317" s="249" t="s">
        <v>892</v>
      </c>
      <c r="D317" s="331">
        <v>146.29</v>
      </c>
      <c r="E317" s="331">
        <v>137.78100000000001</v>
      </c>
      <c r="F317" s="263">
        <f t="shared" si="62"/>
        <v>120.00820344544708</v>
      </c>
      <c r="G317" s="250">
        <f>IFERROR(ROUNDUP(F317*INVOICE!$O$6,2),0)</f>
        <v>2004.14</v>
      </c>
      <c r="H317" s="263">
        <f t="shared" si="63"/>
        <v>113.02789171452009</v>
      </c>
      <c r="I317" s="250">
        <f>IFERROR(ROUNDUP(H317*INVOICE!$O$6,2),0)</f>
        <v>1887.57</v>
      </c>
      <c r="J317" s="108" t="str">
        <f t="shared" si="57"/>
        <v/>
      </c>
      <c r="L317" s="108" t="str">
        <f t="shared" si="58"/>
        <v/>
      </c>
      <c r="N317" s="108">
        <v>326</v>
      </c>
      <c r="O317" s="108" t="str">
        <f>IF(INVOICE!$N$16="MANUAL",IF(B317&lt;&gt;"",C317,""),IF(INVOICE!$N$16="AUTOMATE",IF(A317&lt;&gt;"",C317,""),""))</f>
        <v/>
      </c>
      <c r="AO317" s="108">
        <f>IF(INVOICE!$N$16="MANUAL",IFERROR(AM317*B317,""),IF(INVOICE!$N$16="AUTOMATE",IFERROR(AM317*A317,""),""))</f>
        <v>0</v>
      </c>
      <c r="AV317" s="108">
        <f t="shared" si="59"/>
        <v>0</v>
      </c>
    </row>
    <row r="318" spans="3:48">
      <c r="C318" s="231"/>
      <c r="D318" s="329"/>
      <c r="E318" s="329"/>
      <c r="F318" s="261"/>
      <c r="H318" s="261"/>
      <c r="I318" s="229"/>
      <c r="J318" s="108" t="str">
        <f t="shared" si="57"/>
        <v/>
      </c>
      <c r="L318" s="108" t="str">
        <f t="shared" si="58"/>
        <v/>
      </c>
      <c r="N318" s="108">
        <v>327</v>
      </c>
      <c r="O318" s="108" t="str">
        <f>IF(INVOICE!$N$16="MANUAL",IF(B318&lt;&gt;"",C318,""),IF(INVOICE!$N$16="AUTOMATE",IF(A318&lt;&gt;"",C318,""),""))</f>
        <v/>
      </c>
      <c r="AO318" s="108">
        <f>IF(INVOICE!$N$16="MANUAL",IFERROR(AM318*B318,""),IF(INVOICE!$N$16="AUTOMATE",IFERROR(AM318*A318,""),""))</f>
        <v>0</v>
      </c>
      <c r="AV318" s="108">
        <f t="shared" si="59"/>
        <v>0</v>
      </c>
    </row>
    <row r="319" spans="3:48">
      <c r="C319" s="251" t="s">
        <v>1908</v>
      </c>
      <c r="D319" s="327"/>
      <c r="E319" s="327"/>
      <c r="F319" s="257">
        <f t="shared" si="62"/>
        <v>0</v>
      </c>
      <c r="G319" s="239"/>
      <c r="H319" s="257">
        <f t="shared" si="63"/>
        <v>0</v>
      </c>
      <c r="I319" s="239"/>
      <c r="J319" s="108" t="str">
        <f t="shared" si="57"/>
        <v/>
      </c>
      <c r="L319" s="108" t="str">
        <f t="shared" si="58"/>
        <v/>
      </c>
      <c r="N319" s="108">
        <v>328</v>
      </c>
      <c r="O319" s="108" t="str">
        <f>IF(INVOICE!$N$16="MANUAL",IF(B319&lt;&gt;"",C319,""),IF(INVOICE!$N$16="AUTOMATE",IF(A319&lt;&gt;"",C319,""),""))</f>
        <v/>
      </c>
      <c r="AO319" s="108">
        <f>IF(INVOICE!$N$16="MANUAL",IFERROR(AM319*B319,""),IF(INVOICE!$N$16="AUTOMATE",IFERROR(AM319*A319,""),""))</f>
        <v>0</v>
      </c>
      <c r="AV319" s="108">
        <f t="shared" si="59"/>
        <v>0</v>
      </c>
    </row>
    <row r="320" spans="3:48">
      <c r="C320" s="242" t="s">
        <v>949</v>
      </c>
      <c r="D320" s="272">
        <v>163.43</v>
      </c>
      <c r="E320" s="272">
        <v>153.93199999999999</v>
      </c>
      <c r="F320" s="243">
        <f t="shared" si="62"/>
        <v>134.06890894175552</v>
      </c>
      <c r="G320" s="243">
        <f>IFERROR(ROUNDUP(F320*INVOICE!$O$6,2),0)</f>
        <v>2238.96</v>
      </c>
      <c r="H320" s="243">
        <f t="shared" si="63"/>
        <v>126.27727645611155</v>
      </c>
      <c r="I320" s="243">
        <f>IFERROR(ROUNDUP(H320*INVOICE!$O$6,2),0)</f>
        <v>2108.84</v>
      </c>
      <c r="J320" s="108" t="str">
        <f t="shared" si="57"/>
        <v/>
      </c>
      <c r="L320" s="108" t="str">
        <f t="shared" si="58"/>
        <v/>
      </c>
      <c r="N320" s="108">
        <v>329</v>
      </c>
      <c r="O320" s="108" t="str">
        <f>IF(INVOICE!$N$16="MANUAL",IF(B320&lt;&gt;"",C320,""),IF(INVOICE!$N$16="AUTOMATE",IF(A320&lt;&gt;"",C320,""),""))</f>
        <v/>
      </c>
      <c r="AO320" s="108">
        <f>IF(INVOICE!$N$16="MANUAL",IFERROR(AM320*B320,""),IF(INVOICE!$N$16="AUTOMATE",IFERROR(AM320*A320,""),""))</f>
        <v>0</v>
      </c>
      <c r="AV320" s="108">
        <f t="shared" si="59"/>
        <v>0</v>
      </c>
    </row>
    <row r="321" spans="1:48">
      <c r="A321" s="108" t="str">
        <f>IF(AND('Customer Base'!D$19="Lithium",SUMPRODUCT(A$6:A$132,AW$6:AW$132)&gt;600,SUMPRODUCT(A$6:A$132,AW$6:AW$132)&lt;=1000),1,IF(SUMPRODUCT(A$6:A$132,AW$6:AW$132)&gt;1000,ROUNDUP(SUMPRODUCT(A$6:A$132,AW$6:AW$132)/1000,0),""))</f>
        <v/>
      </c>
      <c r="C321" s="242" t="s">
        <v>2769</v>
      </c>
      <c r="D321" s="272">
        <v>223.94</v>
      </c>
      <c r="E321" s="272">
        <v>210.92400000000001</v>
      </c>
      <c r="F321" s="243">
        <f t="shared" si="62"/>
        <v>183.70795734208366</v>
      </c>
      <c r="G321" s="243">
        <f>IFERROR(ROUNDUP(F321*INVOICE!$O$6,2),0)</f>
        <v>3067.9300000000003</v>
      </c>
      <c r="H321" s="243">
        <f t="shared" si="63"/>
        <v>173.03035274815423</v>
      </c>
      <c r="I321" s="243">
        <f>IFERROR(ROUNDUP(H321*INVOICE!$O$6,2),0)</f>
        <v>2889.61</v>
      </c>
      <c r="J321" s="108" t="str">
        <f t="shared" si="57"/>
        <v/>
      </c>
      <c r="L321" s="108" t="str">
        <f t="shared" si="58"/>
        <v/>
      </c>
      <c r="N321" s="108">
        <v>330</v>
      </c>
      <c r="O321" s="108" t="str">
        <f>IF(INVOICE!$N$16="MANUAL",IF(B321&lt;&gt;"",C321,""),IF(INVOICE!$N$16="AUTOMATE",IF(A321&lt;&gt;"",C321,""),""))</f>
        <v/>
      </c>
      <c r="AO321" s="108" t="str">
        <f>IF(INVOICE!$N$16="MANUAL",IFERROR(AM321*B321,""),IF(INVOICE!$N$16="AUTOMATE",IFERROR(AM321*A321,""),""))</f>
        <v/>
      </c>
      <c r="AV321" s="108">
        <f t="shared" si="59"/>
        <v>0</v>
      </c>
    </row>
    <row r="322" spans="1:48">
      <c r="A322" s="108">
        <f>IF(AND('Customer Base'!D$19="Lithium",SUMPRODUCT(A$6:A$132,AW$6:AW$132)&gt;0,SUMPRODUCT(A$6:A$132,AW$6:AW$132)&lt;=150),2,"")</f>
        <v>2</v>
      </c>
      <c r="C322" s="242" t="s">
        <v>2770</v>
      </c>
      <c r="D322" s="272">
        <v>18.95</v>
      </c>
      <c r="E322" s="272">
        <v>17.852</v>
      </c>
      <c r="F322" s="243">
        <f t="shared" si="62"/>
        <v>15.545529122231336</v>
      </c>
      <c r="G322" s="243">
        <f>IFERROR(ROUNDUP(F322*INVOICE!$O$6,2),0)</f>
        <v>259.62</v>
      </c>
      <c r="H322" s="243">
        <f t="shared" si="63"/>
        <v>14.644790812141098</v>
      </c>
      <c r="I322" s="243">
        <f>IFERROR(ROUNDUP(H322*INVOICE!$O$6,2),0)</f>
        <v>244.57</v>
      </c>
      <c r="J322" s="108" t="str">
        <f t="shared" si="57"/>
        <v/>
      </c>
      <c r="L322" s="108" t="str">
        <f t="shared" si="58"/>
        <v/>
      </c>
      <c r="N322" s="108">
        <v>331</v>
      </c>
      <c r="O322" s="108" t="str">
        <f>IF(INVOICE!$N$16="MANUAL",IF(B322&lt;&gt;"",C322,""),IF(INVOICE!$N$16="AUTOMATE",IF(A322&lt;&gt;"",C322,""),""))</f>
        <v>Victron Solar Busbar 150A 2P with 10 screws +cover</v>
      </c>
      <c r="AO322" s="108">
        <f>IF(INVOICE!$N$16="MANUAL",IFERROR(AM322*B322,""),IF(INVOICE!$N$16="AUTOMATE",IFERROR(AM322*A322,""),""))</f>
        <v>0</v>
      </c>
      <c r="AV322" s="108">
        <f t="shared" si="59"/>
        <v>0</v>
      </c>
    </row>
    <row r="323" spans="1:48">
      <c r="C323" s="242" t="s">
        <v>2771</v>
      </c>
      <c r="D323" s="272">
        <v>28.896000000000001</v>
      </c>
      <c r="E323" s="272">
        <v>27.216000000000001</v>
      </c>
      <c r="F323" s="243">
        <f t="shared" si="62"/>
        <v>23.70467596390484</v>
      </c>
      <c r="G323" s="243">
        <f>IFERROR(ROUNDUP(F323*INVOICE!$O$6,2),0)</f>
        <v>395.87</v>
      </c>
      <c r="H323" s="243">
        <f t="shared" si="63"/>
        <v>22.326497128794092</v>
      </c>
      <c r="I323" s="243">
        <f>IFERROR(ROUNDUP(H323*INVOICE!$O$6,2),0)</f>
        <v>372.86</v>
      </c>
      <c r="J323" s="108" t="str">
        <f t="shared" si="57"/>
        <v/>
      </c>
      <c r="L323" s="108" t="str">
        <f t="shared" si="58"/>
        <v/>
      </c>
      <c r="N323" s="108">
        <v>332</v>
      </c>
      <c r="O323" s="108" t="str">
        <f>IF(INVOICE!$N$16="MANUAL",IF(B323&lt;&gt;"",C323,""),IF(INVOICE!$N$16="AUTOMATE",IF(A323&lt;&gt;"",C323,""),""))</f>
        <v/>
      </c>
      <c r="AO323" s="108">
        <f>IF(INVOICE!$N$16="MANUAL",IFERROR(AM323*B323,""),IF(INVOICE!$N$16="AUTOMATE",IFERROR(AM323*A323,""),""))</f>
        <v>0</v>
      </c>
      <c r="AV323" s="108">
        <f t="shared" si="59"/>
        <v>0</v>
      </c>
    </row>
    <row r="324" spans="1:48">
      <c r="C324" s="242" t="s">
        <v>2772</v>
      </c>
      <c r="D324" s="272">
        <v>18.95</v>
      </c>
      <c r="E324" s="272">
        <v>17.852</v>
      </c>
      <c r="F324" s="243">
        <f t="shared" si="62"/>
        <v>15.545529122231336</v>
      </c>
      <c r="G324" s="243">
        <f>IFERROR(ROUNDUP(F324*INVOICE!$O$6,2),0)</f>
        <v>259.62</v>
      </c>
      <c r="H324" s="243">
        <f t="shared" si="63"/>
        <v>14.644790812141098</v>
      </c>
      <c r="I324" s="243">
        <f>IFERROR(ROUNDUP(H324*INVOICE!$O$6,2),0)</f>
        <v>244.57</v>
      </c>
      <c r="J324" s="108" t="str">
        <f t="shared" si="57"/>
        <v/>
      </c>
      <c r="L324" s="108" t="str">
        <f t="shared" si="58"/>
        <v/>
      </c>
      <c r="N324" s="108">
        <v>333</v>
      </c>
      <c r="O324" s="108" t="str">
        <f>IF(INVOICE!$N$16="MANUAL",IF(B324&lt;&gt;"",C324,""),IF(INVOICE!$N$16="AUTOMATE",IF(A324&lt;&gt;"",C324,""),""))</f>
        <v/>
      </c>
      <c r="AO324" s="108">
        <f>IF(INVOICE!$N$16="MANUAL",IFERROR(AM324*B324,""),IF(INVOICE!$N$16="AUTOMATE",IFERROR(AM324*A324,""),""))</f>
        <v>0</v>
      </c>
    </row>
    <row r="325" spans="1:48">
      <c r="C325" s="242" t="s">
        <v>999</v>
      </c>
      <c r="D325" s="272">
        <v>28</v>
      </c>
      <c r="E325" s="272">
        <v>26.373999999999999</v>
      </c>
      <c r="F325" s="243">
        <f t="shared" si="62"/>
        <v>22.969647251845775</v>
      </c>
      <c r="G325" s="243">
        <f>IFERROR(ROUNDUP(F325*INVOICE!$O$6,2),0)</f>
        <v>383.59999999999997</v>
      </c>
      <c r="H325" s="243">
        <f t="shared" si="63"/>
        <v>21.635767022149299</v>
      </c>
      <c r="I325" s="243">
        <f>IFERROR(ROUNDUP(H325*INVOICE!$O$6,2),0)</f>
        <v>361.32</v>
      </c>
      <c r="J325" s="108" t="str">
        <f t="shared" si="57"/>
        <v/>
      </c>
      <c r="L325" s="108" t="str">
        <f t="shared" si="58"/>
        <v/>
      </c>
      <c r="N325" s="108">
        <v>334</v>
      </c>
      <c r="O325" s="108" t="str">
        <f>IF(INVOICE!$N$16="MANUAL",IF(B325&lt;&gt;"",C325,""),IF(INVOICE!$N$16="AUTOMATE",IF(A325&lt;&gt;"",C325,""),""))</f>
        <v/>
      </c>
      <c r="AO325" s="108">
        <f>IF(INVOICE!$N$16="MANUAL",IFERROR(AM325*B325,""),IF(INVOICE!$N$16="AUTOMATE",IFERROR(AM325*A325,""),""))</f>
        <v>0</v>
      </c>
    </row>
    <row r="326" spans="1:48">
      <c r="A326" s="108" t="str">
        <f>IF(AND('Customer Base'!D$19="Lithium",SUMPRODUCT(A$6:A$132,AW$6:AW$132)&gt;150,SUMPRODUCT(A$6:A$132,AW$6:AW$132)&lt;=250),2,"")</f>
        <v/>
      </c>
      <c r="C326" s="242" t="s">
        <v>2773</v>
      </c>
      <c r="D326" s="272">
        <v>44.24</v>
      </c>
      <c r="E326" s="272">
        <v>41.67</v>
      </c>
      <c r="F326" s="243">
        <f t="shared" si="62"/>
        <v>36.292042657916326</v>
      </c>
      <c r="G326" s="243">
        <f>IFERROR(ROUNDUP(F326*INVOICE!$O$6,2),0)</f>
        <v>606.08000000000004</v>
      </c>
      <c r="H326" s="243">
        <f t="shared" si="63"/>
        <v>34.183757178014766</v>
      </c>
      <c r="I326" s="243">
        <f>IFERROR(ROUNDUP(H326*INVOICE!$O$6,2),0)</f>
        <v>570.87</v>
      </c>
      <c r="J326" s="108" t="str">
        <f t="shared" si="57"/>
        <v/>
      </c>
      <c r="L326" s="108" t="str">
        <f t="shared" si="58"/>
        <v/>
      </c>
      <c r="N326" s="108">
        <v>335</v>
      </c>
      <c r="O326" s="108" t="str">
        <f>IF(INVOICE!$N$16="MANUAL",IF(B326&lt;&gt;"",C326,""),IF(INVOICE!$N$16="AUTOMATE",IF(A326&lt;&gt;"",C326,""),""))</f>
        <v/>
      </c>
      <c r="AO326" s="108" t="str">
        <f>IF(INVOICE!$N$16="MANUAL",IFERROR(AM326*B326,""),IF(INVOICE!$N$16="AUTOMATE",IFERROR(AM326*A326,""),""))</f>
        <v/>
      </c>
      <c r="AV326" s="108">
        <f t="shared" si="59"/>
        <v>0</v>
      </c>
    </row>
    <row r="327" spans="1:48">
      <c r="C327" s="242" t="s">
        <v>2774</v>
      </c>
      <c r="D327" s="272">
        <v>50.57</v>
      </c>
      <c r="E327" s="272">
        <v>47.628</v>
      </c>
      <c r="F327" s="243">
        <f t="shared" si="62"/>
        <v>41.484823625922886</v>
      </c>
      <c r="G327" s="243">
        <f>IFERROR(ROUNDUP(F327*INVOICE!$O$6,2),0)</f>
        <v>692.8</v>
      </c>
      <c r="H327" s="243">
        <f t="shared" si="63"/>
        <v>39.071369975389658</v>
      </c>
      <c r="I327" s="243">
        <f>IFERROR(ROUNDUP(H327*INVOICE!$O$6,2),0)</f>
        <v>652.5</v>
      </c>
      <c r="J327" s="108" t="str">
        <f t="shared" si="57"/>
        <v/>
      </c>
      <c r="L327" s="108" t="str">
        <f t="shared" si="58"/>
        <v/>
      </c>
      <c r="N327" s="108">
        <v>336</v>
      </c>
      <c r="O327" s="108" t="str">
        <f>IF(INVOICE!$N$16="MANUAL",IF(B327&lt;&gt;"",C327,""),IF(INVOICE!$N$16="AUTOMATE",IF(A327&lt;&gt;"",C327,""),""))</f>
        <v/>
      </c>
      <c r="AO327" s="108">
        <f>IF(INVOICE!$N$16="MANUAL",IFERROR(AM327*B327,""),IF(INVOICE!$N$16="AUTOMATE",IFERROR(AM327*A327,""),""))</f>
        <v>0</v>
      </c>
    </row>
    <row r="328" spans="1:48">
      <c r="C328" s="242" t="s">
        <v>2775</v>
      </c>
      <c r="D328" s="272">
        <v>57.79</v>
      </c>
      <c r="E328" s="272">
        <v>54.432000000000002</v>
      </c>
      <c r="F328" s="243">
        <f t="shared" si="62"/>
        <v>47.40771123872026</v>
      </c>
      <c r="G328" s="243">
        <f>IFERROR(ROUNDUP(F328*INVOICE!$O$6,2),0)</f>
        <v>791.71</v>
      </c>
      <c r="H328" s="243">
        <f t="shared" si="63"/>
        <v>44.652994257588183</v>
      </c>
      <c r="I328" s="243">
        <f>IFERROR(ROUNDUP(H328*INVOICE!$O$6,2),0)</f>
        <v>745.71</v>
      </c>
      <c r="J328" s="108" t="str">
        <f t="shared" si="57"/>
        <v/>
      </c>
      <c r="L328" s="108" t="str">
        <f t="shared" si="58"/>
        <v/>
      </c>
      <c r="N328" s="108">
        <v>337</v>
      </c>
      <c r="O328" s="108" t="str">
        <f>IF(INVOICE!$N$16="MANUAL",IF(B328&lt;&gt;"",C328,""),IF(INVOICE!$N$16="AUTOMATE",IF(A328&lt;&gt;"",C328,""),""))</f>
        <v/>
      </c>
      <c r="AO328" s="108">
        <f>IF(INVOICE!$N$16="MANUAL",IFERROR(AM328*B328,""),IF(INVOICE!$N$16="AUTOMATE",IFERROR(AM328*A328,""),""))</f>
        <v>0</v>
      </c>
    </row>
    <row r="329" spans="1:48">
      <c r="C329" s="242" t="s">
        <v>2776</v>
      </c>
      <c r="D329" s="272">
        <v>62.3</v>
      </c>
      <c r="E329" s="272">
        <v>58.676000000000002</v>
      </c>
      <c r="F329" s="243">
        <f t="shared" si="62"/>
        <v>51.107465135356847</v>
      </c>
      <c r="G329" s="243">
        <f>IFERROR(ROUNDUP(F329*INVOICE!$O$6,2),0)</f>
        <v>853.5</v>
      </c>
      <c r="H329" s="243">
        <f t="shared" si="63"/>
        <v>48.134536505332235</v>
      </c>
      <c r="I329" s="243">
        <f>IFERROR(ROUNDUP(H329*INVOICE!$O$6,2),0)</f>
        <v>803.85</v>
      </c>
      <c r="J329" s="108" t="str">
        <f t="shared" si="57"/>
        <v/>
      </c>
      <c r="L329" s="108" t="str">
        <f t="shared" si="58"/>
        <v/>
      </c>
      <c r="N329" s="108">
        <v>338</v>
      </c>
      <c r="O329" s="108" t="str">
        <f>IF(INVOICE!$N$16="MANUAL",IF(B329&lt;&gt;"",C329,""),IF(INVOICE!$N$16="AUTOMATE",IF(A329&lt;&gt;"",C329,""),""))</f>
        <v/>
      </c>
      <c r="AO329" s="108">
        <f>IF(INVOICE!$N$16="MANUAL",IFERROR(AM329*B329,""),IF(INVOICE!$N$16="AUTOMATE",IFERROR(AM329*A329,""),""))</f>
        <v>0</v>
      </c>
    </row>
    <row r="330" spans="1:48">
      <c r="A330" s="108" t="str">
        <f>IF(AND('Customer Base'!D$19="Lithium",SUMPRODUCT(A$6:A$132,AW$6:AW$132)&gt;250,SUMPRODUCT(A$6:A$132,AW$6:AW$132)&lt;=600),2,"")</f>
        <v/>
      </c>
      <c r="C330" s="242" t="s">
        <v>1000</v>
      </c>
      <c r="D330" s="272">
        <v>131.84</v>
      </c>
      <c r="E330" s="272">
        <v>124.173</v>
      </c>
      <c r="F330" s="243">
        <f t="shared" si="62"/>
        <v>108.15422477440525</v>
      </c>
      <c r="G330" s="243">
        <f>IFERROR(ROUNDUP(F330*INVOICE!$O$6,2),0)</f>
        <v>1806.18</v>
      </c>
      <c r="H330" s="243">
        <f t="shared" si="63"/>
        <v>101.86464315012304</v>
      </c>
      <c r="I330" s="243">
        <f>IFERROR(ROUNDUP(H330*INVOICE!$O$6,2),0)</f>
        <v>1701.14</v>
      </c>
      <c r="J330" s="108" t="str">
        <f t="shared" si="57"/>
        <v/>
      </c>
      <c r="L330" s="108" t="str">
        <f t="shared" si="58"/>
        <v/>
      </c>
      <c r="N330" s="108">
        <v>339</v>
      </c>
      <c r="O330" s="108" t="str">
        <f>IF(INVOICE!$N$16="MANUAL",IF(B330&lt;&gt;"",C330,""),IF(INVOICE!$N$16="AUTOMATE",IF(A330&lt;&gt;"",C330,""),""))</f>
        <v/>
      </c>
      <c r="AO330" s="108" t="str">
        <f>IF(INVOICE!$N$16="MANUAL",IFERROR(AM330*B330,""),IF(INVOICE!$N$16="AUTOMATE",IFERROR(AM330*A330,""),""))</f>
        <v/>
      </c>
      <c r="AV330" s="108">
        <f t="shared" si="59"/>
        <v>0</v>
      </c>
    </row>
    <row r="331" spans="1:48">
      <c r="C331" s="242" t="s">
        <v>1001</v>
      </c>
      <c r="D331" s="272">
        <v>204.99</v>
      </c>
      <c r="E331" s="272">
        <v>193.072</v>
      </c>
      <c r="F331" s="243">
        <f t="shared" si="62"/>
        <v>168.16242821985233</v>
      </c>
      <c r="G331" s="243">
        <f>IFERROR(ROUNDUP(F331*INVOICE!$O$6,2),0)</f>
        <v>2808.32</v>
      </c>
      <c r="H331" s="243">
        <f t="shared" si="63"/>
        <v>158.38556193601312</v>
      </c>
      <c r="I331" s="243">
        <f>IFERROR(ROUNDUP(H331*INVOICE!$O$6,2),0)</f>
        <v>2645.0400000000004</v>
      </c>
      <c r="J331" s="108" t="str">
        <f t="shared" si="57"/>
        <v/>
      </c>
      <c r="L331" s="108" t="str">
        <f t="shared" si="58"/>
        <v/>
      </c>
      <c r="N331" s="108">
        <v>340</v>
      </c>
      <c r="O331" s="108" t="str">
        <f>IF(INVOICE!$N$16="MANUAL",IF(B331&lt;&gt;"",C331,""),IF(INVOICE!$N$16="AUTOMATE",IF(A331&lt;&gt;"",C331,""),""))</f>
        <v/>
      </c>
      <c r="AO331" s="108">
        <f>IF(INVOICE!$N$16="MANUAL",IFERROR(AM331*B331,""),IF(INVOICE!$N$16="AUTOMATE",IFERROR(AM331*A331,""),""))</f>
        <v>0</v>
      </c>
      <c r="AV331" s="108">
        <f t="shared" si="59"/>
        <v>0</v>
      </c>
    </row>
    <row r="332" spans="1:48">
      <c r="C332" s="242" t="s">
        <v>1064</v>
      </c>
      <c r="D332" s="272">
        <v>35.229999999999997</v>
      </c>
      <c r="E332" s="272">
        <v>33.177999999999997</v>
      </c>
      <c r="F332" s="243">
        <f t="shared" si="62"/>
        <v>28.900738310090233</v>
      </c>
      <c r="G332" s="243">
        <f>IFERROR(ROUNDUP(F332*INVOICE!$O$6,2),0)</f>
        <v>482.65</v>
      </c>
      <c r="H332" s="243">
        <f t="shared" si="63"/>
        <v>27.217391304347821</v>
      </c>
      <c r="I332" s="243">
        <f>IFERROR(ROUNDUP(H332*INVOICE!$O$6,2),0)</f>
        <v>454.53999999999996</v>
      </c>
      <c r="J332" s="108" t="str">
        <f t="shared" si="57"/>
        <v/>
      </c>
      <c r="L332" s="108" t="str">
        <f t="shared" si="58"/>
        <v/>
      </c>
      <c r="N332" s="108">
        <v>341</v>
      </c>
      <c r="O332" s="108" t="str">
        <f>IF(INVOICE!$N$16="MANUAL",IF(B332&lt;&gt;"",C332,""),IF(INVOICE!$N$16="AUTOMATE",IF(A332&lt;&gt;"",C332,""),""))</f>
        <v/>
      </c>
      <c r="AO332" s="108">
        <f>IF(INVOICE!$N$16="MANUAL",IFERROR(AM332*B332,""),IF(INVOICE!$N$16="AUTOMATE",IFERROR(AM332*A332,""),""))</f>
        <v>0</v>
      </c>
      <c r="AV332" s="108">
        <f t="shared" si="59"/>
        <v>0</v>
      </c>
    </row>
    <row r="333" spans="1:48">
      <c r="D333" s="324"/>
      <c r="E333" s="324"/>
      <c r="F333" s="229">
        <f t="shared" si="62"/>
        <v>0</v>
      </c>
      <c r="G333" s="229">
        <f>IFERROR(ROUNDUP(F333*INVOICE!$O$6,2),0)</f>
        <v>0</v>
      </c>
      <c r="H333" s="229">
        <f t="shared" si="63"/>
        <v>0</v>
      </c>
      <c r="I333" s="229">
        <f>IFERROR(ROUNDUP(H333*INVOICE!$O$6,2),0)</f>
        <v>0</v>
      </c>
      <c r="J333" s="108" t="str">
        <f t="shared" si="57"/>
        <v/>
      </c>
      <c r="L333" s="108" t="str">
        <f t="shared" si="58"/>
        <v/>
      </c>
      <c r="N333" s="108">
        <v>342</v>
      </c>
      <c r="O333" s="108" t="str">
        <f>IF(INVOICE!$N$16="MANUAL",IF(B333&lt;&gt;"",C333,""),IF(INVOICE!$N$16="AUTOMATE",IF(A333&lt;&gt;"",C333,""),""))</f>
        <v/>
      </c>
      <c r="AO333" s="108">
        <f>IF(INVOICE!$N$16="MANUAL",IFERROR(AM333*B333,""),IF(INVOICE!$N$16="AUTOMATE",IFERROR(AM333*A333,""),""))</f>
        <v>0</v>
      </c>
      <c r="AV333" s="108">
        <f t="shared" si="59"/>
        <v>0</v>
      </c>
    </row>
    <row r="334" spans="1:48">
      <c r="A334" s="108">
        <f ca="1">IFERROR(IF(AND('Customer Base'!D$13="Victron",'Customer Base'!D$7&lt;&gt;"Backup",'Client List'!$EE$474&lt;&gt;""),IF(IF('Client List'!IM474=2,'Client List'!IK474,0)+IF('Client List'!EE474=2,'Client List'!EC474,0)=0,"",IF('Client List'!IM474=2,'Client List'!IK474,0)+IF('Client List'!EE474=2,'Client List'!EC474,0)),""),"")</f>
        <v>1</v>
      </c>
      <c r="C334" s="242" t="s">
        <v>1044</v>
      </c>
      <c r="D334" s="272">
        <v>120.4</v>
      </c>
      <c r="E334" s="272">
        <v>113.4</v>
      </c>
      <c r="F334" s="243">
        <f t="shared" si="62"/>
        <v>98.769483182936838</v>
      </c>
      <c r="G334" s="243">
        <f>IFERROR(ROUNDUP(F334*INVOICE!$O$6,2),0)</f>
        <v>1649.46</v>
      </c>
      <c r="H334" s="243">
        <f t="shared" si="63"/>
        <v>93.027071369975388</v>
      </c>
      <c r="I334" s="243">
        <f>IFERROR(ROUNDUP(H334*INVOICE!$O$6,2),0)</f>
        <v>1553.56</v>
      </c>
      <c r="J334" s="108" t="str">
        <f t="shared" si="57"/>
        <v/>
      </c>
      <c r="L334" s="108" t="str">
        <f t="shared" si="58"/>
        <v/>
      </c>
      <c r="N334" s="108">
        <v>343</v>
      </c>
      <c r="O334" s="108" t="str">
        <f ca="1">IF(INVOICE!$N$16="MANUAL",IF(B334&lt;&gt;"",C334,""),IF(INVOICE!$N$16="AUTOMATE",IF(A334&lt;&gt;"",C334,""),""))</f>
        <v>Solar DC Combiner BHS 2/1</v>
      </c>
      <c r="AO334" s="108">
        <f ca="1">IF(INVOICE!$N$16="MANUAL",IFERROR(AM334*B334,""),IF(INVOICE!$N$16="AUTOMATE",IFERROR(AM334*A334,""),""))</f>
        <v>0</v>
      </c>
      <c r="AV334" s="108">
        <f t="shared" si="59"/>
        <v>0</v>
      </c>
    </row>
    <row r="335" spans="1:48">
      <c r="A335" s="108">
        <f ca="1">IFERROR(IF(AND('Customer Base'!D$13="Victron",'Customer Base'!D$7&lt;&gt;"Backup",'Client List'!$EE$474&lt;&gt;""),IF(IF('Client List'!IM474=3,'Client List'!IK474,0)+IF('Client List'!EE474=3,'Client List'!EC474,0)=0,"",IF('Client List'!IM474=3,'Client List'!IK474,0)+IF('Client List'!EE474=3,'Client List'!EC474,0)),""),"")</f>
        <v>3</v>
      </c>
      <c r="C335" s="242" t="s">
        <v>1045</v>
      </c>
      <c r="D335" s="272">
        <v>126.42</v>
      </c>
      <c r="E335" s="272">
        <v>119.07</v>
      </c>
      <c r="F335" s="243">
        <f t="shared" si="62"/>
        <v>103.70795734208367</v>
      </c>
      <c r="G335" s="243">
        <f>IFERROR(ROUNDUP(F335*INVOICE!$O$6,2),0)</f>
        <v>1731.93</v>
      </c>
      <c r="H335" s="243">
        <f t="shared" si="63"/>
        <v>97.678424938474151</v>
      </c>
      <c r="I335" s="243">
        <f>IFERROR(ROUNDUP(H335*INVOICE!$O$6,2),0)</f>
        <v>1631.23</v>
      </c>
      <c r="J335" s="108" t="str">
        <f t="shared" si="57"/>
        <v/>
      </c>
      <c r="L335" s="108" t="str">
        <f t="shared" si="58"/>
        <v/>
      </c>
      <c r="N335" s="108">
        <v>344</v>
      </c>
      <c r="O335" s="108" t="str">
        <f ca="1">IF(INVOICE!$N$16="MANUAL",IF(B335&lt;&gt;"",C335,""),IF(INVOICE!$N$16="AUTOMATE",IF(A335&lt;&gt;"",C335,""),""))</f>
        <v>Solar DC Combiner BHS 3/1</v>
      </c>
      <c r="AO335" s="108">
        <f ca="1">IF(INVOICE!$N$16="MANUAL",IFERROR(AM335*B335,""),IF(INVOICE!$N$16="AUTOMATE",IFERROR(AM335*A335,""),""))</f>
        <v>0</v>
      </c>
      <c r="AV335" s="108">
        <f t="shared" si="59"/>
        <v>0</v>
      </c>
    </row>
    <row r="336" spans="1:48">
      <c r="A336" s="108" t="str">
        <f ca="1">IFERROR(IF(AND('Customer Base'!D$13="Victron",'Customer Base'!D$7&lt;&gt;"Backup",'Client List'!$EE$474&lt;&gt;""),IF(IF('Client List'!IM474=4,'Client List'!IK474,0)+IF('Client List'!EE474=4,'Client List'!EC474,0)=0,"",IF('Client List'!IM474=4,'Client List'!IK474,0)+IF('Client List'!EE474=4,'Client List'!EC474,0)),""),"")</f>
        <v/>
      </c>
      <c r="C336" s="242" t="s">
        <v>1046</v>
      </c>
      <c r="D336" s="272">
        <v>163.4</v>
      </c>
      <c r="E336" s="272">
        <v>153.9</v>
      </c>
      <c r="F336" s="243">
        <f t="shared" si="62"/>
        <v>134.04429860541427</v>
      </c>
      <c r="G336" s="243">
        <f>IFERROR(ROUNDUP(F336*INVOICE!$O$6,2),0)</f>
        <v>2238.5400000000004</v>
      </c>
      <c r="H336" s="243">
        <f t="shared" si="63"/>
        <v>126.25102543068088</v>
      </c>
      <c r="I336" s="243">
        <f>IFERROR(ROUNDUP(H336*INVOICE!$O$6,2),0)</f>
        <v>2108.4</v>
      </c>
      <c r="J336" s="108" t="str">
        <f t="shared" ref="J336:J399" si="64">IF(D336&lt;&gt;"",IF(D336&lt;E336,"lkdfjk",""),"")</f>
        <v/>
      </c>
      <c r="L336" s="108" t="str">
        <f t="shared" ref="L336:L399" si="65">IF(H336&gt;F336,"lkkajdfkj","")</f>
        <v/>
      </c>
      <c r="N336" s="108">
        <v>345</v>
      </c>
      <c r="O336" s="108" t="str">
        <f ca="1">IF(INVOICE!$N$16="MANUAL",IF(B336&lt;&gt;"",C336,""),IF(INVOICE!$N$16="AUTOMATE",IF(A336&lt;&gt;"",C336,""),""))</f>
        <v/>
      </c>
      <c r="AO336" s="108" t="str">
        <f ca="1">IF(INVOICE!$N$16="MANUAL",IFERROR(AM336*B336,""),IF(INVOICE!$N$16="AUTOMATE",IFERROR(AM336*A336,""),""))</f>
        <v/>
      </c>
      <c r="AV336" s="108">
        <f t="shared" si="59"/>
        <v>0</v>
      </c>
    </row>
    <row r="337" spans="3:48">
      <c r="C337" s="242" t="s">
        <v>1047</v>
      </c>
      <c r="D337" s="272">
        <v>206.4</v>
      </c>
      <c r="E337" s="272">
        <v>194.4</v>
      </c>
      <c r="F337" s="243">
        <f t="shared" si="62"/>
        <v>169.31911402789171</v>
      </c>
      <c r="G337" s="243">
        <f>IFERROR(ROUNDUP(F337*INVOICE!$O$6,2),0)</f>
        <v>2827.63</v>
      </c>
      <c r="H337" s="243">
        <f t="shared" si="63"/>
        <v>159.47497949138636</v>
      </c>
      <c r="I337" s="243">
        <f>IFERROR(ROUNDUP(H337*INVOICE!$O$6,2),0)</f>
        <v>2663.2400000000002</v>
      </c>
      <c r="J337" s="108" t="str">
        <f t="shared" si="64"/>
        <v/>
      </c>
      <c r="L337" s="108" t="str">
        <f t="shared" si="65"/>
        <v/>
      </c>
      <c r="N337" s="108">
        <v>346</v>
      </c>
      <c r="O337" s="108" t="str">
        <f>IF(INVOICE!$N$16="MANUAL",IF(B337&lt;&gt;"",C337,""),IF(INVOICE!$N$16="AUTOMATE",IF(A337&lt;&gt;"",C337,""),""))</f>
        <v/>
      </c>
      <c r="AO337" s="108">
        <f>IF(INVOICE!$N$16="MANUAL",IFERROR(AM337*B337,""),IF(INVOICE!$N$16="AUTOMATE",IFERROR(AM337*A337,""),""))</f>
        <v>0</v>
      </c>
      <c r="AV337" s="108">
        <f t="shared" ref="AV337:AV398" si="66">IF(AU337&lt;&gt;"",AU337,AT337)</f>
        <v>0</v>
      </c>
    </row>
    <row r="338" spans="3:48">
      <c r="C338" s="242" t="s">
        <v>1048</v>
      </c>
      <c r="D338" s="272">
        <v>240.8</v>
      </c>
      <c r="E338" s="272">
        <v>226.8</v>
      </c>
      <c r="F338" s="243">
        <f t="shared" si="62"/>
        <v>197.53896636587368</v>
      </c>
      <c r="G338" s="243">
        <f>IFERROR(ROUNDUP(F338*INVOICE!$O$6,2),0)</f>
        <v>3298.9100000000003</v>
      </c>
      <c r="H338" s="243">
        <f t="shared" si="63"/>
        <v>186.05414273995078</v>
      </c>
      <c r="I338" s="243">
        <f>IFERROR(ROUNDUP(H338*INVOICE!$O$6,2),0)</f>
        <v>3107.11</v>
      </c>
      <c r="J338" s="108" t="str">
        <f t="shared" si="64"/>
        <v/>
      </c>
      <c r="L338" s="108" t="str">
        <f t="shared" si="65"/>
        <v/>
      </c>
      <c r="N338" s="108">
        <v>347</v>
      </c>
      <c r="O338" s="108" t="str">
        <f>IF(INVOICE!$N$16="MANUAL",IF(B338&lt;&gt;"",C338,""),IF(INVOICE!$N$16="AUTOMATE",IF(A338&lt;&gt;"",C338,""),""))</f>
        <v/>
      </c>
      <c r="AO338" s="108">
        <f>IF(INVOICE!$N$16="MANUAL",IFERROR(AM338*B338,""),IF(INVOICE!$N$16="AUTOMATE",IFERROR(AM338*A338,""),""))</f>
        <v>0</v>
      </c>
      <c r="AV338" s="108">
        <f t="shared" si="66"/>
        <v>0</v>
      </c>
    </row>
    <row r="339" spans="3:48">
      <c r="C339" s="242" t="s">
        <v>1049</v>
      </c>
      <c r="D339" s="272">
        <v>239.08</v>
      </c>
      <c r="E339" s="272">
        <v>225.18</v>
      </c>
      <c r="F339" s="243">
        <f t="shared" si="62"/>
        <v>196.12797374897457</v>
      </c>
      <c r="G339" s="243">
        <f>IFERROR(ROUNDUP(F339*INVOICE!$O$6,2),0)</f>
        <v>3275.34</v>
      </c>
      <c r="H339" s="243">
        <f t="shared" si="63"/>
        <v>184.72518457752255</v>
      </c>
      <c r="I339" s="243">
        <f>IFERROR(ROUNDUP(H339*INVOICE!$O$6,2),0)</f>
        <v>3084.92</v>
      </c>
      <c r="J339" s="108" t="str">
        <f t="shared" si="64"/>
        <v/>
      </c>
      <c r="L339" s="108" t="str">
        <f t="shared" si="65"/>
        <v/>
      </c>
      <c r="N339" s="108">
        <v>348</v>
      </c>
      <c r="O339" s="108" t="str">
        <f>IF(INVOICE!$N$16="MANUAL",IF(B339&lt;&gt;"",C339,""),IF(INVOICE!$N$16="AUTOMATE",IF(A339&lt;&gt;"",C339,""),""))</f>
        <v/>
      </c>
      <c r="AO339" s="108">
        <f>IF(INVOICE!$N$16="MANUAL",IFERROR(AM339*B339,""),IF(INVOICE!$N$16="AUTOMATE",IFERROR(AM339*A339,""),""))</f>
        <v>0</v>
      </c>
      <c r="AV339" s="108">
        <f t="shared" si="66"/>
        <v>0</v>
      </c>
    </row>
    <row r="340" spans="3:48">
      <c r="C340" s="242" t="s">
        <v>1050</v>
      </c>
      <c r="D340" s="272">
        <v>233.92</v>
      </c>
      <c r="E340" s="272">
        <v>220.32</v>
      </c>
      <c r="F340" s="243">
        <f t="shared" si="62"/>
        <v>191.89499589827724</v>
      </c>
      <c r="G340" s="243">
        <f>IFERROR(ROUNDUP(F340*INVOICE!$O$6,2),0)</f>
        <v>3204.65</v>
      </c>
      <c r="H340" s="243">
        <f t="shared" si="63"/>
        <v>180.73831009023789</v>
      </c>
      <c r="I340" s="243">
        <f>IFERROR(ROUNDUP(H340*INVOICE!$O$6,2),0)</f>
        <v>3018.3300000000004</v>
      </c>
      <c r="J340" s="108" t="str">
        <f t="shared" si="64"/>
        <v/>
      </c>
      <c r="L340" s="108" t="str">
        <f t="shared" si="65"/>
        <v/>
      </c>
      <c r="N340" s="108">
        <v>349</v>
      </c>
      <c r="O340" s="108" t="str">
        <f>IF(INVOICE!$N$16="MANUAL",IF(B340&lt;&gt;"",C340,""),IF(INVOICE!$N$16="AUTOMATE",IF(A340&lt;&gt;"",C340,""),""))</f>
        <v/>
      </c>
      <c r="AO340" s="108">
        <f>IF(INVOICE!$N$16="MANUAL",IFERROR(AM340*B340,""),IF(INVOICE!$N$16="AUTOMATE",IFERROR(AM340*A340,""),""))</f>
        <v>0</v>
      </c>
      <c r="AV340" s="108">
        <f t="shared" si="66"/>
        <v>0</v>
      </c>
    </row>
    <row r="341" spans="3:48">
      <c r="C341" s="242" t="s">
        <v>1051</v>
      </c>
      <c r="D341" s="272">
        <v>460.96</v>
      </c>
      <c r="E341" s="272">
        <v>434.16</v>
      </c>
      <c r="F341" s="243">
        <f t="shared" si="62"/>
        <v>378.14602132895811</v>
      </c>
      <c r="G341" s="243">
        <f>IFERROR(ROUNDUP(F341*INVOICE!$O$6,2),0)</f>
        <v>6315.04</v>
      </c>
      <c r="H341" s="243">
        <f t="shared" si="63"/>
        <v>356.16078753076289</v>
      </c>
      <c r="I341" s="243">
        <f>IFERROR(ROUNDUP(H341*INVOICE!$O$6,2),0)</f>
        <v>5947.89</v>
      </c>
      <c r="J341" s="108" t="str">
        <f t="shared" si="64"/>
        <v/>
      </c>
      <c r="L341" s="108" t="str">
        <f t="shared" si="65"/>
        <v/>
      </c>
      <c r="N341" s="108">
        <v>350</v>
      </c>
      <c r="O341" s="108" t="str">
        <f>IF(INVOICE!$N$16="MANUAL",IF(B341&lt;&gt;"",C341,""),IF(INVOICE!$N$16="AUTOMATE",IF(A341&lt;&gt;"",C341,""),""))</f>
        <v/>
      </c>
      <c r="AO341" s="108">
        <f>IF(INVOICE!$N$16="MANUAL",IFERROR(AM341*B341,""),IF(INVOICE!$N$16="AUTOMATE",IFERROR(AM341*A341,""),""))</f>
        <v>0</v>
      </c>
      <c r="AV341" s="108">
        <f t="shared" si="66"/>
        <v>0</v>
      </c>
    </row>
    <row r="342" spans="3:48">
      <c r="D342" s="324"/>
      <c r="E342" s="324"/>
      <c r="F342" s="229">
        <f t="shared" si="62"/>
        <v>0</v>
      </c>
      <c r="G342" s="229">
        <f>IFERROR(ROUNDUP(F342*INVOICE!$O$6,2),0)</f>
        <v>0</v>
      </c>
      <c r="H342" s="229">
        <f t="shared" si="63"/>
        <v>0</v>
      </c>
      <c r="I342" s="229">
        <f>IFERROR(ROUNDUP(H342*INVOICE!$O$6,2),0)</f>
        <v>0</v>
      </c>
      <c r="J342" s="108" t="str">
        <f t="shared" si="64"/>
        <v/>
      </c>
      <c r="L342" s="108" t="str">
        <f t="shared" si="65"/>
        <v/>
      </c>
      <c r="N342" s="108">
        <v>351</v>
      </c>
      <c r="O342" s="108" t="str">
        <f>IF(INVOICE!$N$16="MANUAL",IF(B342&lt;&gt;"",C342,""),IF(INVOICE!$N$16="AUTOMATE",IF(A342&lt;&gt;"",C342,""),""))</f>
        <v/>
      </c>
      <c r="AO342" s="108">
        <f>IF(INVOICE!$N$16="MANUAL",IFERROR(AM342*B342,""),IF(INVOICE!$N$16="AUTOMATE",IFERROR(AM342*A342,""),""))</f>
        <v>0</v>
      </c>
      <c r="AV342" s="108">
        <f t="shared" si="66"/>
        <v>0</v>
      </c>
    </row>
    <row r="343" spans="3:48">
      <c r="C343" s="242" t="s">
        <v>1052</v>
      </c>
      <c r="D343" s="272">
        <v>344</v>
      </c>
      <c r="E343" s="272">
        <v>324</v>
      </c>
      <c r="F343" s="243">
        <f t="shared" si="62"/>
        <v>282.19852337981951</v>
      </c>
      <c r="G343" s="243">
        <f>IFERROR(ROUNDUP(F343*INVOICE!$O$6,2),0)</f>
        <v>4712.72</v>
      </c>
      <c r="H343" s="243">
        <f t="shared" si="63"/>
        <v>265.79163248564396</v>
      </c>
      <c r="I343" s="243">
        <f>IFERROR(ROUNDUP(H343*INVOICE!$O$6,2),0)</f>
        <v>4438.7300000000005</v>
      </c>
      <c r="J343" s="108" t="str">
        <f t="shared" si="64"/>
        <v/>
      </c>
      <c r="L343" s="108" t="str">
        <f t="shared" si="65"/>
        <v/>
      </c>
      <c r="N343" s="108">
        <v>352</v>
      </c>
      <c r="O343" s="108" t="str">
        <f>IF(INVOICE!$N$16="MANUAL",IF(B343&lt;&gt;"",C343,""),IF(INVOICE!$N$16="AUTOMATE",IF(A343&lt;&gt;"",C343,""),""))</f>
        <v/>
      </c>
      <c r="AO343" s="108">
        <f>IF(INVOICE!$N$16="MANUAL",IFERROR(AM343*B343,""),IF(INVOICE!$N$16="AUTOMATE",IFERROR(AM343*A343,""),""))</f>
        <v>0</v>
      </c>
      <c r="AV343" s="108">
        <f t="shared" si="66"/>
        <v>0</v>
      </c>
    </row>
    <row r="344" spans="3:48">
      <c r="C344" s="242" t="s">
        <v>1053</v>
      </c>
      <c r="D344" s="272">
        <v>354.32</v>
      </c>
      <c r="E344" s="272">
        <v>333.72</v>
      </c>
      <c r="F344" s="243">
        <f t="shared" si="62"/>
        <v>290.6644790812141</v>
      </c>
      <c r="G344" s="243">
        <f>IFERROR(ROUNDUP(F344*INVOICE!$O$6,2),0)</f>
        <v>4854.1000000000004</v>
      </c>
      <c r="H344" s="243">
        <f t="shared" si="63"/>
        <v>273.76538146021329</v>
      </c>
      <c r="I344" s="243">
        <f>IFERROR(ROUNDUP(H344*INVOICE!$O$6,2),0)</f>
        <v>4571.8900000000003</v>
      </c>
      <c r="J344" s="108" t="str">
        <f t="shared" si="64"/>
        <v/>
      </c>
      <c r="L344" s="108" t="str">
        <f t="shared" si="65"/>
        <v/>
      </c>
      <c r="N344" s="108">
        <v>353</v>
      </c>
      <c r="O344" s="108" t="str">
        <f>IF(INVOICE!$N$16="MANUAL",IF(B344&lt;&gt;"",C344,""),IF(INVOICE!$N$16="AUTOMATE",IF(A344&lt;&gt;"",C344,""),""))</f>
        <v/>
      </c>
      <c r="AO344" s="108">
        <f>IF(INVOICE!$N$16="MANUAL",IFERROR(AM344*B344,""),IF(INVOICE!$N$16="AUTOMATE",IFERROR(AM344*A344,""),""))</f>
        <v>0</v>
      </c>
      <c r="AV344" s="108">
        <f t="shared" si="66"/>
        <v>0</v>
      </c>
    </row>
    <row r="345" spans="3:48">
      <c r="C345" s="242" t="s">
        <v>1054</v>
      </c>
      <c r="D345" s="272">
        <v>393.88</v>
      </c>
      <c r="E345" s="272">
        <v>370.98</v>
      </c>
      <c r="F345" s="243">
        <f t="shared" si="62"/>
        <v>323.11730926989333</v>
      </c>
      <c r="G345" s="243">
        <f>IFERROR(ROUNDUP(F345*INVOICE!$O$6,2),0)</f>
        <v>5396.06</v>
      </c>
      <c r="H345" s="243">
        <f t="shared" si="63"/>
        <v>304.33141919606231</v>
      </c>
      <c r="I345" s="243">
        <f>IFERROR(ROUNDUP(H345*INVOICE!$O$6,2),0)</f>
        <v>5082.34</v>
      </c>
      <c r="J345" s="108" t="str">
        <f t="shared" si="64"/>
        <v/>
      </c>
      <c r="L345" s="108" t="str">
        <f t="shared" si="65"/>
        <v/>
      </c>
      <c r="N345" s="108">
        <v>354</v>
      </c>
      <c r="O345" s="108" t="str">
        <f>IF(INVOICE!$N$16="MANUAL",IF(B345&lt;&gt;"",C345,""),IF(INVOICE!$N$16="AUTOMATE",IF(A345&lt;&gt;"",C345,""),""))</f>
        <v/>
      </c>
      <c r="AO345" s="108">
        <f>IF(INVOICE!$N$16="MANUAL",IFERROR(AM345*B345,""),IF(INVOICE!$N$16="AUTOMATE",IFERROR(AM345*A345,""),""))</f>
        <v>0</v>
      </c>
      <c r="AV345" s="108">
        <f t="shared" si="66"/>
        <v>0</v>
      </c>
    </row>
    <row r="346" spans="3:48">
      <c r="C346" s="242" t="s">
        <v>1055</v>
      </c>
      <c r="D346" s="272">
        <v>474.72</v>
      </c>
      <c r="E346" s="272">
        <v>447.12</v>
      </c>
      <c r="F346" s="243">
        <f t="shared" si="62"/>
        <v>389.43396226415092</v>
      </c>
      <c r="G346" s="243">
        <f>IFERROR(ROUNDUP(F346*INVOICE!$O$6,2),0)</f>
        <v>6503.55</v>
      </c>
      <c r="H346" s="243">
        <f t="shared" si="63"/>
        <v>366.79245283018867</v>
      </c>
      <c r="I346" s="243">
        <f>IFERROR(ROUNDUP(H346*INVOICE!$O$6,2),0)</f>
        <v>6125.4400000000005</v>
      </c>
      <c r="J346" s="108" t="str">
        <f t="shared" si="64"/>
        <v/>
      </c>
      <c r="L346" s="108" t="str">
        <f t="shared" si="65"/>
        <v/>
      </c>
      <c r="N346" s="108">
        <v>355</v>
      </c>
      <c r="O346" s="108" t="str">
        <f>IF(INVOICE!$N$16="MANUAL",IF(B346&lt;&gt;"",C346,""),IF(INVOICE!$N$16="AUTOMATE",IF(A346&lt;&gt;"",C346,""),""))</f>
        <v/>
      </c>
      <c r="AO346" s="108">
        <f>IF(INVOICE!$N$16="MANUAL",IFERROR(AM346*B346,""),IF(INVOICE!$N$16="AUTOMATE",IFERROR(AM346*A346,""),""))</f>
        <v>0</v>
      </c>
      <c r="AV346" s="108">
        <f t="shared" si="66"/>
        <v>0</v>
      </c>
    </row>
    <row r="347" spans="3:48">
      <c r="C347" s="242" t="s">
        <v>1056</v>
      </c>
      <c r="D347" s="272">
        <v>1948.76</v>
      </c>
      <c r="E347" s="272">
        <v>1835.46</v>
      </c>
      <c r="F347" s="243">
        <f t="shared" si="62"/>
        <v>1598.6546349466776</v>
      </c>
      <c r="G347" s="243">
        <f>IFERROR(ROUNDUP(F347*INVOICE!$O$6,2),0)</f>
        <v>26697.539999999997</v>
      </c>
      <c r="H347" s="243">
        <f t="shared" si="63"/>
        <v>1505.7095980311731</v>
      </c>
      <c r="I347" s="243">
        <f>IFERROR(ROUNDUP(H347*INVOICE!$O$6,2),0)</f>
        <v>25145.359999999997</v>
      </c>
      <c r="J347" s="108" t="str">
        <f t="shared" si="64"/>
        <v/>
      </c>
      <c r="L347" s="108" t="str">
        <f t="shared" si="65"/>
        <v/>
      </c>
      <c r="N347" s="108">
        <v>356</v>
      </c>
      <c r="O347" s="108" t="str">
        <f>IF(INVOICE!$N$16="MANUAL",IF(B347&lt;&gt;"",C347,""),IF(INVOICE!$N$16="AUTOMATE",IF(A347&lt;&gt;"",C347,""),""))</f>
        <v/>
      </c>
      <c r="AO347" s="108">
        <f>IF(INVOICE!$N$16="MANUAL",IFERROR(AM347*B347,""),IF(INVOICE!$N$16="AUTOMATE",IFERROR(AM347*A347,""),""))</f>
        <v>0</v>
      </c>
      <c r="AV347" s="108">
        <f t="shared" si="66"/>
        <v>0</v>
      </c>
    </row>
    <row r="348" spans="3:48">
      <c r="C348" s="242" t="s">
        <v>1057</v>
      </c>
      <c r="D348" s="272">
        <v>1345.04</v>
      </c>
      <c r="E348" s="272">
        <v>1266.8399999999999</v>
      </c>
      <c r="F348" s="243">
        <f t="shared" si="62"/>
        <v>1103.3962264150941</v>
      </c>
      <c r="G348" s="243">
        <f>IFERROR(ROUNDUP(F348*INVOICE!$O$6,2),0)</f>
        <v>18426.719999999998</v>
      </c>
      <c r="H348" s="243">
        <f t="shared" si="63"/>
        <v>1039.2452830188679</v>
      </c>
      <c r="I348" s="243">
        <f>IFERROR(ROUNDUP(H348*INVOICE!$O$6,2),0)</f>
        <v>17355.399999999998</v>
      </c>
      <c r="J348" s="108" t="str">
        <f t="shared" si="64"/>
        <v/>
      </c>
      <c r="L348" s="108" t="str">
        <f t="shared" si="65"/>
        <v/>
      </c>
      <c r="N348" s="108">
        <v>357</v>
      </c>
      <c r="O348" s="108" t="str">
        <f>IF(INVOICE!$N$16="MANUAL",IF(B348&lt;&gt;"",C348,""),IF(INVOICE!$N$16="AUTOMATE",IF(A348&lt;&gt;"",C348,""),""))</f>
        <v/>
      </c>
      <c r="AO348" s="108">
        <f>IF(INVOICE!$N$16="MANUAL",IFERROR(AM348*B348,""),IF(INVOICE!$N$16="AUTOMATE",IFERROR(AM348*A348,""),""))</f>
        <v>0</v>
      </c>
      <c r="AV348" s="108">
        <f t="shared" si="66"/>
        <v>0</v>
      </c>
    </row>
    <row r="349" spans="3:48">
      <c r="C349" s="242" t="s">
        <v>1058</v>
      </c>
      <c r="D349" s="272">
        <v>1376</v>
      </c>
      <c r="E349" s="272">
        <v>1296</v>
      </c>
      <c r="F349" s="243">
        <f t="shared" si="62"/>
        <v>1128.794093519278</v>
      </c>
      <c r="G349" s="243">
        <f>IFERROR(ROUNDUP(F349*INVOICE!$O$6,2),0)</f>
        <v>18850.87</v>
      </c>
      <c r="H349" s="243">
        <f t="shared" si="63"/>
        <v>1063.1665299425758</v>
      </c>
      <c r="I349" s="243">
        <f>IFERROR(ROUNDUP(H349*INVOICE!$O$6,2),0)</f>
        <v>17754.89</v>
      </c>
      <c r="J349" s="108" t="str">
        <f t="shared" si="64"/>
        <v/>
      </c>
      <c r="L349" s="108" t="str">
        <f t="shared" si="65"/>
        <v/>
      </c>
      <c r="N349" s="108">
        <v>358</v>
      </c>
      <c r="O349" s="108" t="str">
        <f>IF(INVOICE!$N$16="MANUAL",IF(B349&lt;&gt;"",C349,""),IF(INVOICE!$N$16="AUTOMATE",IF(A349&lt;&gt;"",C349,""),""))</f>
        <v/>
      </c>
      <c r="AO349" s="108">
        <f>IF(INVOICE!$N$16="MANUAL",IFERROR(AM349*B349,""),IF(INVOICE!$N$16="AUTOMATE",IFERROR(AM349*A349,""),""))</f>
        <v>0</v>
      </c>
      <c r="AV349" s="108">
        <f t="shared" si="66"/>
        <v>0</v>
      </c>
    </row>
    <row r="350" spans="3:48">
      <c r="C350" s="242" t="s">
        <v>1059</v>
      </c>
      <c r="D350" s="272">
        <v>1869.64</v>
      </c>
      <c r="E350" s="272">
        <v>1760.94</v>
      </c>
      <c r="F350" s="243">
        <f t="shared" si="62"/>
        <v>1533.748974569319</v>
      </c>
      <c r="G350" s="243">
        <f>IFERROR(ROUNDUP(F350*INVOICE!$O$6,2),0)</f>
        <v>25613.609999999997</v>
      </c>
      <c r="H350" s="243">
        <f t="shared" si="63"/>
        <v>1444.577522559475</v>
      </c>
      <c r="I350" s="243">
        <f>IFERROR(ROUNDUP(H350*INVOICE!$O$6,2),0)</f>
        <v>24124.449999999997</v>
      </c>
      <c r="J350" s="108" t="str">
        <f t="shared" si="64"/>
        <v/>
      </c>
      <c r="L350" s="108" t="str">
        <f t="shared" si="65"/>
        <v/>
      </c>
      <c r="N350" s="108">
        <v>359</v>
      </c>
      <c r="O350" s="108" t="str">
        <f>IF(INVOICE!$N$16="MANUAL",IF(B350&lt;&gt;"",C350,""),IF(INVOICE!$N$16="AUTOMATE",IF(A350&lt;&gt;"",C350,""),""))</f>
        <v/>
      </c>
      <c r="AO350" s="108">
        <f>IF(INVOICE!$N$16="MANUAL",IFERROR(AM350*B350,""),IF(INVOICE!$N$16="AUTOMATE",IFERROR(AM350*A350,""),""))</f>
        <v>0</v>
      </c>
      <c r="AV350" s="108">
        <f t="shared" si="66"/>
        <v>0</v>
      </c>
    </row>
    <row r="351" spans="3:48">
      <c r="C351" s="242" t="s">
        <v>1060</v>
      </c>
      <c r="D351" s="272">
        <v>1862.76</v>
      </c>
      <c r="E351" s="272">
        <v>1754.46</v>
      </c>
      <c r="F351" s="243">
        <f t="shared" si="62"/>
        <v>1528.1050041017227</v>
      </c>
      <c r="G351" s="243">
        <f>IFERROR(ROUNDUP(F351*INVOICE!$O$6,2),0)</f>
        <v>25519.359999999997</v>
      </c>
      <c r="H351" s="243">
        <f t="shared" si="63"/>
        <v>1439.261689909762</v>
      </c>
      <c r="I351" s="243">
        <f>IFERROR(ROUNDUP(H351*INVOICE!$O$6,2),0)</f>
        <v>24035.679999999997</v>
      </c>
      <c r="J351" s="108" t="str">
        <f t="shared" si="64"/>
        <v/>
      </c>
      <c r="L351" s="108" t="str">
        <f t="shared" si="65"/>
        <v/>
      </c>
      <c r="N351" s="108">
        <v>360</v>
      </c>
      <c r="O351" s="108" t="str">
        <f>IF(INVOICE!$N$16="MANUAL",IF(B351&lt;&gt;"",C351,""),IF(INVOICE!$N$16="AUTOMATE",IF(A351&lt;&gt;"",C351,""),""))</f>
        <v/>
      </c>
      <c r="AO351" s="108">
        <f>IF(INVOICE!$N$16="MANUAL",IFERROR(AM351*B351,""),IF(INVOICE!$N$16="AUTOMATE",IFERROR(AM351*A351,""),""))</f>
        <v>0</v>
      </c>
      <c r="AV351" s="108">
        <f t="shared" si="66"/>
        <v>0</v>
      </c>
    </row>
    <row r="352" spans="3:48">
      <c r="C352" s="242" t="s">
        <v>1061</v>
      </c>
      <c r="D352" s="272">
        <v>2008.96</v>
      </c>
      <c r="E352" s="272">
        <v>1892.16</v>
      </c>
      <c r="F352" s="243">
        <f t="shared" si="62"/>
        <v>1648.0393765381459</v>
      </c>
      <c r="G352" s="243">
        <f>IFERROR(ROUNDUP(F352*INVOICE!$O$6,2),0)</f>
        <v>27522.26</v>
      </c>
      <c r="H352" s="243">
        <f t="shared" si="63"/>
        <v>1552.2231337161606</v>
      </c>
      <c r="I352" s="243">
        <f>IFERROR(ROUNDUP(H352*INVOICE!$O$6,2),0)</f>
        <v>25922.129999999997</v>
      </c>
      <c r="J352" s="108" t="str">
        <f t="shared" si="64"/>
        <v/>
      </c>
      <c r="L352" s="108" t="str">
        <f t="shared" si="65"/>
        <v/>
      </c>
      <c r="N352" s="108">
        <v>361</v>
      </c>
      <c r="O352" s="108" t="str">
        <f>IF(INVOICE!$N$16="MANUAL",IF(B352&lt;&gt;"",C352,""),IF(INVOICE!$N$16="AUTOMATE",IF(A352&lt;&gt;"",C352,""),""))</f>
        <v/>
      </c>
      <c r="AO352" s="108">
        <f>IF(INVOICE!$N$16="MANUAL",IFERROR(AM352*B352,""),IF(INVOICE!$N$16="AUTOMATE",IFERROR(AM352*A352,""),""))</f>
        <v>0</v>
      </c>
      <c r="AV352" s="108">
        <f t="shared" si="66"/>
        <v>0</v>
      </c>
    </row>
    <row r="353" spans="1:48">
      <c r="C353" s="242" t="s">
        <v>1062</v>
      </c>
      <c r="D353" s="272">
        <v>68.8</v>
      </c>
      <c r="E353" s="272">
        <v>64.8</v>
      </c>
      <c r="F353" s="243">
        <f t="shared" si="62"/>
        <v>56.439704675963895</v>
      </c>
      <c r="G353" s="243">
        <f>IFERROR(ROUNDUP(F353*INVOICE!$O$6,2),0)</f>
        <v>942.55</v>
      </c>
      <c r="H353" s="243">
        <f t="shared" si="63"/>
        <v>53.15832649712879</v>
      </c>
      <c r="I353" s="243">
        <f>IFERROR(ROUNDUP(H353*INVOICE!$O$6,2),0)</f>
        <v>887.75</v>
      </c>
      <c r="J353" s="108" t="str">
        <f t="shared" si="64"/>
        <v/>
      </c>
      <c r="L353" s="108" t="str">
        <f t="shared" si="65"/>
        <v/>
      </c>
      <c r="N353" s="108">
        <v>362</v>
      </c>
      <c r="O353" s="108" t="str">
        <f>IF(INVOICE!$N$16="MANUAL",IF(B353&lt;&gt;"",C353,""),IF(INVOICE!$N$16="AUTOMATE",IF(A353&lt;&gt;"",C353,""),""))</f>
        <v/>
      </c>
      <c r="AO353" s="108">
        <f>IF(INVOICE!$N$16="MANUAL",IFERROR(AM353*B353,""),IF(INVOICE!$N$16="AUTOMATE",IFERROR(AM353*A353,""),""))</f>
        <v>0</v>
      </c>
      <c r="AV353" s="108">
        <f t="shared" si="66"/>
        <v>0</v>
      </c>
    </row>
    <row r="354" spans="1:48">
      <c r="C354" s="242" t="s">
        <v>1063</v>
      </c>
      <c r="D354" s="272">
        <v>72.239999999999995</v>
      </c>
      <c r="E354" s="272">
        <v>68.040000000000006</v>
      </c>
      <c r="F354" s="243">
        <f t="shared" si="62"/>
        <v>59.26168990976209</v>
      </c>
      <c r="G354" s="243">
        <f>IFERROR(ROUNDUP(F354*INVOICE!$O$6,2),0)</f>
        <v>989.68</v>
      </c>
      <c r="H354" s="243">
        <f t="shared" si="63"/>
        <v>55.816242821985234</v>
      </c>
      <c r="I354" s="243">
        <f>IFERROR(ROUNDUP(H354*INVOICE!$O$6,2),0)</f>
        <v>932.14</v>
      </c>
      <c r="J354" s="108" t="str">
        <f t="shared" si="64"/>
        <v/>
      </c>
      <c r="L354" s="108" t="str">
        <f t="shared" si="65"/>
        <v/>
      </c>
      <c r="N354" s="108">
        <v>363</v>
      </c>
      <c r="O354" s="108" t="str">
        <f>IF(INVOICE!$N$16="MANUAL",IF(B354&lt;&gt;"",C354,""),IF(INVOICE!$N$16="AUTOMATE",IF(A354&lt;&gt;"",C354,""),""))</f>
        <v/>
      </c>
      <c r="AO354" s="108">
        <f>IF(INVOICE!$N$16="MANUAL",IFERROR(AM354*B354,""),IF(INVOICE!$N$16="AUTOMATE",IFERROR(AM354*A354,""),""))</f>
        <v>0</v>
      </c>
      <c r="AV354" s="108">
        <f t="shared" si="66"/>
        <v>0</v>
      </c>
    </row>
    <row r="355" spans="1:48">
      <c r="D355" s="324"/>
      <c r="E355" s="324"/>
      <c r="F355" s="229">
        <f t="shared" si="62"/>
        <v>0</v>
      </c>
      <c r="G355" s="229">
        <f>IFERROR(ROUNDUP(F355*INVOICE!$O$6,2),0)</f>
        <v>0</v>
      </c>
      <c r="H355" s="229">
        <f t="shared" si="63"/>
        <v>0</v>
      </c>
      <c r="I355" s="229">
        <f>IFERROR(ROUNDUP(H355*INVOICE!$O$6,2),0)</f>
        <v>0</v>
      </c>
      <c r="J355" s="108" t="str">
        <f t="shared" si="64"/>
        <v/>
      </c>
      <c r="L355" s="108" t="str">
        <f t="shared" si="65"/>
        <v/>
      </c>
      <c r="N355" s="108">
        <v>364</v>
      </c>
      <c r="O355" s="108" t="str">
        <f>IF(INVOICE!$N$16="MANUAL",IF(B355&lt;&gt;"",C355,""),IF(INVOICE!$N$16="AUTOMATE",IF(A355&lt;&gt;"",C355,""),""))</f>
        <v/>
      </c>
      <c r="AO355" s="108">
        <f>IF(INVOICE!$N$16="MANUAL",IFERROR(AM355*B355,""),IF(INVOICE!$N$16="AUTOMATE",IFERROR(AM355*A355,""),""))</f>
        <v>0</v>
      </c>
      <c r="AV355" s="108">
        <f t="shared" si="66"/>
        <v>0</v>
      </c>
    </row>
    <row r="356" spans="1:48">
      <c r="A356" s="108">
        <f>IF('Customer Base'!D$9=1,1,"")</f>
        <v>1</v>
      </c>
      <c r="C356" s="242" t="s">
        <v>1030</v>
      </c>
      <c r="D356" s="272">
        <v>48.85</v>
      </c>
      <c r="E356" s="272">
        <v>46.008000000000003</v>
      </c>
      <c r="F356" s="243">
        <f t="shared" si="62"/>
        <v>40.073831009023792</v>
      </c>
      <c r="G356" s="243">
        <f>IFERROR(ROUNDUP(F356*INVOICE!$O$6,2),0)</f>
        <v>669.24</v>
      </c>
      <c r="H356" s="243">
        <f t="shared" si="63"/>
        <v>37.742411812961443</v>
      </c>
      <c r="I356" s="243">
        <f>IFERROR(ROUNDUP(H356*INVOICE!$O$6,2),0)</f>
        <v>630.29999999999995</v>
      </c>
      <c r="J356" s="108" t="str">
        <f t="shared" si="64"/>
        <v/>
      </c>
      <c r="L356" s="108" t="str">
        <f t="shared" si="65"/>
        <v/>
      </c>
      <c r="N356" s="108">
        <v>365</v>
      </c>
      <c r="O356" s="108" t="str">
        <f>IF(INVOICE!$N$16="MANUAL",IF(B356&lt;&gt;"",C356,""),IF(INVOICE!$N$16="AUTOMATE",IF(A356&lt;&gt;"",C356,""),""))</f>
        <v>Citel AC Surge Protection Device DAC50VGS-11-275/G VAC 1-Phase</v>
      </c>
      <c r="AO356" s="108">
        <f>IF(INVOICE!$N$16="MANUAL",IFERROR(AM356*B356,""),IF(INVOICE!$N$16="AUTOMATE",IFERROR(AM356*A356,""),""))</f>
        <v>0</v>
      </c>
      <c r="AV356" s="108">
        <f t="shared" si="66"/>
        <v>0</v>
      </c>
    </row>
    <row r="357" spans="1:48">
      <c r="A357" s="108" t="str">
        <f>IF('Customer Base'!D$9=3,1,"")</f>
        <v/>
      </c>
      <c r="C357" s="242" t="s">
        <v>1031</v>
      </c>
      <c r="D357" s="272">
        <v>92.03</v>
      </c>
      <c r="E357" s="272">
        <v>86.686000000000007</v>
      </c>
      <c r="F357" s="243">
        <f t="shared" si="62"/>
        <v>75.496308449548806</v>
      </c>
      <c r="G357" s="243">
        <f>IFERROR(ROUNDUP(F357*INVOICE!$O$6,2),0)</f>
        <v>1260.79</v>
      </c>
      <c r="H357" s="243">
        <f t="shared" si="63"/>
        <v>71.112387202625101</v>
      </c>
      <c r="I357" s="243">
        <f>IFERROR(ROUNDUP(H357*INVOICE!$O$6,2),0)</f>
        <v>1187.58</v>
      </c>
      <c r="J357" s="108" t="str">
        <f t="shared" si="64"/>
        <v/>
      </c>
      <c r="L357" s="108" t="str">
        <f t="shared" si="65"/>
        <v/>
      </c>
      <c r="N357" s="108">
        <v>366</v>
      </c>
      <c r="O357" s="108" t="str">
        <f>IF(INVOICE!$N$16="MANUAL",IF(B357&lt;&gt;"",C357,""),IF(INVOICE!$N$16="AUTOMATE",IF(A357&lt;&gt;"",C357,""),""))</f>
        <v/>
      </c>
      <c r="AO357" s="108" t="str">
        <f>IF(INVOICE!$N$16="MANUAL",IFERROR(AM357*B357,""),IF(INVOICE!$N$16="AUTOMATE",IFERROR(AM357*A357,""),""))</f>
        <v/>
      </c>
      <c r="AV357" s="108">
        <f t="shared" si="66"/>
        <v>0</v>
      </c>
    </row>
    <row r="358" spans="1:48">
      <c r="D358" s="324"/>
      <c r="E358" s="324"/>
      <c r="F358" s="229">
        <f t="shared" si="62"/>
        <v>0</v>
      </c>
      <c r="G358" s="229">
        <f>IFERROR(ROUNDUP(F358*INVOICE!$O$6,2),0)</f>
        <v>0</v>
      </c>
      <c r="H358" s="229">
        <f t="shared" si="63"/>
        <v>0</v>
      </c>
      <c r="I358" s="229">
        <f>IFERROR(ROUNDUP(H358*INVOICE!$O$6,2),0)</f>
        <v>0</v>
      </c>
      <c r="J358" s="108" t="str">
        <f t="shared" si="64"/>
        <v/>
      </c>
      <c r="L358" s="108" t="str">
        <f t="shared" si="65"/>
        <v/>
      </c>
      <c r="N358" s="108">
        <v>367</v>
      </c>
      <c r="O358" s="108" t="str">
        <f>IF(INVOICE!$N$16="MANUAL",IF(B358&lt;&gt;"",C358,""),IF(INVOICE!$N$16="AUTOMATE",IF(A358&lt;&gt;"",C358,""),""))</f>
        <v/>
      </c>
      <c r="AO358" s="108">
        <f>IF(INVOICE!$N$16="MANUAL",IFERROR(AM358*B358,""),IF(INVOICE!$N$16="AUTOMATE",IFERROR(AM358*A358,""),""))</f>
        <v>0</v>
      </c>
      <c r="AV358" s="108">
        <f t="shared" si="66"/>
        <v>0</v>
      </c>
    </row>
    <row r="359" spans="1:48">
      <c r="A359" s="108" t="str">
        <f>IFERROR(IF(AND(OR(AND('Customer Base'!D$13&lt;&gt;"Victron",'Customer Base'!D7="Hybrid"),'Customer Base'!D7="Mini-Grid",'Customer Base'!D7="Grid-Tied"),(SUMPRODUCT(A242:A254,AQ242:AQ254)/SUM(A6:A132))&lt;600,'Customer Base'!D7&lt;&gt;"Backup"),IF('Customer Base'!D13&lt;&gt;"Victron",'Customer Base'!D15,IF(AND('Customer Base'!D7="Mini-Grid",'Customer Base'!F13&lt;&gt;""),'Customer Base'!F15,"")),""),"")</f>
        <v/>
      </c>
      <c r="C359" s="242" t="s">
        <v>2743</v>
      </c>
      <c r="D359" s="272">
        <v>63.86</v>
      </c>
      <c r="E359" s="272">
        <v>60.151000000000003</v>
      </c>
      <c r="F359" s="243">
        <f t="shared" si="62"/>
        <v>52.387202625102539</v>
      </c>
      <c r="G359" s="243">
        <f>IFERROR(ROUNDUP(F359*INVOICE!$O$6,2),0)</f>
        <v>874.87</v>
      </c>
      <c r="H359" s="243">
        <f t="shared" si="63"/>
        <v>49.344544708777683</v>
      </c>
      <c r="I359" s="243">
        <f>IFERROR(ROUNDUP(H359*INVOICE!$O$6,2),0)</f>
        <v>824.06</v>
      </c>
      <c r="J359" s="108" t="str">
        <f t="shared" si="64"/>
        <v/>
      </c>
      <c r="L359" s="108" t="str">
        <f t="shared" si="65"/>
        <v/>
      </c>
      <c r="N359" s="108">
        <v>368</v>
      </c>
      <c r="O359" s="108" t="str">
        <f>IF(INVOICE!$N$16="MANUAL",IF(B359&lt;&gt;"",C359,""),IF(INVOICE!$N$16="AUTOMATE",IF(A359&lt;&gt;"",C359,""),""))</f>
        <v/>
      </c>
      <c r="AO359" s="108" t="str">
        <f>IF(INVOICE!$N$16="MANUAL",IFERROR(AM359*B359,""),IF(INVOICE!$N$16="AUTOMATE",IFERROR(AM359*A359,""),""))</f>
        <v/>
      </c>
      <c r="AV359" s="108">
        <f t="shared" si="66"/>
        <v>0</v>
      </c>
    </row>
    <row r="360" spans="1:48">
      <c r="A360" s="108">
        <f>IFERROR(IF(AND(OR(AND('Customer Base'!D$13&lt;&gt;"Victron",'Customer Base'!D7="Hybrid"),'Customer Base'!D7="Mini-Grid",'Customer Base'!D7="Grid-Tied"),(SUMPRODUCT(A242:A254,AQ242:AQ254)/SUM(A6:A132))&gt;600),IF('Customer Base'!D13&lt;&gt;"Victron",'Customer Base'!D15,IF(AND('Customer Base'!D7="Mini-Grid",'Customer Base'!F13&lt;&gt;""),'Customer Base'!F15,"")),""),"")</f>
        <v>1</v>
      </c>
      <c r="C360" s="242" t="s">
        <v>947</v>
      </c>
      <c r="D360" s="272">
        <v>104.51</v>
      </c>
      <c r="E360" s="272">
        <v>98.430999999999997</v>
      </c>
      <c r="F360" s="243">
        <f t="shared" si="62"/>
        <v>85.734208367514356</v>
      </c>
      <c r="G360" s="243">
        <f>IFERROR(ROUNDUP(F360*INVOICE!$O$6,2),0)</f>
        <v>1431.77</v>
      </c>
      <c r="H360" s="243">
        <f t="shared" si="63"/>
        <v>80.747333880229689</v>
      </c>
      <c r="I360" s="243">
        <f>IFERROR(ROUNDUP(H360*INVOICE!$O$6,2),0)</f>
        <v>1348.49</v>
      </c>
      <c r="J360" s="108" t="str">
        <f t="shared" si="64"/>
        <v/>
      </c>
      <c r="L360" s="108" t="str">
        <f t="shared" si="65"/>
        <v/>
      </c>
      <c r="N360" s="108">
        <v>369</v>
      </c>
      <c r="O360" s="108" t="str">
        <f>IF(INVOICE!$N$16="MANUAL",IF(B360&lt;&gt;"",C360,""),IF(INVOICE!$N$16="AUTOMATE",IF(A360&lt;&gt;"",C360,""),""))</f>
        <v>Citel DC Surge Protection Device DS50VGPVS-1000/51</v>
      </c>
      <c r="AO360" s="108">
        <f>IF(INVOICE!$N$16="MANUAL",IFERROR(AM360*B360,""),IF(INVOICE!$N$16="AUTOMATE",IFERROR(AM360*A360,""),""))</f>
        <v>0</v>
      </c>
      <c r="AV360" s="108">
        <f t="shared" si="66"/>
        <v>0</v>
      </c>
    </row>
    <row r="361" spans="1:48">
      <c r="C361" s="242" t="s">
        <v>948</v>
      </c>
      <c r="D361" s="272">
        <v>113.31</v>
      </c>
      <c r="E361" s="272">
        <v>106.726</v>
      </c>
      <c r="F361" s="243">
        <f t="shared" si="62"/>
        <v>92.953240360951597</v>
      </c>
      <c r="G361" s="243">
        <f>IFERROR(ROUNDUP(F361*INVOICE!$O$6,2),0)</f>
        <v>1552.32</v>
      </c>
      <c r="H361" s="243">
        <f t="shared" si="63"/>
        <v>87.552091878588996</v>
      </c>
      <c r="I361" s="243">
        <f>IFERROR(ROUNDUP(H361*INVOICE!$O$6,2),0)</f>
        <v>1462.12</v>
      </c>
      <c r="J361" s="108" t="str">
        <f t="shared" si="64"/>
        <v/>
      </c>
      <c r="L361" s="108" t="str">
        <f t="shared" si="65"/>
        <v/>
      </c>
      <c r="N361" s="108">
        <v>370</v>
      </c>
      <c r="O361" s="108" t="str">
        <f>IF(INVOICE!$N$16="MANUAL",IF(B361&lt;&gt;"",C361,""),IF(INVOICE!$N$16="AUTOMATE",IF(A361&lt;&gt;"",C361,""),""))</f>
        <v/>
      </c>
      <c r="AO361" s="108">
        <f>IF(INVOICE!$N$16="MANUAL",IFERROR(AM361*B361,""),IF(INVOICE!$N$16="AUTOMATE",IFERROR(AM361*A361,""),""))</f>
        <v>0</v>
      </c>
      <c r="AV361" s="108">
        <f t="shared" si="66"/>
        <v>0</v>
      </c>
    </row>
    <row r="362" spans="1:48">
      <c r="C362" s="242" t="s">
        <v>2742</v>
      </c>
      <c r="D362" s="272">
        <v>37.58</v>
      </c>
      <c r="E362" s="272">
        <v>35.396999999999998</v>
      </c>
      <c r="F362" s="243">
        <f t="shared" si="62"/>
        <v>30.828547990155862</v>
      </c>
      <c r="G362" s="243">
        <f>IFERROR(ROUNDUP(F362*INVOICE!$O$6,2),0)</f>
        <v>514.84</v>
      </c>
      <c r="H362" s="243">
        <f t="shared" si="63"/>
        <v>29.037735849056599</v>
      </c>
      <c r="I362" s="243">
        <f>IFERROR(ROUNDUP(H362*INVOICE!$O$6,2),0)</f>
        <v>484.94</v>
      </c>
      <c r="J362" s="108" t="str">
        <f t="shared" si="64"/>
        <v/>
      </c>
      <c r="L362" s="108" t="str">
        <f t="shared" si="65"/>
        <v/>
      </c>
      <c r="N362" s="108">
        <v>371</v>
      </c>
      <c r="O362" s="108" t="str">
        <f>IF(INVOICE!$N$16="MANUAL",IF(B362&lt;&gt;"",C362,""),IF(INVOICE!$N$16="AUTOMATE",IF(A362&lt;&gt;"",C362,""),""))</f>
        <v/>
      </c>
      <c r="AO362" s="108">
        <f>IF(INVOICE!$N$16="MANUAL",IFERROR(AM362*B362,""),IF(INVOICE!$N$16="AUTOMATE",IFERROR(AM362*A362,""),""))</f>
        <v>0</v>
      </c>
      <c r="AV362" s="108">
        <f t="shared" si="66"/>
        <v>0</v>
      </c>
    </row>
    <row r="363" spans="1:48">
      <c r="D363" s="324"/>
      <c r="E363" s="324"/>
      <c r="I363" s="229"/>
      <c r="J363" s="108" t="str">
        <f t="shared" si="64"/>
        <v/>
      </c>
      <c r="L363" s="108" t="str">
        <f t="shared" si="65"/>
        <v/>
      </c>
      <c r="N363" s="108">
        <v>372</v>
      </c>
      <c r="O363" s="108" t="str">
        <f>IF(INVOICE!$N$16="MANUAL",IF(B363&lt;&gt;"",C363,""),IF(INVOICE!$N$16="AUTOMATE",IF(A363&lt;&gt;"",C363,""),""))</f>
        <v/>
      </c>
      <c r="AO363" s="108">
        <f>IF(INVOICE!$N$16="MANUAL",IFERROR(AM363*B363,""),IF(INVOICE!$N$16="AUTOMATE",IFERROR(AM363*A363,""),""))</f>
        <v>0</v>
      </c>
      <c r="AV363" s="108">
        <f t="shared" si="66"/>
        <v>0</v>
      </c>
    </row>
    <row r="364" spans="1:48">
      <c r="C364" s="251" t="s">
        <v>1910</v>
      </c>
      <c r="D364" s="327"/>
      <c r="E364" s="327"/>
      <c r="F364" s="257">
        <f t="shared" si="62"/>
        <v>0</v>
      </c>
      <c r="G364" s="239">
        <f>IFERROR(ROUNDUP(F364*INVOICE!$O$6,2),0)</f>
        <v>0</v>
      </c>
      <c r="H364" s="257">
        <f t="shared" si="63"/>
        <v>0</v>
      </c>
      <c r="I364" s="239">
        <f>IFERROR(ROUNDUP(H364*INVOICE!$O$6,2),0)</f>
        <v>0</v>
      </c>
      <c r="J364" s="108" t="str">
        <f t="shared" si="64"/>
        <v/>
      </c>
      <c r="L364" s="108" t="str">
        <f t="shared" si="65"/>
        <v/>
      </c>
      <c r="N364" s="108">
        <v>373</v>
      </c>
      <c r="O364" s="108" t="str">
        <f>IF(INVOICE!$N$16="MANUAL",IF(B364&lt;&gt;"",C364,""),IF(INVOICE!$N$16="AUTOMATE",IF(A364&lt;&gt;"",C364,""),""))</f>
        <v/>
      </c>
      <c r="AO364" s="108">
        <f>IF(INVOICE!$N$16="MANUAL",IFERROR(AM364*B364,""),IF(INVOICE!$N$16="AUTOMATE",IFERROR(AM364*A364,""),""))</f>
        <v>0</v>
      </c>
      <c r="AV364" s="108">
        <f t="shared" si="66"/>
        <v>0</v>
      </c>
    </row>
    <row r="365" spans="1:48">
      <c r="A365" s="108" t="str">
        <f ca="1">IFERROR(IF(IF('CABLE SIZING TOOL'!E$104*100&lt;=3,'Customer Base'!D$31*L$1*2,0)+IF(AND('Customer Base'!D7="Mini-Grid",'CABLE SIZING TOOL'!K$104*100&lt;=3),'Customer Base'!D$31*L$5*2,0)+IF(AND('Customer Base'!D$13="Victron",'Customer Base'!D$7&lt;&gt;"Backup"),IF(Items!L$1=1,0,Items!L$1*10),0)=0,"",IF('CABLE SIZING TOOL'!E$104*100&lt;=3,'Customer Base'!D$31*L$1*2,0)+IF(AND('Customer Base'!D7="Mini-Grid",'CABLE SIZING TOOL'!K$104*100&lt;=3),'Customer Base'!D$31*L$5*2,0)+IF(AND('Customer Base'!D$13="Victron",'Customer Base'!D$7&lt;&gt;"Backup"),IF(Items!L$1=1,0,Items!L$1*10),0)),"")</f>
        <v/>
      </c>
      <c r="C365" s="258" t="s">
        <v>1135</v>
      </c>
      <c r="D365" s="330">
        <v>1.02</v>
      </c>
      <c r="E365" s="330">
        <v>0.93500000000000005</v>
      </c>
      <c r="F365" s="260">
        <f t="shared" si="62"/>
        <v>0.83675143560295318</v>
      </c>
      <c r="G365" s="260">
        <f>IFERROR(ROUNDUP(F365*INVOICE!$O$6,2),0)</f>
        <v>13.98</v>
      </c>
      <c r="H365" s="260">
        <f t="shared" si="63"/>
        <v>0.76702214930270718</v>
      </c>
      <c r="I365" s="260">
        <f>IFERROR(ROUNDUP(H365*INVOICE!$O$6,2),0)</f>
        <v>12.81</v>
      </c>
      <c r="J365" s="108" t="str">
        <f t="shared" si="64"/>
        <v/>
      </c>
      <c r="L365" s="108" t="str">
        <f t="shared" si="65"/>
        <v/>
      </c>
      <c r="N365" s="108">
        <v>374</v>
      </c>
      <c r="O365" s="108" t="str">
        <f ca="1">IF(INVOICE!$N$16="MANUAL",IF(B365&lt;&gt;"",C365,""),IF(INVOICE!$N$16="AUTOMATE",IF(A365&lt;&gt;"",C365,""),""))</f>
        <v/>
      </c>
      <c r="AO365" s="108" t="str">
        <f ca="1">IF(INVOICE!$N$16="MANUAL",IFERROR(AM365*B365,""),IF(INVOICE!$N$16="AUTOMATE",IFERROR(AM365*A365,""),""))</f>
        <v/>
      </c>
      <c r="AV365" s="108">
        <f t="shared" si="66"/>
        <v>0</v>
      </c>
    </row>
    <row r="366" spans="1:48">
      <c r="A366" s="247" t="str">
        <f ca="1">IF(IFERROR(IF(AND('CABLE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Base'!D$31*L$5*2,0),"")=0,"",IFERROR(IF(AND('CABLE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f>
        <v/>
      </c>
      <c r="C366" s="258" t="s">
        <v>1136</v>
      </c>
      <c r="D366" s="330">
        <v>1.36</v>
      </c>
      <c r="E366" s="330">
        <v>1.2529999999999999</v>
      </c>
      <c r="F366" s="260">
        <f t="shared" si="62"/>
        <v>1.1156685808039377</v>
      </c>
      <c r="G366" s="260">
        <f>IFERROR(ROUNDUP(F366*INVOICE!$O$6,2),0)</f>
        <v>18.64</v>
      </c>
      <c r="H366" s="260">
        <f t="shared" si="63"/>
        <v>1.0278917145200983</v>
      </c>
      <c r="I366" s="260">
        <f>IFERROR(ROUNDUP(H366*INVOICE!$O$6,2),0)</f>
        <v>17.170000000000002</v>
      </c>
      <c r="J366" s="108" t="str">
        <f t="shared" si="64"/>
        <v/>
      </c>
      <c r="L366" s="108" t="str">
        <f t="shared" si="65"/>
        <v/>
      </c>
      <c r="N366" s="108">
        <v>375</v>
      </c>
      <c r="O366" s="108" t="str">
        <f ca="1">IF(INVOICE!$N$16="MANUAL",IF(B366&lt;&gt;"",C366,""),IF(INVOICE!$N$16="AUTOMATE",IF(A366&lt;&gt;"",C366,""),""))</f>
        <v/>
      </c>
      <c r="AO366" s="108" t="str">
        <f ca="1">IF(INVOICE!$N$16="MANUAL",IFERROR(AM366*B366,""),IF(INVOICE!$N$16="AUTOMATE",IFERROR(AM366*A366,""),""))</f>
        <v/>
      </c>
      <c r="AV366" s="108">
        <f t="shared" si="66"/>
        <v>0</v>
      </c>
    </row>
    <row r="367" spans="1:48">
      <c r="A367" s="108">
        <f ca="1">IFERROR(IF(AND('CABLE SIZING TOOL'!E$104*100&gt;3,'CABLE SIZING TOOL'!F$104*100&gt;3,'CABLE SIZING TOOL'!G$104*100&lt;=3),'Customer Base'!D$31*(IF(AND('Customer Base'!D7&lt;&gt;"Backup",'Customer Base'!D7&lt;&gt;"Grid-Tied",SUM(Items!A257:A289)&gt;0),SUM(Items!A257:A289),L$1)*2),""),"")</f>
        <v>144</v>
      </c>
      <c r="C367" s="258" t="s">
        <v>1137</v>
      </c>
      <c r="D367" s="330">
        <v>2.35</v>
      </c>
      <c r="E367" s="330">
        <v>2.1589999999999998</v>
      </c>
      <c r="F367" s="260">
        <f t="shared" si="62"/>
        <v>1.9278096800656275</v>
      </c>
      <c r="G367" s="260">
        <f>IFERROR(ROUNDUP(F367*INVOICE!$O$6,2),0)</f>
        <v>32.199999999999996</v>
      </c>
      <c r="H367" s="260">
        <f t="shared" si="63"/>
        <v>1.7711238720262508</v>
      </c>
      <c r="I367" s="260">
        <f>IFERROR(ROUNDUP(H367*INVOICE!$O$6,2),0)</f>
        <v>29.580000000000002</v>
      </c>
      <c r="J367" s="108" t="str">
        <f t="shared" si="64"/>
        <v/>
      </c>
      <c r="L367" s="108" t="str">
        <f t="shared" si="65"/>
        <v/>
      </c>
      <c r="N367" s="108">
        <v>376</v>
      </c>
      <c r="O367" s="108" t="str">
        <f ca="1">IF(INVOICE!$N$16="MANUAL",IF(B367&lt;&gt;"",C367,""),IF(INVOICE!$N$16="AUTOMATE",IF(A367&lt;&gt;"",C367,""),""))</f>
        <v>Hikra Sol DC Solar cable 1x10mm2 1500V H1Z2Z2</v>
      </c>
      <c r="AO367" s="108">
        <f ca="1">IF(INVOICE!$N$16="MANUAL",IFERROR(AM367*B367,""),IF(INVOICE!$N$16="AUTOMATE",IFERROR(AM367*A367,""),""))</f>
        <v>0</v>
      </c>
      <c r="AV367" s="108">
        <f t="shared" si="66"/>
        <v>0</v>
      </c>
    </row>
    <row r="368" spans="1:48">
      <c r="A368" s="108">
        <f ca="1">IFERROR(IF(AND('Customer Base'!D$20="BYD",'Customer Base'!E$20=5,'Customer Base'!D7&lt;&gt;"Grid-Tied"),INVOICE!O$9+IF(AND('CABLE SIZING TOOL'!E$104*100&gt;3,'CABLE SIZING TOOL'!F$104*100&gt;=3,'CABLE SIZING TOOL'!G$104*100&gt;3,'CABLE SIZING TOOL'!H$104*100&lt;=3),'Customer Base'!D$31*(IF(AND('Customer Base'!D7&lt;&gt;"Backup",'Customer Base'!D7&lt;&gt;"Grid-Tied",SUM(Items!A257:A289)&gt;0),SUM(Items!A257:A289),L$1)*2),IF(AND('CABLE SIZING TOOL'!E$104*100&gt;3,'CABLE SIZING TOOL'!F$104*100&gt;3,'CABLE SIZING TOOL'!G$104*100&gt;3,'CABLE SIZING TOOL'!H$104*100&lt;=3),'Customer Base'!D$31*(IF(AND('Customer Base'!D7&lt;&gt;"Backup",'Customer Base'!D7&lt;&gt;"Grid-Tied",SUM(Items!A257:A289)&gt;0),SUM(Items!A257:A289),L$1)*2))),""),"")</f>
        <v>60</v>
      </c>
      <c r="C368" s="258" t="s">
        <v>1143</v>
      </c>
      <c r="D368" s="330">
        <v>4.53</v>
      </c>
      <c r="E368" s="330">
        <v>4.165</v>
      </c>
      <c r="F368" s="260">
        <f t="shared" si="62"/>
        <v>3.7161607875307627</v>
      </c>
      <c r="G368" s="260">
        <f>IFERROR(ROUNDUP(F368*INVOICE!$O$6,2),0)</f>
        <v>62.059999999999995</v>
      </c>
      <c r="H368" s="260">
        <f t="shared" si="63"/>
        <v>3.416735028712059</v>
      </c>
      <c r="I368" s="260">
        <f>IFERROR(ROUNDUP(H368*INVOICE!$O$6,2),0)</f>
        <v>57.059999999999995</v>
      </c>
      <c r="J368" s="108" t="str">
        <f t="shared" si="64"/>
        <v/>
      </c>
      <c r="L368" s="108" t="str">
        <f t="shared" si="65"/>
        <v/>
      </c>
      <c r="N368" s="108">
        <v>377</v>
      </c>
      <c r="O368" s="108" t="str">
        <f ca="1">IF(INVOICE!$N$16="MANUAL",IF(B368&lt;&gt;"",C368,""),IF(INVOICE!$N$16="AUTOMATE",IF(A368&lt;&gt;"",C368,""),""))</f>
        <v>Hikra Sol DC Solar cable 1x16mm2 1500V H1Z2Z2</v>
      </c>
      <c r="AO368" s="108">
        <f ca="1">IF(INVOICE!$N$16="MANUAL",IFERROR(AM368*B368,""),IF(INVOICE!$N$16="AUTOMATE",IFERROR(AM368*A368,""),""))</f>
        <v>0</v>
      </c>
      <c r="AV368" s="108">
        <f t="shared" si="66"/>
        <v>0</v>
      </c>
    </row>
    <row r="369" spans="1:48">
      <c r="A369" s="108">
        <f ca="1">IF(AND('Customer Base'!D13="Victron",'Customer Base'!D7&lt;&gt;"Backup",SUMPRODUCT(A6:A66,AP6:AP66)=0),5*SUM(A257:A289)+IF('CABLE SIZING TOOL'!I$45&lt;=25,5*'Customer Base'!D$15,0),IF('CABLE SIZING TOOL'!I$45&lt;=25,5*'Customer Base'!D$15,""))</f>
        <v>25</v>
      </c>
      <c r="C369" s="258" t="s">
        <v>1144</v>
      </c>
      <c r="D369" s="330">
        <v>8.25</v>
      </c>
      <c r="E369" s="330">
        <v>7.5819999999999999</v>
      </c>
      <c r="F369" s="260">
        <f t="shared" si="62"/>
        <v>6.7678424938474153</v>
      </c>
      <c r="G369" s="260">
        <f>IFERROR(ROUNDUP(F369*INVOICE!$O$6,2),0)</f>
        <v>113.03</v>
      </c>
      <c r="H369" s="260">
        <f t="shared" si="63"/>
        <v>6.2198523379819521</v>
      </c>
      <c r="I369" s="260">
        <f>IFERROR(ROUNDUP(H369*INVOICE!$O$6,2),0)</f>
        <v>103.88000000000001</v>
      </c>
      <c r="J369" s="108" t="str">
        <f t="shared" si="64"/>
        <v/>
      </c>
      <c r="L369" s="108" t="str">
        <f t="shared" si="65"/>
        <v/>
      </c>
      <c r="N369" s="108">
        <v>378</v>
      </c>
      <c r="O369" s="108" t="str">
        <f ca="1">IF(INVOICE!$N$16="MANUAL",IF(B369&lt;&gt;"",C369,""),IF(INVOICE!$N$16="AUTOMATE",IF(A369&lt;&gt;"",C369,""),""))</f>
        <v>Hikra Sol DC Solar cable 1x25mm2 1500V H1Z2Z2</v>
      </c>
      <c r="AO369" s="108">
        <f ca="1">IF(INVOICE!$N$16="MANUAL",IFERROR(AM369*B369,""),IF(INVOICE!$N$16="AUTOMATE",IFERROR(AM369*A369,""),""))</f>
        <v>0</v>
      </c>
      <c r="AV369" s="108">
        <f t="shared" si="66"/>
        <v>0</v>
      </c>
    </row>
    <row r="370" spans="1:48">
      <c r="A370" s="108" t="str">
        <f>IF('CABLE SIZING TOOL'!I$45=35,5*'Customer Base'!D$15,"")</f>
        <v/>
      </c>
      <c r="C370" s="258" t="s">
        <v>1145</v>
      </c>
      <c r="D370" s="330">
        <v>12.75</v>
      </c>
      <c r="E370" s="330">
        <v>11.712999999999999</v>
      </c>
      <c r="F370" s="260">
        <f t="shared" si="62"/>
        <v>10.459392945036916</v>
      </c>
      <c r="G370" s="260">
        <f>IFERROR(ROUNDUP(F370*INVOICE!$O$6,2),0)</f>
        <v>174.67999999999998</v>
      </c>
      <c r="H370" s="260">
        <f t="shared" si="63"/>
        <v>9.6086956521739122</v>
      </c>
      <c r="I370" s="260">
        <f>IFERROR(ROUNDUP(H370*INVOICE!$O$6,2),0)</f>
        <v>160.47</v>
      </c>
      <c r="J370" s="108" t="str">
        <f t="shared" si="64"/>
        <v/>
      </c>
      <c r="L370" s="108" t="str">
        <f t="shared" si="65"/>
        <v/>
      </c>
      <c r="N370" s="108">
        <v>379</v>
      </c>
      <c r="O370" s="108" t="str">
        <f>IF(INVOICE!$N$16="MANUAL",IF(B370&lt;&gt;"",C370,""),IF(INVOICE!$N$16="AUTOMATE",IF(A370&lt;&gt;"",C370,""),""))</f>
        <v/>
      </c>
      <c r="AO370" s="108" t="str">
        <f>IF(INVOICE!$N$16="MANUAL",IFERROR(AM370*B370,""),IF(INVOICE!$N$16="AUTOMATE",IFERROR(AM370*A370,""),""))</f>
        <v/>
      </c>
      <c r="AV370" s="108">
        <f t="shared" si="66"/>
        <v>0</v>
      </c>
    </row>
    <row r="371" spans="1:48">
      <c r="A371" s="108" t="str">
        <f>IF('CABLE SIZING TOOL'!I$45=50,5*'Customer Base'!D$15,"")</f>
        <v/>
      </c>
      <c r="C371" s="258" t="s">
        <v>1146</v>
      </c>
      <c r="D371" s="330">
        <v>23.85</v>
      </c>
      <c r="E371" s="330">
        <v>21.913</v>
      </c>
      <c r="F371" s="260">
        <f t="shared" si="62"/>
        <v>19.565217391304348</v>
      </c>
      <c r="G371" s="260">
        <f>IFERROR(ROUNDUP(F371*INVOICE!$O$6,2),0)</f>
        <v>326.74</v>
      </c>
      <c r="H371" s="260">
        <f t="shared" si="63"/>
        <v>17.976210008203445</v>
      </c>
      <c r="I371" s="260">
        <f>IFERROR(ROUNDUP(H371*INVOICE!$O$6,2),0)</f>
        <v>300.20999999999998</v>
      </c>
      <c r="J371" s="108" t="str">
        <f t="shared" si="64"/>
        <v/>
      </c>
      <c r="L371" s="108" t="str">
        <f t="shared" si="65"/>
        <v/>
      </c>
      <c r="N371" s="108">
        <v>380</v>
      </c>
      <c r="O371" s="108" t="str">
        <f>IF(INVOICE!$N$16="MANUAL",IF(B371&lt;&gt;"",C371,""),IF(INVOICE!$N$16="AUTOMATE",IF(A371&lt;&gt;"",C371,""),""))</f>
        <v/>
      </c>
      <c r="AO371" s="108" t="str">
        <f>IF(INVOICE!$N$16="MANUAL",IFERROR(AM371*B371,""),IF(INVOICE!$N$16="AUTOMATE",IFERROR(AM371*A371,""),""))</f>
        <v/>
      </c>
      <c r="AV371" s="108">
        <f t="shared" si="66"/>
        <v>0</v>
      </c>
    </row>
    <row r="372" spans="1:48">
      <c r="A372" s="108" t="str">
        <f>IF('CABLE SIZING TOOL'!I$45=70,5*'Customer Base'!D$15,"")</f>
        <v/>
      </c>
      <c r="C372" s="258" t="s">
        <v>1147</v>
      </c>
      <c r="D372" s="330">
        <v>30.64</v>
      </c>
      <c r="E372" s="330">
        <v>28.152000000000001</v>
      </c>
      <c r="F372" s="260">
        <f t="shared" si="62"/>
        <v>25.135356849876946</v>
      </c>
      <c r="G372" s="260">
        <f>IFERROR(ROUNDUP(F372*INVOICE!$O$6,2),0)</f>
        <v>419.77</v>
      </c>
      <c r="H372" s="260">
        <f t="shared" si="63"/>
        <v>23.09433962264151</v>
      </c>
      <c r="I372" s="260">
        <f>IFERROR(ROUNDUP(H372*INVOICE!$O$6,2),0)</f>
        <v>385.68</v>
      </c>
      <c r="J372" s="108" t="str">
        <f t="shared" si="64"/>
        <v/>
      </c>
      <c r="L372" s="108" t="str">
        <f t="shared" si="65"/>
        <v/>
      </c>
      <c r="N372" s="108">
        <v>381</v>
      </c>
      <c r="O372" s="108" t="str">
        <f>IF(INVOICE!$N$16="MANUAL",IF(B372&lt;&gt;"",C372,""),IF(INVOICE!$N$16="AUTOMATE",IF(A372&lt;&gt;"",C372,""),""))</f>
        <v/>
      </c>
      <c r="AO372" s="108" t="str">
        <f>IF(INVOICE!$N$16="MANUAL",IFERROR(AM372*B372,""),IF(INVOICE!$N$16="AUTOMATE",IFERROR(AM372*A372,""),""))</f>
        <v/>
      </c>
      <c r="AV372" s="108">
        <f t="shared" si="66"/>
        <v>0</v>
      </c>
    </row>
    <row r="373" spans="1:48">
      <c r="A373" s="108" t="str">
        <f>IF('CABLE SIZING TOOL'!I$45=95,5*'Customer Base'!D$15,"")</f>
        <v/>
      </c>
      <c r="C373" s="258" t="s">
        <v>1148</v>
      </c>
      <c r="D373" s="330">
        <v>41.27</v>
      </c>
      <c r="E373" s="330">
        <v>37.927</v>
      </c>
      <c r="F373" s="260">
        <f t="shared" si="62"/>
        <v>33.855619360131257</v>
      </c>
      <c r="G373" s="260">
        <f>IFERROR(ROUNDUP(F373*INVOICE!$O$6,2),0)</f>
        <v>565.39</v>
      </c>
      <c r="H373" s="260">
        <f t="shared" si="63"/>
        <v>31.113207547169807</v>
      </c>
      <c r="I373" s="260">
        <f>IFERROR(ROUNDUP(H373*INVOICE!$O$6,2),0)</f>
        <v>519.6</v>
      </c>
      <c r="J373" s="108" t="str">
        <f t="shared" si="64"/>
        <v/>
      </c>
      <c r="L373" s="108" t="str">
        <f t="shared" si="65"/>
        <v/>
      </c>
      <c r="N373" s="108">
        <v>382</v>
      </c>
      <c r="O373" s="108" t="str">
        <f>IF(INVOICE!$N$16="MANUAL",IF(B373&lt;&gt;"",C373,""),IF(INVOICE!$N$16="AUTOMATE",IF(A373&lt;&gt;"",C373,""),""))</f>
        <v/>
      </c>
      <c r="AO373" s="108" t="str">
        <f>IF(INVOICE!$N$16="MANUAL",IFERROR(AM373*B373,""),IF(INVOICE!$N$16="AUTOMATE",IFERROR(AM373*A373,""),""))</f>
        <v/>
      </c>
      <c r="AV373" s="108">
        <f t="shared" si="66"/>
        <v>0</v>
      </c>
    </row>
    <row r="374" spans="1:48">
      <c r="D374" s="324"/>
      <c r="E374" s="324"/>
      <c r="F374" s="229">
        <f t="shared" si="62"/>
        <v>0</v>
      </c>
      <c r="H374" s="229">
        <f t="shared" si="63"/>
        <v>0</v>
      </c>
      <c r="I374" s="229"/>
      <c r="J374" s="108" t="str">
        <f t="shared" si="64"/>
        <v/>
      </c>
      <c r="L374" s="108" t="str">
        <f t="shared" si="65"/>
        <v/>
      </c>
      <c r="N374" s="108">
        <v>383</v>
      </c>
      <c r="O374" s="108" t="str">
        <f>IF(INVOICE!$N$16="MANUAL",IF(B374&lt;&gt;"",C374,""),IF(INVOICE!$N$16="AUTOMATE",IF(A374&lt;&gt;"",C374,""),""))</f>
        <v/>
      </c>
      <c r="AO374" s="108">
        <f>IF(INVOICE!$N$16="MANUAL",IFERROR(AM374*B374,""),IF(INVOICE!$N$16="AUTOMATE",IFERROR(AM374*A374,""),""))</f>
        <v>0</v>
      </c>
      <c r="AV374" s="108">
        <f t="shared" si="66"/>
        <v>0</v>
      </c>
    </row>
    <row r="375" spans="1:48">
      <c r="A375" s="108">
        <f>IF(IF(OR('CABLE SIZING TOOL'!D$45&lt;=4,'CABLE SIZING TOOL'!J$45&lt;=4),IF('CABLE SIZING TOOL'!D$45&lt;=4,'Customer Base'!D$32*'Customer Base'!D$15,0)+IF('CABLE SIZING TOOL'!J$45&lt;=4,IF(AND('Customer Base'!D$15=1,'Customer Base'!D$9=1),0,IF(OR('Customer Base'!D$15&gt;1,'Customer Base'!D$9=3),ROUNDUP('Customer Base'!D$32*0.5,0),0))),"")=0,"",IF(OR('CABLE SIZING TOOL'!D$45&lt;=4,'CABLE SIZING TOOL'!J$45&lt;=4),IF('CABLE SIZING TOOL'!D$45&lt;=4,'Customer Base'!D$32*'Customer Base'!D$15,0)+IF('CABLE SIZING TOOL'!J$45&lt;=4,IF(AND('Customer Base'!D$15=1,'Customer Base'!D$9=1),0,IF(OR('Customer Base'!D$15&gt;1,'Customer Base'!D$9=3),ROUNDUP('Customer Base'!D$32*0.5,0),0))),""))</f>
        <v>10</v>
      </c>
      <c r="C375" s="258" t="s">
        <v>1140</v>
      </c>
      <c r="D375" s="330">
        <v>10.51</v>
      </c>
      <c r="E375" s="330">
        <v>9.6560000000000006</v>
      </c>
      <c r="F375" s="260">
        <f t="shared" si="62"/>
        <v>8.6218211648892531</v>
      </c>
      <c r="G375" s="260">
        <f>IFERROR(ROUNDUP(F375*INVOICE!$O$6,2),0)</f>
        <v>143.98999999999998</v>
      </c>
      <c r="H375" s="260">
        <f t="shared" si="63"/>
        <v>7.9212469237079572</v>
      </c>
      <c r="I375" s="260">
        <f>IFERROR(ROUNDUP(H375*INVOICE!$O$6,2),0)</f>
        <v>132.29</v>
      </c>
      <c r="J375" s="108" t="str">
        <f t="shared" si="64"/>
        <v/>
      </c>
      <c r="L375" s="108" t="str">
        <f t="shared" si="65"/>
        <v/>
      </c>
      <c r="N375" s="108">
        <v>384</v>
      </c>
      <c r="O375" s="108" t="str">
        <f>IF(INVOICE!$N$16="MANUAL",IF(B375&lt;&gt;"",C375,""),IF(INVOICE!$N$16="AUTOMATE",IF(A375&lt;&gt;"",C375,""),""))</f>
        <v>Top Cable AC solar cable 5x4mm2 RV-K 0.6/1KV</v>
      </c>
      <c r="AO375" s="108">
        <f>IF(INVOICE!$N$16="MANUAL",IFERROR(AM375*B375,""),IF(INVOICE!$N$16="AUTOMATE",IFERROR(AM375*A375,""),""))</f>
        <v>0</v>
      </c>
      <c r="AV375" s="108">
        <f t="shared" si="66"/>
        <v>0</v>
      </c>
    </row>
    <row r="376" spans="1:48">
      <c r="A376" s="108" t="str">
        <f>IF(IF(OR('CABLE SIZING TOOL'!D$45=6,'CABLE SIZING TOOL'!J$45=6),IF('CABLE SIZING TOOL'!D$45=6,'Customer Base'!D$32*'Customer Base'!D$15,0)+IF('CABLE SIZING TOOL'!J$45=6,IF(AND('Customer Base'!D$15=1,'Customer Base'!D$9=1),0,IF(OR('Customer Base'!D$15&gt;1,'Customer Base'!D$9=3),ROUNDUP('Customer Base'!D$32*0.5,0),0))),"")=0,"",IF(OR('CABLE SIZING TOOL'!D$45=6,'CABLE SIZING TOOL'!J$45=6),IF('CABLE SIZING TOOL'!D$45=6,'Customer Base'!D$32*'Customer Base'!D$15,0)+IF('CABLE SIZING TOOL'!J$45=6,IF(AND('Customer Base'!D$15=1,'Customer Base'!D$9=1),0,IF(OR('Customer Base'!D$15&gt;1,'Customer Base'!D$9=3),ROUNDUP('Customer Base'!D$32*0.5,0),0))),""))</f>
        <v/>
      </c>
      <c r="C376" s="258" t="s">
        <v>1141</v>
      </c>
      <c r="D376" s="330">
        <v>15.73</v>
      </c>
      <c r="E376" s="330">
        <v>14.45</v>
      </c>
      <c r="F376" s="260">
        <f t="shared" ref="F376:F398" si="67">$D376/1.219</f>
        <v>12.904019688269072</v>
      </c>
      <c r="G376" s="260">
        <f>IFERROR(ROUNDUP(F376*INVOICE!$O$6,2),0)</f>
        <v>215.5</v>
      </c>
      <c r="H376" s="260">
        <f t="shared" ref="H376:H398" si="68">$E376/1.219</f>
        <v>11.853978671041837</v>
      </c>
      <c r="I376" s="260">
        <f>IFERROR(ROUNDUP(H376*INVOICE!$O$6,2),0)</f>
        <v>197.97</v>
      </c>
      <c r="J376" s="108" t="str">
        <f t="shared" si="64"/>
        <v/>
      </c>
      <c r="L376" s="108" t="str">
        <f t="shared" si="65"/>
        <v/>
      </c>
      <c r="N376" s="108">
        <v>385</v>
      </c>
      <c r="O376" s="108" t="str">
        <f>IF(INVOICE!$N$16="MANUAL",IF(B376&lt;&gt;"",C376,""),IF(INVOICE!$N$16="AUTOMATE",IF(A376&lt;&gt;"",C376,""),""))</f>
        <v/>
      </c>
      <c r="AO376" s="108" t="str">
        <f>IF(INVOICE!$N$16="MANUAL",IFERROR(AM376*B376,""),IF(INVOICE!$N$16="AUTOMATE",IFERROR(AM376*A376,""),""))</f>
        <v/>
      </c>
      <c r="AV376" s="108">
        <f t="shared" si="66"/>
        <v>0</v>
      </c>
    </row>
    <row r="377" spans="1:48">
      <c r="A377" s="108" t="str">
        <f>IF(IF(OR('CABLE SIZING TOOL'!D$45=10,'CABLE SIZING TOOL'!J$45=10),IF('CABLE SIZING TOOL'!D$45=10,'Customer Base'!D$32*'Customer Base'!D$15,0)+IF('CABLE SIZING TOOL'!J$45=10,IF(AND('Customer Base'!D$15=1,'Customer Base'!D$9=1),0,IF(OR('Customer Base'!D$15&gt;1,'Customer Base'!D$9=3),ROUNDUP('Customer Base'!D$32*0.5,0),0))),"")=0,"",IF(OR('CABLE SIZING TOOL'!D$45=10,'CABLE SIZING TOOL'!J$45=10),IF('CABLE SIZING TOOL'!D$45=10,'Customer Base'!D$32*'Customer Base'!D$15,0)+IF('CABLE SIZING TOOL'!J$45=10,IF(AND('Customer Base'!D$15=1,'Customer Base'!D$9=1),0,IF(OR('Customer Base'!D$15&gt;1,'Customer Base'!D$9=3),ROUNDUP('Customer Base'!D$32*0.5,0),0))),""))</f>
        <v/>
      </c>
      <c r="C377" s="258" t="s">
        <v>1142</v>
      </c>
      <c r="D377" s="330">
        <v>23.96</v>
      </c>
      <c r="E377" s="330">
        <v>22.015000000000001</v>
      </c>
      <c r="F377" s="260">
        <f t="shared" si="67"/>
        <v>19.655455291222314</v>
      </c>
      <c r="G377" s="260">
        <f>IFERROR(ROUNDUP(F377*INVOICE!$O$6,2),0)</f>
        <v>328.25</v>
      </c>
      <c r="H377" s="260">
        <f t="shared" si="68"/>
        <v>18.059885151763741</v>
      </c>
      <c r="I377" s="260">
        <f>IFERROR(ROUNDUP(H377*INVOICE!$O$6,2),0)</f>
        <v>301.61</v>
      </c>
      <c r="J377" s="108" t="str">
        <f t="shared" si="64"/>
        <v/>
      </c>
      <c r="L377" s="108" t="str">
        <f t="shared" si="65"/>
        <v/>
      </c>
      <c r="N377" s="108">
        <v>386</v>
      </c>
      <c r="O377" s="108" t="str">
        <f>IF(INVOICE!$N$16="MANUAL",IF(B377&lt;&gt;"",C377,""),IF(INVOICE!$N$16="AUTOMATE",IF(A377&lt;&gt;"",C377,""),""))</f>
        <v/>
      </c>
      <c r="AO377" s="108" t="str">
        <f>IF(INVOICE!$N$16="MANUAL",IFERROR(AM377*B377,""),IF(INVOICE!$N$16="AUTOMATE",IFERROR(AM377*A377,""),""))</f>
        <v/>
      </c>
      <c r="AV377" s="108">
        <f t="shared" si="66"/>
        <v>0</v>
      </c>
    </row>
    <row r="378" spans="1:48">
      <c r="A378" s="108" t="str">
        <f>IF(IF(OR('CABLE SIZING TOOL'!D$45=16,'CABLE SIZING TOOL'!J$45=16),IF('CABLE SIZING TOOL'!D$45=16,'Customer Base'!D$32*'Customer Base'!D$15,0)+IF('CABLE SIZING TOOL'!J$45=16,IF(AND('Customer Base'!D$15=1,'Customer Base'!D$9=1),0,IF(OR('Customer Base'!D$15&gt;1,'Customer Base'!D$9=3),ROUNDUP('Customer Base'!D$32*0.5,0),0))),"")=0,"",IF(OR('CABLE SIZING TOOL'!D$45=16,'CABLE SIZING TOOL'!J$45=16),IF('CABLE SIZING TOOL'!D$45=16,'Customer Base'!D$32*'Customer Base'!D$15,0)+IF('CABLE SIZING TOOL'!J$45=16,IF(AND('Customer Base'!D$15=1,'Customer Base'!D$9=1),0,IF(OR('Customer Base'!D$15&gt;1,'Customer Base'!D$9=3),ROUNDUP('Customer Base'!D$32*0.5,0),0))),""))</f>
        <v/>
      </c>
      <c r="C378" s="258" t="s">
        <v>1138</v>
      </c>
      <c r="D378" s="330">
        <v>25.44</v>
      </c>
      <c r="E378" s="330">
        <v>23.375</v>
      </c>
      <c r="F378" s="260">
        <f t="shared" si="67"/>
        <v>20.869565217391305</v>
      </c>
      <c r="G378" s="260">
        <f>IFERROR(ROUNDUP(F378*INVOICE!$O$6,2),0)</f>
        <v>348.53</v>
      </c>
      <c r="H378" s="260">
        <f t="shared" si="68"/>
        <v>19.175553732567678</v>
      </c>
      <c r="I378" s="260">
        <f>IFERROR(ROUNDUP(H378*INVOICE!$O$6,2),0)</f>
        <v>320.24</v>
      </c>
      <c r="J378" s="108" t="str">
        <f t="shared" si="64"/>
        <v/>
      </c>
      <c r="L378" s="108" t="str">
        <f t="shared" si="65"/>
        <v/>
      </c>
      <c r="N378" s="108">
        <v>387</v>
      </c>
      <c r="O378" s="108" t="str">
        <f>IF(INVOICE!$N$16="MANUAL",IF(B378&lt;&gt;"",C378,""),IF(INVOICE!$N$16="AUTOMATE",IF(A378&lt;&gt;"",C378,""),""))</f>
        <v/>
      </c>
      <c r="AO378" s="108" t="str">
        <f>IF(INVOICE!$N$16="MANUAL",IFERROR(AM378*B378,""),IF(INVOICE!$N$16="AUTOMATE",IFERROR(AM378*A378,""),""))</f>
        <v/>
      </c>
      <c r="AV378" s="108">
        <f t="shared" si="66"/>
        <v>0</v>
      </c>
    </row>
    <row r="379" spans="1:48">
      <c r="A379" s="108" t="str">
        <f>IF(IF(OR('CABLE SIZING TOOL'!D$45=25,'CABLE SIZING TOOL'!J$45=25),IF('CABLE SIZING TOOL'!D$45=25,'Customer Base'!D$32*'Customer Base'!D$15,0)+IF('CABLE SIZING TOOL'!J$45=25,IF(AND('Customer Base'!D$15=1,'Customer Base'!D$9=1),0,IF(OR('Customer Base'!D$15&gt;1,'Customer Base'!D$9=3),ROUNDUP('Customer Base'!D$32*0.5,0),0))),"")=0,"",IF(OR('CABLE SIZING TOOL'!D$45=25,'CABLE SIZING TOOL'!J$45=25),IF('CABLE SIZING TOOL'!D$45=25,'Customer Base'!D$32*'Customer Base'!D$15,0)+IF('CABLE SIZING TOOL'!J$45=25,IF(AND('Customer Base'!D$15=1,'Customer Base'!D$9=1),0,IF(OR('Customer Base'!D$15&gt;1,'Customer Base'!D$9=3),ROUNDUP('Customer Base'!D$32*0.5,0),0))),""))</f>
        <v/>
      </c>
      <c r="C379" s="258" t="s">
        <v>1139</v>
      </c>
      <c r="D379" s="330">
        <v>28.68</v>
      </c>
      <c r="E379" s="330">
        <v>27.13</v>
      </c>
      <c r="F379" s="260">
        <f t="shared" si="67"/>
        <v>23.527481542247742</v>
      </c>
      <c r="G379" s="260">
        <f>IFERROR(ROUNDUP(F379*INVOICE!$O$6,2),0)</f>
        <v>392.90999999999997</v>
      </c>
      <c r="H379" s="260">
        <f t="shared" si="68"/>
        <v>22.255947497949137</v>
      </c>
      <c r="I379" s="260">
        <f>IFERROR(ROUNDUP(H379*INVOICE!$O$6,2),0)</f>
        <v>371.68</v>
      </c>
      <c r="J379" s="108" t="str">
        <f t="shared" si="64"/>
        <v/>
      </c>
      <c r="L379" s="108" t="str">
        <f t="shared" si="65"/>
        <v/>
      </c>
      <c r="N379" s="108">
        <v>388</v>
      </c>
      <c r="O379" s="108" t="str">
        <f>IF(INVOICE!$N$16="MANUAL",IF(B379&lt;&gt;"",C379,""),IF(INVOICE!$N$16="AUTOMATE",IF(A379&lt;&gt;"",C379,""),""))</f>
        <v/>
      </c>
      <c r="AO379" s="108" t="str">
        <f>IF(INVOICE!$N$16="MANUAL",IFERROR(AM379*B379,""),IF(INVOICE!$N$16="AUTOMATE",IFERROR(AM379*A379,""),""))</f>
        <v/>
      </c>
      <c r="AV379" s="108">
        <f t="shared" si="66"/>
        <v>0</v>
      </c>
    </row>
    <row r="380" spans="1:48">
      <c r="A380" s="108" t="str">
        <f>IF(IF(OR('CABLE SIZING TOOL'!D$45=35,'CABLE SIZING TOOL'!J$45=35),IF('CABLE SIZING TOOL'!D$45=35,'Customer Base'!D$32*'Customer Base'!D$15,0)+IF('CABLE SIZING TOOL'!J$45=35,IF(AND('Customer Base'!D$15=1,'Customer Base'!D$9=1),0,IF(OR('Customer Base'!D$15&gt;1,'Customer Base'!D$9=3),ROUNDUP('Customer Base'!D$32*0.5,0),0))),"")=0,"",IF(OR('CABLE SIZING TOOL'!D$45=35,'CABLE SIZING TOOL'!J$45=35),IF('CABLE SIZING TOOL'!D$45=35,'Customer Base'!D$32*'Customer Base'!D$15,0)+IF('CABLE SIZING TOOL'!J$45=35,IF(AND('Customer Base'!D$15=1,'Customer Base'!D$9=1),0,IF(OR('Customer Base'!D$15&gt;1,'Customer Base'!D$9=3),ROUNDUP('Customer Base'!D$32*0.5,0),0))),""))</f>
        <v/>
      </c>
      <c r="C380" s="258" t="s">
        <v>1153</v>
      </c>
      <c r="D380" s="330">
        <v>40</v>
      </c>
      <c r="E380" s="330">
        <v>40</v>
      </c>
      <c r="F380" s="260">
        <f t="shared" si="67"/>
        <v>32.813781788351108</v>
      </c>
      <c r="G380" s="260">
        <f>IFERROR(ROUNDUP(F380*INVOICE!$O$6,2),0)</f>
        <v>548</v>
      </c>
      <c r="H380" s="260">
        <f t="shared" si="68"/>
        <v>32.813781788351108</v>
      </c>
      <c r="I380" s="260">
        <f>IFERROR(ROUNDUP(H380*INVOICE!$O$6,2),0)</f>
        <v>548</v>
      </c>
      <c r="J380" s="108" t="str">
        <f t="shared" si="64"/>
        <v/>
      </c>
      <c r="L380" s="108" t="str">
        <f t="shared" si="65"/>
        <v/>
      </c>
      <c r="N380" s="108">
        <v>389</v>
      </c>
      <c r="O380" s="108" t="str">
        <f>IF(INVOICE!$N$16="MANUAL",IF(B380&lt;&gt;"",C380,""),IF(INVOICE!$N$16="AUTOMATE",IF(A380&lt;&gt;"",C380,""),""))</f>
        <v/>
      </c>
      <c r="AO380" s="108" t="str">
        <f>IF(INVOICE!$N$16="MANUAL",IFERROR(AM380*B380,""),IF(INVOICE!$N$16="AUTOMATE",IFERROR(AM380*A380,""),""))</f>
        <v/>
      </c>
      <c r="AV380" s="108">
        <f t="shared" si="66"/>
        <v>0</v>
      </c>
    </row>
    <row r="381" spans="1:48">
      <c r="A381" s="108" t="str">
        <f>IF(IF(OR('CABLE SIZING TOOL'!D$45=50,'CABLE SIZING TOOL'!J$45=50),IF('CABLE SIZING TOOL'!D$45=50,'Customer Base'!D$32*'Customer Base'!D$15,0)+IF('CABLE SIZING TOOL'!J$45=50,IF(AND('Customer Base'!D$15=1,'Customer Base'!D$9=1),0,IF(OR('Customer Base'!D$15&gt;1,'Customer Base'!D$9=3),ROUNDUP('Customer Base'!D$32*0.5,0),0))),"")=0,"",IF(OR('CABLE SIZING TOOL'!D$45=50,'CABLE SIZING TOOL'!J$45=50),IF('CABLE SIZING TOOL'!D$45=50,'Customer Base'!D$32*'Customer Base'!D$15,0)+IF('CABLE SIZING TOOL'!J$45=50,IF(AND('Customer Base'!D$15=1,'Customer Base'!D$9=1),0,IF(OR('Customer Base'!D$15&gt;1,'Customer Base'!D$9=3),ROUNDUP('Customer Base'!D$32*0.5,0),0))),""))</f>
        <v/>
      </c>
      <c r="C381" s="258" t="s">
        <v>1154</v>
      </c>
      <c r="D381" s="330">
        <v>40</v>
      </c>
      <c r="E381" s="330">
        <v>40</v>
      </c>
      <c r="F381" s="260">
        <f t="shared" si="67"/>
        <v>32.813781788351108</v>
      </c>
      <c r="G381" s="260">
        <f>IFERROR(ROUNDUP(F381*INVOICE!$O$6,2),0)</f>
        <v>548</v>
      </c>
      <c r="H381" s="260">
        <f t="shared" si="68"/>
        <v>32.813781788351108</v>
      </c>
      <c r="I381" s="260">
        <f>IFERROR(ROUNDUP(H381*INVOICE!$O$6,2),0)</f>
        <v>548</v>
      </c>
      <c r="J381" s="108" t="str">
        <f t="shared" si="64"/>
        <v/>
      </c>
      <c r="L381" s="108" t="str">
        <f t="shared" si="65"/>
        <v/>
      </c>
      <c r="N381" s="108">
        <v>390</v>
      </c>
      <c r="O381" s="108" t="str">
        <f>IF(INVOICE!$N$16="MANUAL",IF(B381&lt;&gt;"",C381,""),IF(INVOICE!$N$16="AUTOMATE",IF(A381&lt;&gt;"",C381,""),""))</f>
        <v/>
      </c>
      <c r="AO381" s="108" t="str">
        <f>IF(INVOICE!$N$16="MANUAL",IFERROR(AM381*B381,""),IF(INVOICE!$N$16="AUTOMATE",IFERROR(AM381*A381,""),""))</f>
        <v/>
      </c>
      <c r="AV381" s="108">
        <f t="shared" si="66"/>
        <v>0</v>
      </c>
    </row>
    <row r="382" spans="1:48">
      <c r="C382" s="258" t="s">
        <v>1155</v>
      </c>
      <c r="D382" s="330">
        <v>40</v>
      </c>
      <c r="E382" s="330">
        <v>40</v>
      </c>
      <c r="F382" s="260">
        <f t="shared" si="67"/>
        <v>32.813781788351108</v>
      </c>
      <c r="G382" s="260">
        <f>IFERROR(ROUNDUP(F382*INVOICE!$O$6,2),0)</f>
        <v>548</v>
      </c>
      <c r="H382" s="260">
        <f t="shared" si="68"/>
        <v>32.813781788351108</v>
      </c>
      <c r="I382" s="260">
        <f>IFERROR(ROUNDUP(H382*INVOICE!$O$6,2),0)</f>
        <v>548</v>
      </c>
      <c r="J382" s="108" t="str">
        <f t="shared" si="64"/>
        <v/>
      </c>
      <c r="L382" s="108" t="str">
        <f t="shared" si="65"/>
        <v/>
      </c>
      <c r="N382" s="108">
        <v>391</v>
      </c>
      <c r="O382" s="108" t="str">
        <f>IF(INVOICE!$N$16="MANUAL",IF(B382&lt;&gt;"",C382,""),IF(INVOICE!$N$16="AUTOMATE",IF(A382&lt;&gt;"",C382,""),""))</f>
        <v/>
      </c>
      <c r="AO382" s="108">
        <f>IF(INVOICE!$N$16="MANUAL",IFERROR(AM382*B382,""),IF(INVOICE!$N$16="AUTOMATE",IFERROR(AM382*A382,""),""))</f>
        <v>0</v>
      </c>
      <c r="AV382" s="108">
        <f t="shared" si="66"/>
        <v>0</v>
      </c>
    </row>
    <row r="383" spans="1:48">
      <c r="A383" s="108" t="str">
        <f>IF(IF(OR('CABLE SIZING TOOL'!D$45=70,'CABLE SIZING TOOL'!J$45=70),IF('CABLE SIZING TOOL'!D$45=70,'Customer Base'!D$32*'Customer Base'!D$15*5,0)+IF('CABLE SIZING TOOL'!J$45=70,IF(AND('Customer Base'!D$15=1,'Customer Base'!D$9=1),0,IF(OR('Customer Base'!D$15&gt;1,'Customer Base'!D$9=3),ROUNDUP('Customer Base'!D$32*0.5*5,0),0))),"")=0,"",IF(OR('CABLE SIZING TOOL'!D$45=70,'CABLE SIZING TOOL'!J$45=70),IF('CABLE SIZING TOOL'!D$45=70,'Customer Base'!D$32*'Customer Base'!D$15*5,0)+IF('CABLE SIZING TOOL'!J$45=70,IF(AND('Customer Base'!D$15=1,'Customer Base'!D$9=1),0,IF(OR('Customer Base'!D$15&gt;1,'Customer Base'!D$9=3),ROUNDUP('Customer Base'!D$32*0.5*5,0),0))),""))</f>
        <v/>
      </c>
      <c r="C383" s="258" t="s">
        <v>1859</v>
      </c>
      <c r="D383" s="330">
        <v>42</v>
      </c>
      <c r="E383" s="330">
        <v>42</v>
      </c>
      <c r="F383" s="260">
        <f t="shared" si="67"/>
        <v>34.454470877768664</v>
      </c>
      <c r="G383" s="260">
        <f>IFERROR(ROUNDUP(F383*INVOICE!$O$6,2),0)</f>
        <v>575.39</v>
      </c>
      <c r="H383" s="260">
        <f t="shared" si="68"/>
        <v>34.454470877768664</v>
      </c>
      <c r="I383" s="260">
        <f>IFERROR(ROUNDUP(H383*INVOICE!$O$6,2),0)</f>
        <v>575.39</v>
      </c>
      <c r="J383" s="108" t="str">
        <f t="shared" si="64"/>
        <v/>
      </c>
      <c r="L383" s="108" t="str">
        <f t="shared" si="65"/>
        <v/>
      </c>
      <c r="N383" s="108">
        <v>392</v>
      </c>
      <c r="O383" s="108" t="str">
        <f>IF(INVOICE!$N$16="MANUAL",IF(B383&lt;&gt;"",C383,""),IF(INVOICE!$N$16="AUTOMATE",IF(A383&lt;&gt;"",C383,""),""))</f>
        <v/>
      </c>
      <c r="AO383" s="108" t="str">
        <f>IF(INVOICE!$N$16="MANUAL",IFERROR(AM383*B383,""),IF(INVOICE!$N$16="AUTOMATE",IFERROR(AM383*A383,""),""))</f>
        <v/>
      </c>
      <c r="AV383" s="108">
        <f t="shared" si="66"/>
        <v>0</v>
      </c>
    </row>
    <row r="384" spans="1:48">
      <c r="A384" s="108" t="str">
        <f>IF(IF(OR('CABLE SIZING TOOL'!D$45=95,'CABLE SIZING TOOL'!J$45=95),IF('CABLE SIZING TOOL'!D$45=95,'Customer Base'!D$32*'Customer Base'!D$15*5,0)+IF('CABLE SIZING TOOL'!J$45=95,IF(AND('Customer Base'!D$15=1,'Customer Base'!D$9=1),0,IF(OR('Customer Base'!D$15&gt;1,'Customer Base'!D$9=3),ROUNDUP('Customer Base'!D$32*0.5*5,0),0))),"")=0,"",IF(OR('CABLE SIZING TOOL'!D$45=95,'CABLE SIZING TOOL'!J$45=95),IF('CABLE SIZING TOOL'!D$45=95,'Customer Base'!D$32*'Customer Base'!D$15*5,0)+IF('CABLE SIZING TOOL'!J$45=95,IF(AND('Customer Base'!D$15=1,'Customer Base'!D$9=1),0,IF(OR('Customer Base'!D$15&gt;1,'Customer Base'!D$9=3),ROUNDUP('Customer Base'!D$32*0.5*5,0),0))),""))</f>
        <v/>
      </c>
      <c r="C384" s="258" t="s">
        <v>1158</v>
      </c>
      <c r="D384" s="330">
        <v>48.75</v>
      </c>
      <c r="E384" s="330">
        <v>48.75</v>
      </c>
      <c r="F384" s="260">
        <f t="shared" si="67"/>
        <v>39.991796554552913</v>
      </c>
      <c r="G384" s="260">
        <f>IFERROR(ROUNDUP(F384*INVOICE!$O$6,2),0)</f>
        <v>667.87</v>
      </c>
      <c r="H384" s="260">
        <f t="shared" si="68"/>
        <v>39.991796554552913</v>
      </c>
      <c r="I384" s="260">
        <f>IFERROR(ROUNDUP(H384*INVOICE!$O$6,2),0)</f>
        <v>667.87</v>
      </c>
      <c r="J384" s="108" t="str">
        <f t="shared" si="64"/>
        <v/>
      </c>
      <c r="L384" s="108" t="str">
        <f t="shared" si="65"/>
        <v/>
      </c>
      <c r="N384" s="108">
        <v>393</v>
      </c>
      <c r="O384" s="108" t="str">
        <f>IF(INVOICE!$N$16="MANUAL",IF(B384&lt;&gt;"",C384,""),IF(INVOICE!$N$16="AUTOMATE",IF(A384&lt;&gt;"",C384,""),""))</f>
        <v/>
      </c>
      <c r="AO384" s="108" t="str">
        <f>IF(INVOICE!$N$16="MANUAL",IFERROR(AM384*B384,""),IF(INVOICE!$N$16="AUTOMATE",IFERROR(AM384*A384,""),""))</f>
        <v/>
      </c>
      <c r="AV384" s="108">
        <f t="shared" si="66"/>
        <v>0</v>
      </c>
    </row>
    <row r="385" spans="1:48">
      <c r="A385" s="108" t="str">
        <f>IF(IF(OR('CABLE SIZING TOOL'!D$45=120,'CABLE SIZING TOOL'!J$45=120),IF('CABLE SIZING TOOL'!D$45=120,'Customer Base'!D$32*'Customer Base'!D$15*5,0)+IF('CABLE SIZING TOOL'!J$45=120,IF(AND('Customer Base'!D$15=1,'Customer Base'!D$9=1),0,IF(OR('Customer Base'!D$15&gt;1,'Customer Base'!D$9=3),ROUNDUP('Customer Base'!D$32*0.5*5,0),0))),"")=0,"",IF(OR('CABLE SIZING TOOL'!D$45=120,'CABLE SIZING TOOL'!J$45=120),IF('CABLE SIZING TOOL'!D$45=120,'Customer Base'!D$32*'Customer Base'!D$15*5,0)+IF('CABLE SIZING TOOL'!J$45=120,IF(AND('Customer Base'!D$15=1,'Customer Base'!D$9=1),0,IF(OR('Customer Base'!D$15&gt;1,'Customer Base'!D$9=3),ROUNDUP('Customer Base'!D$32*0.5*5,0),0))),""))</f>
        <v/>
      </c>
      <c r="C385" s="258" t="s">
        <v>1280</v>
      </c>
      <c r="D385" s="330">
        <v>65.45</v>
      </c>
      <c r="E385" s="330">
        <v>65.45</v>
      </c>
      <c r="F385" s="260">
        <f t="shared" si="67"/>
        <v>53.691550451189499</v>
      </c>
      <c r="G385" s="260">
        <f>IFERROR(ROUNDUP(F385*INVOICE!$O$6,2),0)</f>
        <v>896.65</v>
      </c>
      <c r="H385" s="260">
        <f t="shared" si="68"/>
        <v>53.691550451189499</v>
      </c>
      <c r="I385" s="260">
        <f>IFERROR(ROUNDUP(H385*INVOICE!$O$6,2),0)</f>
        <v>896.65</v>
      </c>
      <c r="J385" s="108" t="str">
        <f t="shared" si="64"/>
        <v/>
      </c>
      <c r="L385" s="108" t="str">
        <f t="shared" si="65"/>
        <v/>
      </c>
      <c r="N385" s="108">
        <v>394</v>
      </c>
      <c r="O385" s="108" t="str">
        <f>IF(INVOICE!$N$16="MANUAL",IF(B385&lt;&gt;"",C385,""),IF(INVOICE!$N$16="AUTOMATE",IF(A385&lt;&gt;"",C385,""),""))</f>
        <v/>
      </c>
      <c r="AO385" s="108" t="str">
        <f>IF(INVOICE!$N$16="MANUAL",IFERROR(AM385*B385,""),IF(INVOICE!$N$16="AUTOMATE",IFERROR(AM385*A385,""),""))</f>
        <v/>
      </c>
      <c r="AV385" s="108">
        <f t="shared" si="66"/>
        <v>0</v>
      </c>
    </row>
    <row r="386" spans="1:48">
      <c r="A386" s="108" t="str">
        <f>IF(IF(OR('CABLE SIZING TOOL'!D$45=150,'CABLE SIZING TOOL'!J$45=150),IF('CABLE SIZING TOOL'!D$45=150,'Customer Base'!D$32*'Customer Base'!D$15*5,0)+IF('CABLE SIZING TOOL'!J$45=150,IF(AND('Customer Base'!D$15=1,'Customer Base'!D$9=1),0,IF(OR('Customer Base'!D$15&gt;1,'Customer Base'!D$9=3),ROUNDUP('Customer Base'!D$32*0.5*5,0),0))),"")=0,"",IF(OR('CABLE SIZING TOOL'!D$45=150,'CABLE SIZING TOOL'!J$45=150),IF('CABLE SIZING TOOL'!D$45=150,'Customer Base'!D$32*'Customer Base'!D$15*5,0)+IF('CABLE SIZING TOOL'!J$45=150,IF(AND('Customer Base'!D$15=1,'Customer Base'!D$9=1),0,IF(OR('Customer Base'!D$15&gt;1,'Customer Base'!D$9=3),ROUNDUP('Customer Base'!D$32*0.5*5,0),0))),""))</f>
        <v/>
      </c>
      <c r="C386" s="258" t="s">
        <v>1800</v>
      </c>
      <c r="D386" s="330">
        <v>85</v>
      </c>
      <c r="E386" s="330">
        <v>85</v>
      </c>
      <c r="F386" s="260">
        <f t="shared" si="67"/>
        <v>69.729286300246102</v>
      </c>
      <c r="G386" s="260">
        <f>IFERROR(ROUNDUP(F386*INVOICE!$O$6,2),0)</f>
        <v>1164.48</v>
      </c>
      <c r="H386" s="260">
        <f t="shared" si="68"/>
        <v>69.729286300246102</v>
      </c>
      <c r="I386" s="260">
        <f>IFERROR(ROUNDUP(H386*INVOICE!$O$6,2),0)</f>
        <v>1164.48</v>
      </c>
      <c r="J386" s="108" t="str">
        <f t="shared" si="64"/>
        <v/>
      </c>
      <c r="L386" s="108" t="str">
        <f t="shared" si="65"/>
        <v/>
      </c>
      <c r="N386" s="108">
        <v>395</v>
      </c>
      <c r="O386" s="108" t="str">
        <f>IF(INVOICE!$N$16="MANUAL",IF(B386&lt;&gt;"",C386,""),IF(INVOICE!$N$16="AUTOMATE",IF(A386&lt;&gt;"",C386,""),""))</f>
        <v/>
      </c>
      <c r="AO386" s="108" t="str">
        <f>IF(INVOICE!$N$16="MANUAL",IFERROR(AM386*B386,""),IF(INVOICE!$N$16="AUTOMATE",IFERROR(AM386*A386,""),""))</f>
        <v/>
      </c>
      <c r="AV386" s="108">
        <f t="shared" si="66"/>
        <v>0</v>
      </c>
    </row>
    <row r="387" spans="1:48">
      <c r="A387" s="108" t="str">
        <f>IF(IF(OR('CABLE SIZING TOOL'!D$45=185,'CABLE SIZING TOOL'!J$45=185),IF('CABLE SIZING TOOL'!D$45=185,'Customer Base'!D$32*'Customer Base'!D$15*5,0)+IF('CABLE SIZING TOOL'!J$45=185,IF(AND('Customer Base'!D$15=1,'Customer Base'!D$9=1),0,IF(OR('Customer Base'!D$15&gt;1,'Customer Base'!D$9=3),ROUNDUP('Customer Base'!D$32*0.5*5,0),0))),"")=0,"",IF(OR('CABLE SIZING TOOL'!D$45=185,'CABLE SIZING TOOL'!J$45=185),IF('CABLE SIZING TOOL'!D$45=185,'Customer Base'!D$32*'Customer Base'!D$15*5,0)+IF('CABLE SIZING TOOL'!J$45=185,IF(AND('Customer Base'!D$15=1,'Customer Base'!D$9=1),0,IF(OR('Customer Base'!D$15&gt;1,'Customer Base'!D$9=3),ROUNDUP('Customer Base'!D$32*0.5*5,0),0))),""))</f>
        <v/>
      </c>
      <c r="C387" s="258" t="s">
        <v>2618</v>
      </c>
      <c r="D387" s="330">
        <v>100</v>
      </c>
      <c r="E387" s="330">
        <v>100</v>
      </c>
      <c r="F387" s="260">
        <f t="shared" si="67"/>
        <v>82.034454470877762</v>
      </c>
      <c r="G387" s="260">
        <f>IFERROR(ROUNDUP(F387*INVOICE!$O$6,2),0)</f>
        <v>1369.98</v>
      </c>
      <c r="H387" s="260">
        <f t="shared" si="68"/>
        <v>82.034454470877762</v>
      </c>
      <c r="I387" s="260">
        <f>IFERROR(ROUNDUP(H387*INVOICE!$O$6,2),0)</f>
        <v>1369.98</v>
      </c>
      <c r="J387" s="108" t="str">
        <f t="shared" si="64"/>
        <v/>
      </c>
      <c r="L387" s="108" t="str">
        <f t="shared" si="65"/>
        <v/>
      </c>
      <c r="N387" s="108">
        <v>396</v>
      </c>
      <c r="O387" s="108" t="str">
        <f>IF(INVOICE!$N$16="MANUAL",IF(B387&lt;&gt;"",C387,""),IF(INVOICE!$N$16="AUTOMATE",IF(A387&lt;&gt;"",C387,""),""))</f>
        <v/>
      </c>
      <c r="AO387" s="108" t="str">
        <f>IF(INVOICE!$N$16="MANUAL",IFERROR(AM387*B387,""),IF(INVOICE!$N$16="AUTOMATE",IFERROR(AM387*A387,""),""))</f>
        <v/>
      </c>
    </row>
    <row r="388" spans="1:48">
      <c r="A388" s="108" t="str">
        <f>IF(IF(OR('CABLE SIZING TOOL'!D$45=240,'CABLE SIZING TOOL'!J$45=240),IF('CABLE SIZING TOOL'!D$45=240,'Customer Base'!D$32*'Customer Base'!D$15*5,0)+IF('CABLE SIZING TOOL'!J$45=240,IF(AND('Customer Base'!D$15=1,'Customer Base'!D$9=1),0,IF(OR('Customer Base'!D$15&gt;1,'Customer Base'!D$9=3),ROUNDUP('Customer Base'!D$32*0.5*5,0),0))),"")=0,"",IF(OR('CABLE SIZING TOOL'!D$45=240,'CABLE SIZING TOOL'!J$45=240),IF('CABLE SIZING TOOL'!D$45=240,'Customer Base'!D$32*'Customer Base'!D$15*5,0)+IF('CABLE SIZING TOOL'!J$45=240,IF(AND('Customer Base'!D$15=1,'Customer Base'!D$9=1),0,IF(OR('Customer Base'!D$15&gt;1,'Customer Base'!D$9=3),ROUNDUP('Customer Base'!D$32*0.5*5,0),0))),""))</f>
        <v/>
      </c>
      <c r="C388" s="258" t="s">
        <v>1637</v>
      </c>
      <c r="D388" s="330">
        <v>125</v>
      </c>
      <c r="E388" s="330">
        <v>125</v>
      </c>
      <c r="F388" s="260">
        <f t="shared" si="67"/>
        <v>102.54306808859721</v>
      </c>
      <c r="G388" s="260">
        <f>IFERROR(ROUNDUP(F388*INVOICE!$O$6,2),0)</f>
        <v>1712.47</v>
      </c>
      <c r="H388" s="260">
        <f t="shared" si="68"/>
        <v>102.54306808859721</v>
      </c>
      <c r="I388" s="260">
        <f>IFERROR(ROUNDUP(H388*INVOICE!$O$6,2),0)</f>
        <v>1712.47</v>
      </c>
      <c r="J388" s="108" t="str">
        <f t="shared" si="64"/>
        <v/>
      </c>
      <c r="L388" s="108" t="str">
        <f t="shared" si="65"/>
        <v/>
      </c>
      <c r="N388" s="108">
        <v>397</v>
      </c>
      <c r="O388" s="108" t="str">
        <f>IF(INVOICE!$N$16="MANUAL",IF(B388&lt;&gt;"",C388,""),IF(INVOICE!$N$16="AUTOMATE",IF(A388&lt;&gt;"",C388,""),""))</f>
        <v/>
      </c>
      <c r="AO388" s="108" t="str">
        <f>IF(INVOICE!$N$16="MANUAL",IFERROR(AM388*B388,""),IF(INVOICE!$N$16="AUTOMATE",IFERROR(AM388*A388,""),""))</f>
        <v/>
      </c>
      <c r="AV388" s="108">
        <f t="shared" si="66"/>
        <v>0</v>
      </c>
    </row>
    <row r="389" spans="1:48">
      <c r="A389" s="108" t="str">
        <f>IF(IF(OR('CABLE SIZING TOOL'!D$45=300,'CABLE SIZING TOOL'!J$45=300),IF('CABLE SIZING TOOL'!D$45=300,'Customer Base'!D$32*'Customer Base'!D$15*5,0)+IF('CABLE SIZING TOOL'!J$45=300,IF(AND('Customer Base'!D$15=1,'Customer Base'!D$9=1),0,IF(OR('Customer Base'!D$15&gt;1,'Customer Base'!D$9=3),ROUNDUP('Customer Base'!D$32*0.5*5,0),0))),"")=0,"",IF(OR('CABLE SIZING TOOL'!D$45=300,'CABLE SIZING TOOL'!J$45=300),IF('CABLE SIZING TOOL'!D$45=300,'Customer Base'!D$32*'Customer Base'!D$15*5,0)+IF('CABLE SIZING TOOL'!J$45=300,IF(AND('Customer Base'!D$15=1,'Customer Base'!D$9=1),0,IF(OR('Customer Base'!D$15&gt;1,'Customer Base'!D$9=3),ROUNDUP('Customer Base'!D$32*0.5*5,0),0))),""))</f>
        <v/>
      </c>
      <c r="C389" s="258" t="s">
        <v>1159</v>
      </c>
      <c r="D389" s="330">
        <v>140</v>
      </c>
      <c r="E389" s="330">
        <v>140</v>
      </c>
      <c r="F389" s="260">
        <f t="shared" si="67"/>
        <v>114.84823625922887</v>
      </c>
      <c r="G389" s="260">
        <f>IFERROR(ROUNDUP(F389*INVOICE!$O$6,2),0)</f>
        <v>1917.97</v>
      </c>
      <c r="H389" s="260">
        <f t="shared" si="68"/>
        <v>114.84823625922887</v>
      </c>
      <c r="I389" s="260">
        <f>IFERROR(ROUNDUP(H389*INVOICE!$O$6,2),0)</f>
        <v>1917.97</v>
      </c>
      <c r="J389" s="108" t="str">
        <f t="shared" si="64"/>
        <v/>
      </c>
      <c r="L389" s="108" t="str">
        <f t="shared" si="65"/>
        <v/>
      </c>
      <c r="N389" s="108">
        <v>398</v>
      </c>
      <c r="O389" s="108" t="str">
        <f>IF(INVOICE!$N$16="MANUAL",IF(B389&lt;&gt;"",C389,""),IF(INVOICE!$N$16="AUTOMATE",IF(A389&lt;&gt;"",C389,""),""))</f>
        <v/>
      </c>
      <c r="AO389" s="108" t="str">
        <f>IF(INVOICE!$N$16="MANUAL",IFERROR(AM389*B389,""),IF(INVOICE!$N$16="AUTOMATE",IFERROR(AM389*A389,""),""))</f>
        <v/>
      </c>
    </row>
    <row r="390" spans="1:48">
      <c r="A390" s="108" t="str">
        <f>IF(IF(OR('CABLE SIZING TOOL'!D$45=400,'CABLE SIZING TOOL'!J$45=400),IF('CABLE SIZING TOOL'!D$45=400,'Customer Base'!D$32*'Customer Base'!D$15*5,0)+IF('CABLE SIZING TOOL'!J$45=400,IF(AND('Customer Base'!D$15=1,'Customer Base'!D$9=1),0,IF(OR('Customer Base'!D$15&gt;1,'Customer Base'!D$9=3),ROUNDUP('Customer Base'!D$32*0.5*5,0),0))),"")=0,"",IF(OR('CABLE SIZING TOOL'!D$45=400,'CABLE SIZING TOOL'!J$45=400),IF('CABLE SIZING TOOL'!D$45=400,'Customer Base'!D$32*'Customer Base'!D$15*5,0)+IF('CABLE SIZING TOOL'!J$45=400,IF(AND('Customer Base'!D$15=1,'Customer Base'!D$9=1),0,IF(OR('Customer Base'!D$15&gt;1,'Customer Base'!D$9=3),ROUNDUP('Customer Base'!D$32*0.5*5,0),0))),""))</f>
        <v/>
      </c>
      <c r="C390" s="258" t="s">
        <v>2619</v>
      </c>
      <c r="D390" s="330">
        <v>160</v>
      </c>
      <c r="E390" s="330">
        <v>160</v>
      </c>
      <c r="F390" s="260">
        <f t="shared" si="67"/>
        <v>131.25512715340443</v>
      </c>
      <c r="G390" s="260">
        <f>IFERROR(ROUNDUP(F390*INVOICE!$O$6,2),0)</f>
        <v>2191.9700000000003</v>
      </c>
      <c r="H390" s="260">
        <f t="shared" si="68"/>
        <v>131.25512715340443</v>
      </c>
      <c r="I390" s="260">
        <f>IFERROR(ROUNDUP(H390*INVOICE!$O$6,2),0)</f>
        <v>2191.9700000000003</v>
      </c>
      <c r="J390" s="108" t="str">
        <f t="shared" si="64"/>
        <v/>
      </c>
      <c r="L390" s="108" t="str">
        <f t="shared" si="65"/>
        <v/>
      </c>
      <c r="N390" s="108">
        <v>399</v>
      </c>
      <c r="O390" s="108" t="str">
        <f>IF(INVOICE!$N$16="MANUAL",IF(B390&lt;&gt;"",C390,""),IF(INVOICE!$N$16="AUTOMATE",IF(A390&lt;&gt;"",C390,""),""))</f>
        <v/>
      </c>
      <c r="AO390" s="108" t="str">
        <f>IF(INVOICE!$N$16="MANUAL",IFERROR(AM390*B390,""),IF(INVOICE!$N$16="AUTOMATE",IFERROR(AM390*A390,""),""))</f>
        <v/>
      </c>
    </row>
    <row r="391" spans="1:48">
      <c r="A391" s="108" t="str">
        <f>IF(IF(OR('CABLE SIZING TOOL'!D$45=500,'CABLE SIZING TOOL'!J$45=500),IF('CABLE SIZING TOOL'!D$45=500,'Customer Base'!D$32*'Customer Base'!D$15*5,0)+IF('CABLE SIZING TOOL'!J$45=500,IF(AND('Customer Base'!D$15=1,'Customer Base'!D$9=1),0,IF(OR('Customer Base'!D$15&gt;1,'Customer Base'!D$9=3),ROUNDUP('Customer Base'!D$32*0.5*5,0),0))),"")=0,"",IF(OR('CABLE SIZING TOOL'!D$45=500,'CABLE SIZING TOOL'!J$45=500),IF('CABLE SIZING TOOL'!D$45=500,'Customer Base'!D$32*'Customer Base'!D$15*5,0)+IF('CABLE SIZING TOOL'!J$45=500,IF(AND('Customer Base'!D$15=1,'Customer Base'!D$9=1),0,IF(OR('Customer Base'!D$15&gt;1,'Customer Base'!D$9=3),ROUNDUP('Customer Base'!D$32*0.5*5,0),0))),""))</f>
        <v/>
      </c>
      <c r="C391" s="258" t="s">
        <v>2620</v>
      </c>
      <c r="D391" s="330">
        <v>180</v>
      </c>
      <c r="E391" s="330">
        <v>180</v>
      </c>
      <c r="F391" s="260">
        <f t="shared" si="67"/>
        <v>147.66201804757998</v>
      </c>
      <c r="G391" s="260">
        <f>IFERROR(ROUNDUP(F391*INVOICE!$O$6,2),0)</f>
        <v>2465.96</v>
      </c>
      <c r="H391" s="260">
        <f t="shared" si="68"/>
        <v>147.66201804757998</v>
      </c>
      <c r="I391" s="260">
        <f>IFERROR(ROUNDUP(H391*INVOICE!$O$6,2),0)</f>
        <v>2465.96</v>
      </c>
      <c r="J391" s="108" t="str">
        <f t="shared" si="64"/>
        <v/>
      </c>
      <c r="L391" s="108" t="str">
        <f t="shared" si="65"/>
        <v/>
      </c>
      <c r="N391" s="108">
        <v>400</v>
      </c>
      <c r="O391" s="108" t="str">
        <f>IF(INVOICE!$N$16="MANUAL",IF(B391&lt;&gt;"",C391,""),IF(INVOICE!$N$16="AUTOMATE",IF(A391&lt;&gt;"",C391,""),""))</f>
        <v/>
      </c>
      <c r="AO391" s="108" t="str">
        <f>IF(INVOICE!$N$16="MANUAL",IFERROR(AM391*B391,""),IF(INVOICE!$N$16="AUTOMATE",IFERROR(AM391*A391,""),""))</f>
        <v/>
      </c>
      <c r="AV391" s="108">
        <f t="shared" si="66"/>
        <v>0</v>
      </c>
    </row>
    <row r="392" spans="1:48">
      <c r="D392" s="324"/>
      <c r="E392" s="324"/>
      <c r="F392" s="229">
        <f t="shared" si="67"/>
        <v>0</v>
      </c>
      <c r="G392" s="229">
        <f>IFERROR(ROUNDUP(F392*INVOICE!$O$6,2),0)</f>
        <v>0</v>
      </c>
      <c r="H392" s="229">
        <f t="shared" si="68"/>
        <v>0</v>
      </c>
      <c r="I392" s="229"/>
      <c r="J392" s="108" t="str">
        <f t="shared" si="64"/>
        <v/>
      </c>
      <c r="L392" s="108" t="str">
        <f t="shared" si="65"/>
        <v/>
      </c>
      <c r="N392" s="108">
        <v>401</v>
      </c>
      <c r="O392" s="108" t="str">
        <f>IF(INVOICE!$N$16="MANUAL",IF(B392&lt;&gt;"",C392,""),IF(INVOICE!$N$16="AUTOMATE",IF(A392&lt;&gt;"",C392,""),""))</f>
        <v/>
      </c>
      <c r="AO392" s="108">
        <f>IF(INVOICE!$N$16="MANUAL",IFERROR(AM392*B392,""),IF(INVOICE!$N$16="AUTOMATE",IFERROR(AM392*A392,""),""))</f>
        <v>0</v>
      </c>
      <c r="AV392" s="108">
        <f t="shared" si="66"/>
        <v>0</v>
      </c>
    </row>
    <row r="393" spans="1:48">
      <c r="C393" s="258" t="s">
        <v>986</v>
      </c>
      <c r="D393" s="330">
        <v>2</v>
      </c>
      <c r="E393" s="330">
        <v>2</v>
      </c>
      <c r="F393" s="260">
        <f t="shared" si="67"/>
        <v>1.6406890894175552</v>
      </c>
      <c r="G393" s="260">
        <f>IFERROR(ROUNDUP(F393*INVOICE!$O$6,2),0)</f>
        <v>27.400000000000002</v>
      </c>
      <c r="H393" s="260">
        <f t="shared" si="68"/>
        <v>1.6406890894175552</v>
      </c>
      <c r="I393" s="260">
        <f>IFERROR(ROUNDUP(H393*INVOICE!$O$6,2),0)</f>
        <v>27.400000000000002</v>
      </c>
      <c r="J393" s="108" t="str">
        <f t="shared" si="64"/>
        <v/>
      </c>
      <c r="L393" s="108" t="str">
        <f t="shared" si="65"/>
        <v/>
      </c>
      <c r="N393" s="108">
        <v>402</v>
      </c>
      <c r="O393" s="108" t="str">
        <f>IF(INVOICE!$N$16="MANUAL",IF(B393&lt;&gt;"",C393,""),IF(INVOICE!$N$16="AUTOMATE",IF(A393&lt;&gt;"",C393,""),""))</f>
        <v/>
      </c>
      <c r="AO393" s="108">
        <f>IF(INVOICE!$N$16="MANUAL",IFERROR(AM393*B393,""),IF(INVOICE!$N$16="AUTOMATE",IFERROR(AM393*A393,""),""))</f>
        <v>0</v>
      </c>
      <c r="AV393" s="108">
        <f t="shared" si="66"/>
        <v>0</v>
      </c>
    </row>
    <row r="394" spans="1:48">
      <c r="C394" s="258" t="s">
        <v>1874</v>
      </c>
      <c r="D394" s="330">
        <v>2.2000000000000002</v>
      </c>
      <c r="E394" s="330">
        <v>2.2000000000000002</v>
      </c>
      <c r="F394" s="260">
        <f t="shared" si="67"/>
        <v>1.8047579983593109</v>
      </c>
      <c r="G394" s="260">
        <f>IFERROR(ROUNDUP(F394*INVOICE!$O$6,2),0)</f>
        <v>30.14</v>
      </c>
      <c r="H394" s="260">
        <f t="shared" si="68"/>
        <v>1.8047579983593109</v>
      </c>
      <c r="I394" s="260">
        <f>IFERROR(ROUNDUP(H394*INVOICE!$O$6,2),0)</f>
        <v>30.14</v>
      </c>
      <c r="J394" s="108" t="str">
        <f t="shared" si="64"/>
        <v/>
      </c>
      <c r="L394" s="108" t="str">
        <f t="shared" si="65"/>
        <v/>
      </c>
      <c r="N394" s="108">
        <v>403</v>
      </c>
      <c r="O394" s="108" t="str">
        <f>IF(INVOICE!$N$16="MANUAL",IF(B394&lt;&gt;"",C394,""),IF(INVOICE!$N$16="AUTOMATE",IF(A394&lt;&gt;"",C394,""),""))</f>
        <v/>
      </c>
      <c r="AO394" s="108">
        <f>IF(INVOICE!$N$16="MANUAL",IFERROR(AM394*B394,""),IF(INVOICE!$N$16="AUTOMATE",IFERROR(AM394*A394,""),""))</f>
        <v>0</v>
      </c>
      <c r="AV394" s="108">
        <f t="shared" si="66"/>
        <v>0</v>
      </c>
    </row>
    <row r="395" spans="1:48">
      <c r="A395" s="108">
        <f ca="1">IFERROR(MROUND((IF(SUM(A365:A367)&gt;0,'Customer Base'!D31,"")+SUM(A242:A254)),5),"")</f>
        <v>60</v>
      </c>
      <c r="C395" s="258" t="s">
        <v>985</v>
      </c>
      <c r="D395" s="330">
        <v>2.2000000000000002</v>
      </c>
      <c r="E395" s="330">
        <v>2.2000000000000002</v>
      </c>
      <c r="F395" s="260">
        <f t="shared" si="67"/>
        <v>1.8047579983593109</v>
      </c>
      <c r="G395" s="260">
        <f>IFERROR(ROUNDUP(F395*INVOICE!$O$6,2),0)</f>
        <v>30.14</v>
      </c>
      <c r="H395" s="260">
        <f t="shared" si="68"/>
        <v>1.8047579983593109</v>
      </c>
      <c r="I395" s="260">
        <f>IFERROR(ROUNDUP(H395*INVOICE!$O$6,2),0)</f>
        <v>30.14</v>
      </c>
      <c r="J395" s="108" t="str">
        <f t="shared" si="64"/>
        <v/>
      </c>
      <c r="L395" s="108" t="str">
        <f t="shared" si="65"/>
        <v/>
      </c>
      <c r="N395" s="108">
        <v>404</v>
      </c>
      <c r="O395" s="108" t="str">
        <f ca="1">IF(INVOICE!$N$16="MANUAL",IF(B395&lt;&gt;"",C395,""),IF(INVOICE!$N$16="AUTOMATE",IF(A395&lt;&gt;"",C395,""),""))</f>
        <v>1x6mm2 RV-K 0.6/1KV Yellow/Green Earth Cable</v>
      </c>
      <c r="AO395" s="108">
        <f ca="1">IF(INVOICE!$N$16="MANUAL",IFERROR(AM395*B395,""),IF(INVOICE!$N$16="AUTOMATE",IFERROR(AM395*A395,""),""))</f>
        <v>0</v>
      </c>
      <c r="AV395" s="108">
        <f t="shared" si="66"/>
        <v>0</v>
      </c>
    </row>
    <row r="396" spans="1:48">
      <c r="C396" s="258" t="s">
        <v>1659</v>
      </c>
      <c r="D396" s="330">
        <v>4.4000000000000004</v>
      </c>
      <c r="E396" s="330">
        <v>4.4000000000000004</v>
      </c>
      <c r="F396" s="260">
        <f t="shared" si="67"/>
        <v>3.6095159967186219</v>
      </c>
      <c r="G396" s="260">
        <f>IFERROR(ROUNDUP(F396*INVOICE!$O$6,2),0)</f>
        <v>60.28</v>
      </c>
      <c r="H396" s="260">
        <f t="shared" si="68"/>
        <v>3.6095159967186219</v>
      </c>
      <c r="I396" s="260">
        <f>IFERROR(ROUNDUP(H396*INVOICE!$O$6,2),0)</f>
        <v>60.28</v>
      </c>
      <c r="J396" s="108" t="str">
        <f t="shared" si="64"/>
        <v/>
      </c>
      <c r="L396" s="108" t="str">
        <f t="shared" si="65"/>
        <v/>
      </c>
      <c r="N396" s="108">
        <v>405</v>
      </c>
      <c r="O396" s="108" t="str">
        <f>IF(INVOICE!$N$16="MANUAL",IF(B396&lt;&gt;"",C396,""),IF(INVOICE!$N$16="AUTOMATE",IF(A396&lt;&gt;"",C396,""),""))</f>
        <v/>
      </c>
      <c r="AO396" s="108">
        <f>IF(INVOICE!$N$16="MANUAL",IFERROR(AM396*B396,""),IF(INVOICE!$N$16="AUTOMATE",IFERROR(AM396*A396,""),""))</f>
        <v>0</v>
      </c>
      <c r="AV396" s="108">
        <f t="shared" si="66"/>
        <v>0</v>
      </c>
    </row>
    <row r="397" spans="1:48">
      <c r="C397" s="258" t="s">
        <v>1259</v>
      </c>
      <c r="D397" s="330">
        <v>6.62</v>
      </c>
      <c r="E397" s="330">
        <v>6.62</v>
      </c>
      <c r="F397" s="260">
        <f t="shared" si="67"/>
        <v>5.4306808859721079</v>
      </c>
      <c r="G397" s="260">
        <f>IFERROR(ROUNDUP(F397*INVOICE!$O$6,2),0)</f>
        <v>90.7</v>
      </c>
      <c r="H397" s="260">
        <f t="shared" si="68"/>
        <v>5.4306808859721079</v>
      </c>
      <c r="I397" s="260">
        <f>IFERROR(ROUNDUP(H397*INVOICE!$O$6,2),0)</f>
        <v>90.7</v>
      </c>
      <c r="J397" s="108" t="str">
        <f t="shared" si="64"/>
        <v/>
      </c>
      <c r="L397" s="108" t="str">
        <f t="shared" si="65"/>
        <v/>
      </c>
      <c r="N397" s="108">
        <v>406</v>
      </c>
      <c r="O397" s="108" t="str">
        <f>IF(INVOICE!$N$16="MANUAL",IF(B397&lt;&gt;"",C397,""),IF(INVOICE!$N$16="AUTOMATE",IF(A397&lt;&gt;"",C397,""),""))</f>
        <v/>
      </c>
      <c r="AO397" s="108">
        <f>IF(INVOICE!$N$16="MANUAL",IFERROR(AM397*B397,""),IF(INVOICE!$N$16="AUTOMATE",IFERROR(AM397*A397,""),""))</f>
        <v>0</v>
      </c>
      <c r="AV397" s="108">
        <f t="shared" si="66"/>
        <v>0</v>
      </c>
    </row>
    <row r="398" spans="1:48">
      <c r="D398" s="324"/>
      <c r="E398" s="324"/>
      <c r="F398" s="229">
        <f t="shared" si="67"/>
        <v>0</v>
      </c>
      <c r="G398" s="229">
        <f>IFERROR(ROUNDUP(F398*INVOICE!$O$6,2),0)</f>
        <v>0</v>
      </c>
      <c r="H398" s="229">
        <f t="shared" si="68"/>
        <v>0</v>
      </c>
      <c r="I398" s="229">
        <f>IFERROR(ROUNDUP(H398*INVOICE!$O$6,2),0)</f>
        <v>0</v>
      </c>
      <c r="J398" s="108" t="str">
        <f t="shared" si="64"/>
        <v/>
      </c>
      <c r="L398" s="108" t="str">
        <f t="shared" si="65"/>
        <v/>
      </c>
      <c r="N398" s="108">
        <v>407</v>
      </c>
      <c r="O398" s="108" t="str">
        <f>IF(INVOICE!$N$16="MANUAL",IF(B398&lt;&gt;"",C398,""),IF(INVOICE!$N$16="AUTOMATE",IF(A398&lt;&gt;"",C398,""),""))</f>
        <v/>
      </c>
      <c r="AO398" s="108">
        <f>IF(INVOICE!$N$16="MANUAL",IFERROR(AM398*B398,""),IF(INVOICE!$N$16="AUTOMATE",IFERROR(AM398*A398,""),""))</f>
        <v>0</v>
      </c>
      <c r="AV398" s="108">
        <f t="shared" si="66"/>
        <v>0</v>
      </c>
    </row>
    <row r="399" spans="1:48">
      <c r="C399" s="258" t="s">
        <v>1229</v>
      </c>
      <c r="D399" s="330">
        <f>F399*1.219</f>
        <v>47.541000000000004</v>
      </c>
      <c r="E399" s="330">
        <f>H399*1.219</f>
        <v>39.008000000000003</v>
      </c>
      <c r="F399" s="260">
        <f>1%*IF(INVOICE!N16="AUTOMATE",ROUNDUP(SUMPRODUCT($A$242:$A$254,F$242:F$254),-2),ROUNDUP(SUMPRODUCT($B$242:$B$254,F$242:F$254),-2))</f>
        <v>39</v>
      </c>
      <c r="G399" s="260">
        <f>IFERROR(ROUNDUP(F399*INVOICE!$O$6,2),0)</f>
        <v>651.29999999999995</v>
      </c>
      <c r="H399" s="260">
        <f>1%*IF(INVOICE!N16="AUTOMATE",ROUNDUP(SUMPRODUCT($A$242:$A$254,H$242:H$254),-2),ROUNDUP(SUMPRODUCT($B$242:$B$254,H$242:H$254),-2))</f>
        <v>32</v>
      </c>
      <c r="I399" s="260">
        <f>IFERROR(ROUNDUP(H399*INVOICE!$O$6,2),0)</f>
        <v>534.4</v>
      </c>
      <c r="J399" s="108" t="str">
        <f t="shared" si="64"/>
        <v/>
      </c>
      <c r="L399" s="108" t="str">
        <f t="shared" si="65"/>
        <v/>
      </c>
      <c r="N399" s="108">
        <v>408</v>
      </c>
      <c r="O399" s="108" t="str">
        <f>IF(INVOICE!$N$16="MANUAL",IF(B399&lt;&gt;"",C399,""),IF(INVOICE!$N$16="AUTOMATE",IF(A399&lt;&gt;"",C399,""),""))</f>
        <v/>
      </c>
      <c r="AO399" s="108">
        <f>IF(INVOICE!$N$16="MANUAL",IFERROR(AM399*B399,""),IF(INVOICE!$N$16="AUTOMATE",IFERROR(AM399*A399,""),""))</f>
        <v>0</v>
      </c>
      <c r="AV399" s="108">
        <f t="shared" ref="AV399:AV440" si="69">IF(AU399&lt;&gt;"",AU399,AT399)</f>
        <v>0</v>
      </c>
    </row>
    <row r="400" spans="1:48">
      <c r="D400" s="324"/>
      <c r="E400" s="324"/>
      <c r="F400" s="229">
        <f t="shared" ref="F400:F403" si="70">$D400/1.219</f>
        <v>0</v>
      </c>
      <c r="G400" s="229">
        <f>IFERROR(ROUNDUP(F400*INVOICE!$O$6,2),0)</f>
        <v>0</v>
      </c>
      <c r="H400" s="229">
        <f t="shared" ref="H400:H403" si="71">$E400/1.219</f>
        <v>0</v>
      </c>
      <c r="I400" s="229"/>
      <c r="J400" s="108" t="str">
        <f t="shared" ref="J400:J463" si="72">IF(D400&lt;&gt;"",IF(D400&lt;E400,"lkdfjk",""),"")</f>
        <v/>
      </c>
      <c r="L400" s="108" t="str">
        <f t="shared" ref="L400:L463" si="73">IF(H400&gt;F400,"lkkajdfkj","")</f>
        <v/>
      </c>
      <c r="N400" s="108">
        <v>409</v>
      </c>
      <c r="O400" s="108" t="str">
        <f>IF(INVOICE!$N$16="MANUAL",IF(B400&lt;&gt;"",C400,""),IF(INVOICE!$N$16="AUTOMATE",IF(A400&lt;&gt;"",C400,""),""))</f>
        <v/>
      </c>
      <c r="AO400" s="108">
        <f>IF(INVOICE!$N$16="MANUAL",IFERROR(AM400*B400,""),IF(INVOICE!$N$16="AUTOMATE",IFERROR(AM400*A400,""),""))</f>
        <v>0</v>
      </c>
      <c r="AV400" s="108">
        <f t="shared" si="69"/>
        <v>0</v>
      </c>
    </row>
    <row r="401" spans="1:48">
      <c r="A401" s="108" t="str">
        <f>IF('Customer Base'!D7="Grid-Tied",3*SUM(A136:A141,A97:A99,A178)*'Customer Base'!D32,"")</f>
        <v/>
      </c>
      <c r="C401" s="258" t="s">
        <v>1165</v>
      </c>
      <c r="D401" s="330">
        <v>1.5</v>
      </c>
      <c r="E401" s="330">
        <v>1.5</v>
      </c>
      <c r="F401" s="260">
        <f t="shared" si="70"/>
        <v>1.2305168170631664</v>
      </c>
      <c r="G401" s="260">
        <f>IFERROR(ROUNDUP(F401*INVOICE!$O$6,2),0)</f>
        <v>20.55</v>
      </c>
      <c r="H401" s="260">
        <f t="shared" si="71"/>
        <v>1.2305168170631664</v>
      </c>
      <c r="I401" s="260">
        <f>IFERROR(ROUNDUP(H401*INVOICE!$O$6,2),0)</f>
        <v>20.55</v>
      </c>
      <c r="J401" s="108" t="str">
        <f t="shared" si="72"/>
        <v/>
      </c>
      <c r="L401" s="108" t="str">
        <f t="shared" si="73"/>
        <v/>
      </c>
      <c r="N401" s="108">
        <v>410</v>
      </c>
      <c r="O401" s="108" t="str">
        <f>IF(INVOICE!$N$16="MANUAL",IF(B401&lt;&gt;"",C401,""),IF(INVOICE!$N$16="AUTOMATE",IF(A401&lt;&gt;"",C401,""),""))</f>
        <v/>
      </c>
      <c r="AO401" s="108" t="str">
        <f>IF(INVOICE!$N$16="MANUAL",IFERROR(AM401*B401,""),IF(INVOICE!$N$16="AUTOMATE",IFERROR(AM401*A401,""),""))</f>
        <v/>
      </c>
      <c r="AV401" s="108">
        <f t="shared" si="69"/>
        <v>0</v>
      </c>
    </row>
    <row r="402" spans="1:48">
      <c r="A402" s="108" t="str">
        <f>IF('Customer Base'!D7="Grid-Tied",SUM(A136:A141,A97:A99,A178)*'Customer Base'!D32,"")</f>
        <v/>
      </c>
      <c r="C402" s="258" t="s">
        <v>1228</v>
      </c>
      <c r="D402" s="330">
        <v>2.5</v>
      </c>
      <c r="E402" s="330">
        <v>2.5</v>
      </c>
      <c r="F402" s="260">
        <f t="shared" si="70"/>
        <v>2.0508613617719442</v>
      </c>
      <c r="G402" s="260">
        <f>IFERROR(ROUNDUP(F402*INVOICE!$O$6,2),0)</f>
        <v>34.25</v>
      </c>
      <c r="H402" s="260">
        <f t="shared" si="71"/>
        <v>2.0508613617719442</v>
      </c>
      <c r="I402" s="260">
        <f>IFERROR(ROUNDUP(H402*INVOICE!$O$6,2),0)</f>
        <v>34.25</v>
      </c>
      <c r="J402" s="108" t="str">
        <f t="shared" si="72"/>
        <v/>
      </c>
      <c r="L402" s="108" t="str">
        <f t="shared" si="73"/>
        <v/>
      </c>
      <c r="N402" s="108">
        <v>411</v>
      </c>
      <c r="O402" s="108" t="str">
        <f>IF(INVOICE!$N$16="MANUAL",IF(B402&lt;&gt;"",C402,""),IF(INVOICE!$N$16="AUTOMATE",IF(A402&lt;&gt;"",C402,""),""))</f>
        <v/>
      </c>
      <c r="AO402" s="108" t="str">
        <f>IF(INVOICE!$N$16="MANUAL",IFERROR(AM402*B402,""),IF(INVOICE!$N$16="AUTOMATE",IFERROR(AM402*A402,""),""))</f>
        <v/>
      </c>
      <c r="AV402" s="108">
        <f t="shared" si="69"/>
        <v>0</v>
      </c>
    </row>
    <row r="403" spans="1:48">
      <c r="D403" s="324"/>
      <c r="E403" s="324"/>
      <c r="F403" s="229">
        <f t="shared" si="70"/>
        <v>0</v>
      </c>
      <c r="G403" s="229">
        <f>IFERROR(ROUNDUP(F403*INVOICE!$O$6,2),0)</f>
        <v>0</v>
      </c>
      <c r="H403" s="229">
        <f t="shared" si="71"/>
        <v>0</v>
      </c>
      <c r="I403" s="229"/>
      <c r="J403" s="108" t="str">
        <f t="shared" si="72"/>
        <v/>
      </c>
      <c r="L403" s="108" t="str">
        <f t="shared" si="73"/>
        <v/>
      </c>
      <c r="N403" s="108">
        <v>412</v>
      </c>
      <c r="O403" s="108" t="str">
        <f>IF(INVOICE!$N$16="MANUAL",IF(B403&lt;&gt;"",C403,""),IF(INVOICE!$N$16="AUTOMATE",IF(A403&lt;&gt;"",C403,""),""))</f>
        <v/>
      </c>
      <c r="AO403" s="108">
        <f>IF(INVOICE!$N$16="MANUAL",IFERROR(AM403*B403,""),IF(INVOICE!$N$16="AUTOMATE",IFERROR(AM403*A403,""),""))</f>
        <v>0</v>
      </c>
      <c r="AV403" s="108">
        <f t="shared" si="69"/>
        <v>0</v>
      </c>
    </row>
    <row r="404" spans="1:48">
      <c r="C404" s="251" t="s">
        <v>1909</v>
      </c>
      <c r="D404" s="327"/>
      <c r="E404" s="327"/>
      <c r="F404" s="257"/>
      <c r="G404" s="239"/>
      <c r="H404" s="257"/>
      <c r="I404" s="239"/>
      <c r="J404" s="108" t="str">
        <f t="shared" si="72"/>
        <v/>
      </c>
      <c r="L404" s="108" t="str">
        <f t="shared" si="73"/>
        <v/>
      </c>
      <c r="N404" s="108">
        <v>413</v>
      </c>
      <c r="O404" s="108" t="str">
        <f>IF(INVOICE!$N$16="MANUAL",IF(B404&lt;&gt;"",C404,""),IF(INVOICE!$N$16="AUTOMATE",IF(A404&lt;&gt;"",C404,""),""))</f>
        <v/>
      </c>
      <c r="AO404" s="108">
        <f>IF(INVOICE!$N$16="MANUAL",IFERROR(AM404*B404,""),IF(INVOICE!$N$16="AUTOMATE",IFERROR(AM404*A404,""),""))</f>
        <v>0</v>
      </c>
      <c r="AV404" s="108">
        <f t="shared" si="69"/>
        <v>0</v>
      </c>
    </row>
    <row r="405" spans="1:48">
      <c r="A405" s="108">
        <f>IF(OR(AND('Customer Base'!D$34="Yes",'Customer Base'!D$13="Victron",'Customer Base'!D$7&lt;&gt;"Mini-Grid"),'Customer Base'!D$7="Grid-Tied"),'Customer Base'!D$15,IF(AND('Customer Base'!D$34="Yes",'Customer Base'!D$13="Victron",'Customer Base'!D$7="Mini-Grid"),'Customer Base'!D$15+'Customer Base'!F$15,""))</f>
        <v>2</v>
      </c>
      <c r="C405" s="248" t="s">
        <v>918</v>
      </c>
      <c r="D405" s="336">
        <v>12.64</v>
      </c>
      <c r="E405" s="336">
        <v>11.907</v>
      </c>
      <c r="F405" s="269">
        <f t="shared" ref="F405:F450" si="74">$D405/1.219</f>
        <v>10.36915504511895</v>
      </c>
      <c r="G405" s="243">
        <f>IFERROR(ROUNDUP(F405*INVOICE!$O$6,2),0)</f>
        <v>173.17</v>
      </c>
      <c r="H405" s="269">
        <f t="shared" ref="H405:H450" si="75">$E405/1.219</f>
        <v>9.7678424938474144</v>
      </c>
      <c r="I405" s="243">
        <f>IFERROR(ROUNDUP(H405*INVOICE!$O$6,2),0)</f>
        <v>163.13</v>
      </c>
      <c r="J405" s="108" t="str">
        <f t="shared" si="72"/>
        <v/>
      </c>
      <c r="L405" s="108" t="str">
        <f t="shared" si="73"/>
        <v/>
      </c>
      <c r="N405" s="108">
        <v>414</v>
      </c>
      <c r="O405" s="108" t="str">
        <f>IF(INVOICE!$N$16="MANUAL",IF(B405&lt;&gt;"",C405,""),IF(INVOICE!$N$16="AUTOMATE",IF(A405&lt;&gt;"",C405,""),""))</f>
        <v>Victron RJ45 UTP Cable 3 m</v>
      </c>
      <c r="AO405" s="108">
        <f>IF(INVOICE!$N$16="MANUAL",IFERROR(AM405*B405,""),IF(INVOICE!$N$16="AUTOMATE",IFERROR(AM405*A405,""),""))</f>
        <v>0</v>
      </c>
      <c r="AV405" s="108">
        <f t="shared" si="69"/>
        <v>0</v>
      </c>
    </row>
    <row r="406" spans="1:48">
      <c r="C406" s="248" t="s">
        <v>919</v>
      </c>
      <c r="D406" s="336">
        <v>16.25</v>
      </c>
      <c r="E406" s="336">
        <v>15.308999999999999</v>
      </c>
      <c r="F406" s="269">
        <f t="shared" si="74"/>
        <v>13.330598851517637</v>
      </c>
      <c r="G406" s="243">
        <f>IFERROR(ROUNDUP(F406*INVOICE!$O$6,2),0)</f>
        <v>222.63</v>
      </c>
      <c r="H406" s="269">
        <f t="shared" si="75"/>
        <v>12.558654634946675</v>
      </c>
      <c r="I406" s="243">
        <f>IFERROR(ROUNDUP(H406*INVOICE!$O$6,2),0)</f>
        <v>209.73</v>
      </c>
      <c r="J406" s="108" t="str">
        <f t="shared" si="72"/>
        <v/>
      </c>
      <c r="L406" s="108" t="str">
        <f t="shared" si="73"/>
        <v/>
      </c>
      <c r="N406" s="108">
        <v>415</v>
      </c>
      <c r="O406" s="108" t="str">
        <f>IF(INVOICE!$N$16="MANUAL",IF(B406&lt;&gt;"",C406,""),IF(INVOICE!$N$16="AUTOMATE",IF(A406&lt;&gt;"",C406,""),""))</f>
        <v/>
      </c>
      <c r="AO406" s="108">
        <f>IF(INVOICE!$N$16="MANUAL",IFERROR(AM406*B406,""),IF(INVOICE!$N$16="AUTOMATE",IFERROR(AM406*A406,""),""))</f>
        <v>0</v>
      </c>
      <c r="AV406" s="108">
        <f t="shared" si="69"/>
        <v>0</v>
      </c>
    </row>
    <row r="407" spans="1:48">
      <c r="A407" s="108" t="str">
        <f>IF(SUM(A163:A174)&gt;=1,1,"")</f>
        <v/>
      </c>
      <c r="C407" s="248" t="s">
        <v>1297</v>
      </c>
      <c r="D407" s="336">
        <v>151.9</v>
      </c>
      <c r="E407" s="336">
        <v>151.9</v>
      </c>
      <c r="F407" s="269">
        <f t="shared" si="74"/>
        <v>124.61033634126332</v>
      </c>
      <c r="G407" s="243">
        <f>IFERROR(ROUNDUP(F407*INVOICE!$O$6,2),0)</f>
        <v>2081</v>
      </c>
      <c r="H407" s="269">
        <f t="shared" si="75"/>
        <v>124.61033634126332</v>
      </c>
      <c r="I407" s="243">
        <f>IFERROR(ROUNDUP(H407*INVOICE!$O$6,2),0)</f>
        <v>2081</v>
      </c>
      <c r="J407" s="108" t="str">
        <f t="shared" si="72"/>
        <v/>
      </c>
      <c r="L407" s="108" t="str">
        <f t="shared" si="73"/>
        <v/>
      </c>
      <c r="N407" s="108">
        <v>416</v>
      </c>
      <c r="O407" s="108" t="str">
        <f>IF(INVOICE!$N$16="MANUAL",IF(B407&lt;&gt;"",C407,""),IF(INVOICE!$N$16="AUTOMATE",IF(A407&lt;&gt;"",C407,""),""))</f>
        <v/>
      </c>
      <c r="AO407" s="108" t="str">
        <f>IF(INVOICE!$N$16="MANUAL",IFERROR(AM407*B407,""),IF(INVOICE!$N$16="AUTOMATE",IFERROR(AM407*A407,""),""))</f>
        <v/>
      </c>
      <c r="AV407" s="108">
        <f t="shared" si="69"/>
        <v>0</v>
      </c>
    </row>
    <row r="408" spans="1:48">
      <c r="C408" s="231"/>
      <c r="D408" s="329"/>
      <c r="E408" s="329"/>
      <c r="F408" s="261">
        <f t="shared" si="74"/>
        <v>0</v>
      </c>
      <c r="G408" s="229">
        <f>IFERROR(ROUNDUP(F408*INVOICE!$O$6,2),0)</f>
        <v>0</v>
      </c>
      <c r="H408" s="261">
        <f t="shared" si="75"/>
        <v>0</v>
      </c>
      <c r="I408" s="229">
        <f>IFERROR(ROUNDUP(H408*INVOICE!$O$6,2),0)</f>
        <v>0</v>
      </c>
      <c r="J408" s="108" t="str">
        <f t="shared" si="72"/>
        <v/>
      </c>
      <c r="L408" s="108" t="str">
        <f t="shared" si="73"/>
        <v/>
      </c>
      <c r="N408" s="108">
        <v>417</v>
      </c>
      <c r="O408" s="108" t="str">
        <f>IF(INVOICE!$N$16="MANUAL",IF(B408&lt;&gt;"",C408,""),IF(INVOICE!$N$16="AUTOMATE",IF(A408&lt;&gt;"",C408,""),""))</f>
        <v/>
      </c>
      <c r="AO408" s="108">
        <f>IF(INVOICE!$N$16="MANUAL",IFERROR(AM408*B408,""),IF(INVOICE!$N$16="AUTOMATE",IFERROR(AM408*A408,""),""))</f>
        <v>0</v>
      </c>
      <c r="AV408" s="108">
        <f t="shared" si="69"/>
        <v>0</v>
      </c>
    </row>
    <row r="409" spans="1:48">
      <c r="C409" s="248" t="s">
        <v>920</v>
      </c>
      <c r="D409" s="336">
        <v>13.55</v>
      </c>
      <c r="E409" s="336">
        <v>12.766</v>
      </c>
      <c r="F409" s="269">
        <f t="shared" si="74"/>
        <v>11.115668580803938</v>
      </c>
      <c r="G409" s="243">
        <f>IFERROR(ROUNDUP(F409*INVOICE!$O$6,2),0)</f>
        <v>185.64</v>
      </c>
      <c r="H409" s="269">
        <f t="shared" si="75"/>
        <v>10.472518457752255</v>
      </c>
      <c r="I409" s="243">
        <f>IFERROR(ROUNDUP(H409*INVOICE!$O$6,2),0)</f>
        <v>174.89999999999998</v>
      </c>
      <c r="J409" s="108" t="str">
        <f t="shared" si="72"/>
        <v/>
      </c>
      <c r="L409" s="108" t="str">
        <f t="shared" si="73"/>
        <v/>
      </c>
      <c r="N409" s="108">
        <v>418</v>
      </c>
      <c r="O409" s="108" t="str">
        <f>IF(INVOICE!$N$16="MANUAL",IF(B409&lt;&gt;"",C409,""),IF(INVOICE!$N$16="AUTOMATE",IF(A409&lt;&gt;"",C409,""),""))</f>
        <v/>
      </c>
      <c r="AO409" s="108">
        <f>IF(INVOICE!$N$16="MANUAL",IFERROR(AM409*B409,""),IF(INVOICE!$N$16="AUTOMATE",IFERROR(AM409*A409,""),""))</f>
        <v>0</v>
      </c>
      <c r="AV409" s="108">
        <f t="shared" si="69"/>
        <v>0</v>
      </c>
    </row>
    <row r="410" spans="1:48">
      <c r="A410" s="108">
        <f ca="1">IF(AND('Customer Base'!D$34="Yes",'Customer Base'!D$13="Victron",'Customer Base'!D14&lt;&gt;6,'Customer Base'!D$7&lt;&gt;"Backup"),SUM(A257:A289),"")</f>
        <v>4</v>
      </c>
      <c r="C410" s="248" t="s">
        <v>921</v>
      </c>
      <c r="D410" s="336">
        <v>13.55</v>
      </c>
      <c r="E410" s="336">
        <v>12.766</v>
      </c>
      <c r="F410" s="269">
        <f t="shared" si="74"/>
        <v>11.115668580803938</v>
      </c>
      <c r="G410" s="243">
        <f>IFERROR(ROUNDUP(F410*INVOICE!$O$6,2),0)</f>
        <v>185.64</v>
      </c>
      <c r="H410" s="269">
        <f t="shared" si="75"/>
        <v>10.472518457752255</v>
      </c>
      <c r="I410" s="243">
        <f>IFERROR(ROUNDUP(H410*INVOICE!$O$6,2),0)</f>
        <v>174.89999999999998</v>
      </c>
      <c r="J410" s="108" t="str">
        <f t="shared" si="72"/>
        <v/>
      </c>
      <c r="L410" s="108" t="str">
        <f t="shared" si="73"/>
        <v/>
      </c>
      <c r="N410" s="108">
        <v>419</v>
      </c>
      <c r="O410" s="108" t="str">
        <f ca="1">IF(INVOICE!$N$16="MANUAL",IF(B410&lt;&gt;"",C410,""),IF(INVOICE!$N$16="AUTOMATE",IF(A410&lt;&gt;"",C410,""),""))</f>
        <v>Victron VE.Direct Cable 1,8m</v>
      </c>
      <c r="AO410" s="108">
        <f ca="1">IF(INVOICE!$N$16="MANUAL",IFERROR(AM410*B410,""),IF(INVOICE!$N$16="AUTOMATE",IFERROR(AM410*A410,""),""))</f>
        <v>0</v>
      </c>
      <c r="AV410" s="108">
        <f t="shared" si="69"/>
        <v>0</v>
      </c>
    </row>
    <row r="411" spans="1:48">
      <c r="C411" s="248" t="s">
        <v>922</v>
      </c>
      <c r="D411" s="336">
        <v>15.34</v>
      </c>
      <c r="E411" s="336">
        <v>14.45</v>
      </c>
      <c r="F411" s="269">
        <f t="shared" si="74"/>
        <v>12.584085315832649</v>
      </c>
      <c r="G411" s="243">
        <f>IFERROR(ROUNDUP(F411*INVOICE!$O$6,2),0)</f>
        <v>210.16</v>
      </c>
      <c r="H411" s="269">
        <f t="shared" si="75"/>
        <v>11.853978671041837</v>
      </c>
      <c r="I411" s="243">
        <f>IFERROR(ROUNDUP(H411*INVOICE!$O$6,2),0)</f>
        <v>197.97</v>
      </c>
      <c r="J411" s="108" t="str">
        <f t="shared" si="72"/>
        <v/>
      </c>
      <c r="L411" s="108" t="str">
        <f t="shared" si="73"/>
        <v/>
      </c>
      <c r="N411" s="108">
        <v>420</v>
      </c>
      <c r="O411" s="108" t="str">
        <f>IF(INVOICE!$N$16="MANUAL",IF(B411&lt;&gt;"",C411,""),IF(INVOICE!$N$16="AUTOMATE",IF(A411&lt;&gt;"",C411,""),""))</f>
        <v/>
      </c>
      <c r="AO411" s="108">
        <f>IF(INVOICE!$N$16="MANUAL",IFERROR(AM411*B411,""),IF(INVOICE!$N$16="AUTOMATE",IFERROR(AM411*A411,""),""))</f>
        <v>0</v>
      </c>
      <c r="AV411" s="108">
        <f t="shared" si="69"/>
        <v>0</v>
      </c>
    </row>
    <row r="412" spans="1:48">
      <c r="C412" s="248" t="s">
        <v>923</v>
      </c>
      <c r="D412" s="336">
        <v>17.170000000000002</v>
      </c>
      <c r="E412" s="336">
        <v>16.167999999999999</v>
      </c>
      <c r="F412" s="269">
        <f t="shared" si="74"/>
        <v>14.085315832649714</v>
      </c>
      <c r="G412" s="243">
        <f>IFERROR(ROUNDUP(F412*INVOICE!$O$6,2),0)</f>
        <v>235.23</v>
      </c>
      <c r="H412" s="269">
        <f t="shared" si="75"/>
        <v>13.263330598851516</v>
      </c>
      <c r="I412" s="243">
        <f>IFERROR(ROUNDUP(H412*INVOICE!$O$6,2),0)</f>
        <v>221.5</v>
      </c>
      <c r="J412" s="108" t="str">
        <f t="shared" si="72"/>
        <v/>
      </c>
      <c r="L412" s="108" t="str">
        <f t="shared" si="73"/>
        <v/>
      </c>
      <c r="N412" s="108">
        <v>421</v>
      </c>
      <c r="O412" s="108" t="str">
        <f>IF(INVOICE!$N$16="MANUAL",IF(B412&lt;&gt;"",C412,""),IF(INVOICE!$N$16="AUTOMATE",IF(A412&lt;&gt;"",C412,""),""))</f>
        <v/>
      </c>
      <c r="AO412" s="108">
        <f>IF(INVOICE!$N$16="MANUAL",IFERROR(AM412*B412,""),IF(INVOICE!$N$16="AUTOMATE",IFERROR(AM412*A412,""),""))</f>
        <v>0</v>
      </c>
      <c r="AV412" s="108">
        <f t="shared" si="69"/>
        <v>0</v>
      </c>
    </row>
    <row r="413" spans="1:48">
      <c r="C413" s="248" t="s">
        <v>924</v>
      </c>
      <c r="D413" s="336">
        <v>20.77</v>
      </c>
      <c r="E413" s="336">
        <v>19.57</v>
      </c>
      <c r="F413" s="269">
        <f t="shared" si="74"/>
        <v>17.038556193601313</v>
      </c>
      <c r="G413" s="243">
        <f>IFERROR(ROUNDUP(F413*INVOICE!$O$6,2),0)</f>
        <v>284.55</v>
      </c>
      <c r="H413" s="269">
        <f t="shared" si="75"/>
        <v>16.054142739950777</v>
      </c>
      <c r="I413" s="243">
        <f>IFERROR(ROUNDUP(H413*INVOICE!$O$6,2),0)</f>
        <v>268.11</v>
      </c>
      <c r="J413" s="108" t="str">
        <f t="shared" si="72"/>
        <v/>
      </c>
      <c r="L413" s="108" t="str">
        <f t="shared" si="73"/>
        <v/>
      </c>
      <c r="N413" s="108">
        <v>422</v>
      </c>
      <c r="O413" s="108" t="str">
        <f>IF(INVOICE!$N$16="MANUAL",IF(B413&lt;&gt;"",C413,""),IF(INVOICE!$N$16="AUTOMATE",IF(A413&lt;&gt;"",C413,""),""))</f>
        <v/>
      </c>
      <c r="AO413" s="108">
        <f>IF(INVOICE!$N$16="MANUAL",IFERROR(AM413*B413,""),IF(INVOICE!$N$16="AUTOMATE",IFERROR(AM413*A413,""),""))</f>
        <v>0</v>
      </c>
      <c r="AV413" s="108">
        <f t="shared" si="69"/>
        <v>0</v>
      </c>
    </row>
    <row r="414" spans="1:48">
      <c r="C414" s="248" t="s">
        <v>2754</v>
      </c>
      <c r="D414" s="336">
        <v>29.79</v>
      </c>
      <c r="E414" s="336">
        <v>28.058</v>
      </c>
      <c r="F414" s="269">
        <f t="shared" si="74"/>
        <v>24.438063986874486</v>
      </c>
      <c r="G414" s="243">
        <f>IFERROR(ROUNDUP(F414*INVOICE!$O$6,2),0)</f>
        <v>408.12</v>
      </c>
      <c r="H414" s="269">
        <f t="shared" si="75"/>
        <v>23.017227235438881</v>
      </c>
      <c r="I414" s="243">
        <f>IFERROR(ROUNDUP(H414*INVOICE!$O$6,2),0)</f>
        <v>384.39</v>
      </c>
      <c r="J414" s="108" t="str">
        <f t="shared" si="72"/>
        <v/>
      </c>
      <c r="L414" s="108" t="str">
        <f t="shared" si="73"/>
        <v/>
      </c>
      <c r="N414" s="108">
        <v>423</v>
      </c>
      <c r="O414" s="108" t="str">
        <f>IF(INVOICE!$N$16="MANUAL",IF(B414&lt;&gt;"",C414,""),IF(INVOICE!$N$16="AUTOMATE",IF(A414&lt;&gt;"",C414,""),""))</f>
        <v/>
      </c>
      <c r="AO414" s="108">
        <f>IF(INVOICE!$N$16="MANUAL",IFERROR(AM414*B414,""),IF(INVOICE!$N$16="AUTOMATE",IFERROR(AM414*A414,""),""))</f>
        <v>0</v>
      </c>
    </row>
    <row r="415" spans="1:48">
      <c r="C415" s="248" t="s">
        <v>2755</v>
      </c>
      <c r="D415" s="336">
        <v>28.896000000000001</v>
      </c>
      <c r="E415" s="336">
        <v>27.216000000000001</v>
      </c>
      <c r="F415" s="269">
        <f t="shared" si="74"/>
        <v>23.70467596390484</v>
      </c>
      <c r="G415" s="243">
        <f>IFERROR(ROUNDUP(F415*INVOICE!$O$6,2),0)</f>
        <v>395.87</v>
      </c>
      <c r="H415" s="269">
        <f t="shared" si="75"/>
        <v>22.326497128794092</v>
      </c>
      <c r="I415" s="243">
        <f>IFERROR(ROUNDUP(H415*INVOICE!$O$6,2),0)</f>
        <v>372.86</v>
      </c>
      <c r="J415" s="108" t="str">
        <f t="shared" si="72"/>
        <v/>
      </c>
      <c r="L415" s="108" t="str">
        <f t="shared" si="73"/>
        <v/>
      </c>
      <c r="N415" s="108">
        <v>424</v>
      </c>
      <c r="O415" s="108" t="str">
        <f>IF(INVOICE!$N$16="MANUAL",IF(B415&lt;&gt;"",C415,""),IF(INVOICE!$N$16="AUTOMATE",IF(A415&lt;&gt;"",C415,""),""))</f>
        <v/>
      </c>
      <c r="AO415" s="108">
        <f>IF(INVOICE!$N$16="MANUAL",IFERROR(AM415*B415,""),IF(INVOICE!$N$16="AUTOMATE",IFERROR(AM415*A415,""),""))</f>
        <v>0</v>
      </c>
    </row>
    <row r="416" spans="1:48">
      <c r="C416" s="248" t="s">
        <v>925</v>
      </c>
      <c r="D416" s="336">
        <v>69.52</v>
      </c>
      <c r="E416" s="336">
        <v>65.48</v>
      </c>
      <c r="F416" s="269">
        <f t="shared" si="74"/>
        <v>57.030352748154215</v>
      </c>
      <c r="G416" s="243">
        <f>IFERROR(ROUNDUP(F416*INVOICE!$O$6,2),0)</f>
        <v>952.41</v>
      </c>
      <c r="H416" s="269">
        <f t="shared" si="75"/>
        <v>53.716160787530761</v>
      </c>
      <c r="I416" s="243">
        <f>IFERROR(ROUNDUP(H416*INVOICE!$O$6,2),0)</f>
        <v>897.06</v>
      </c>
      <c r="J416" s="108" t="str">
        <f t="shared" si="72"/>
        <v/>
      </c>
      <c r="L416" s="108" t="str">
        <f t="shared" si="73"/>
        <v/>
      </c>
      <c r="N416" s="108">
        <v>425</v>
      </c>
      <c r="O416" s="108" t="str">
        <f>IF(INVOICE!$N$16="MANUAL",IF(B416&lt;&gt;"",C416,""),IF(INVOICE!$N$16="AUTOMATE",IF(A416&lt;&gt;"",C416,""),""))</f>
        <v/>
      </c>
      <c r="AO416" s="108">
        <f>IF(INVOICE!$N$16="MANUAL",IFERROR(AM416*B416,""),IF(INVOICE!$N$16="AUTOMATE",IFERROR(AM416*A416,""),""))</f>
        <v>0</v>
      </c>
      <c r="AV416" s="108">
        <f t="shared" si="69"/>
        <v>0</v>
      </c>
    </row>
    <row r="417" spans="1:48">
      <c r="C417" s="248" t="s">
        <v>2753</v>
      </c>
      <c r="D417" s="336">
        <v>60.51</v>
      </c>
      <c r="E417" s="336">
        <v>56.991999999999997</v>
      </c>
      <c r="F417" s="269">
        <f t="shared" si="74"/>
        <v>49.639048400328136</v>
      </c>
      <c r="G417" s="243">
        <f>IFERROR(ROUNDUP(F417*INVOICE!$O$6,2),0)</f>
        <v>828.98</v>
      </c>
      <c r="H417" s="269">
        <f t="shared" si="75"/>
        <v>46.75307629204265</v>
      </c>
      <c r="I417" s="243">
        <f>IFERROR(ROUNDUP(H417*INVOICE!$O$6,2),0)</f>
        <v>780.78</v>
      </c>
      <c r="J417" s="108" t="str">
        <f t="shared" si="72"/>
        <v/>
      </c>
      <c r="L417" s="108" t="str">
        <f t="shared" si="73"/>
        <v/>
      </c>
      <c r="N417" s="108">
        <v>426</v>
      </c>
      <c r="O417" s="108" t="str">
        <f>IF(INVOICE!$N$16="MANUAL",IF(B417&lt;&gt;"",C417,""),IF(INVOICE!$N$16="AUTOMATE",IF(A417&lt;&gt;"",C417,""),""))</f>
        <v/>
      </c>
      <c r="AO417" s="108">
        <f>IF(INVOICE!$N$16="MANUAL",IFERROR(AM417*B417,""),IF(INVOICE!$N$16="AUTOMATE",IFERROR(AM417*A417,""),""))</f>
        <v>0</v>
      </c>
    </row>
    <row r="418" spans="1:48">
      <c r="C418" s="248" t="s">
        <v>2752</v>
      </c>
      <c r="D418" s="336">
        <v>517.41</v>
      </c>
      <c r="E418" s="336">
        <v>487.32799999999997</v>
      </c>
      <c r="F418" s="269">
        <f t="shared" si="74"/>
        <v>424.45447087776859</v>
      </c>
      <c r="G418" s="243">
        <f>IFERROR(ROUNDUP(F418*INVOICE!$O$6,2),0)</f>
        <v>7088.39</v>
      </c>
      <c r="H418" s="269">
        <f t="shared" si="75"/>
        <v>399.77686628383918</v>
      </c>
      <c r="I418" s="243">
        <f>IFERROR(ROUNDUP(H418*INVOICE!$O$6,2),0)</f>
        <v>6676.2800000000007</v>
      </c>
      <c r="J418" s="108" t="str">
        <f t="shared" si="72"/>
        <v/>
      </c>
      <c r="L418" s="108" t="str">
        <f t="shared" si="73"/>
        <v/>
      </c>
      <c r="N418" s="108">
        <v>427</v>
      </c>
      <c r="O418" s="108" t="str">
        <f>IF(INVOICE!$N$16="MANUAL",IF(B418&lt;&gt;"",C418,""),IF(INVOICE!$N$16="AUTOMATE",IF(A418&lt;&gt;"",C418,""),""))</f>
        <v/>
      </c>
      <c r="AO418" s="108">
        <f>IF(INVOICE!$N$16="MANUAL",IFERROR(AM418*B418,""),IF(INVOICE!$N$16="AUTOMATE",IFERROR(AM418*A418,""),""))</f>
        <v>0</v>
      </c>
    </row>
    <row r="419" spans="1:48">
      <c r="C419" s="248" t="s">
        <v>2751</v>
      </c>
      <c r="D419" s="336">
        <v>55.07</v>
      </c>
      <c r="E419" s="336">
        <v>51.872</v>
      </c>
      <c r="F419" s="269">
        <f t="shared" si="74"/>
        <v>45.176374077112385</v>
      </c>
      <c r="G419" s="243">
        <f>IFERROR(ROUNDUP(F419*INVOICE!$O$6,2),0)</f>
        <v>754.45</v>
      </c>
      <c r="H419" s="269">
        <f t="shared" si="75"/>
        <v>42.55291222313371</v>
      </c>
      <c r="I419" s="243">
        <f>IFERROR(ROUNDUP(H419*INVOICE!$O$6,2),0)</f>
        <v>710.64</v>
      </c>
      <c r="J419" s="108" t="str">
        <f t="shared" si="72"/>
        <v/>
      </c>
      <c r="L419" s="108" t="str">
        <f t="shared" si="73"/>
        <v/>
      </c>
      <c r="N419" s="108">
        <v>428</v>
      </c>
      <c r="O419" s="108" t="str">
        <f>IF(INVOICE!$N$16="MANUAL",IF(B419&lt;&gt;"",C419,""),IF(INVOICE!$N$16="AUTOMATE",IF(A419&lt;&gt;"",C419,""),""))</f>
        <v/>
      </c>
      <c r="AO419" s="108">
        <f>IF(INVOICE!$N$16="MANUAL",IFERROR(AM419*B419,""),IF(INVOICE!$N$16="AUTOMATE",IFERROR(AM419*A419,""),""))</f>
        <v>0</v>
      </c>
    </row>
    <row r="420" spans="1:48">
      <c r="C420" s="248" t="s">
        <v>926</v>
      </c>
      <c r="D420" s="336">
        <v>28.9</v>
      </c>
      <c r="E420" s="336">
        <v>27.216000000000001</v>
      </c>
      <c r="F420" s="269">
        <f t="shared" si="74"/>
        <v>23.707957342083674</v>
      </c>
      <c r="G420" s="243">
        <f>IFERROR(ROUNDUP(F420*INVOICE!$O$6,2),0)</f>
        <v>395.93</v>
      </c>
      <c r="H420" s="269">
        <f t="shared" si="75"/>
        <v>22.326497128794092</v>
      </c>
      <c r="I420" s="243">
        <f>IFERROR(ROUNDUP(H420*INVOICE!$O$6,2),0)</f>
        <v>372.86</v>
      </c>
      <c r="J420" s="108" t="str">
        <f t="shared" si="72"/>
        <v/>
      </c>
      <c r="L420" s="108" t="str">
        <f t="shared" si="73"/>
        <v/>
      </c>
      <c r="N420" s="108">
        <v>429</v>
      </c>
      <c r="O420" s="108" t="str">
        <f>IF(INVOICE!$N$16="MANUAL",IF(B420&lt;&gt;"",C420,""),IF(INVOICE!$N$16="AUTOMATE",IF(A420&lt;&gt;"",C420,""),""))</f>
        <v/>
      </c>
      <c r="AO420" s="108">
        <f>IF(INVOICE!$N$16="MANUAL",IFERROR(AM420*B420,""),IF(INVOICE!$N$16="AUTOMATE",IFERROR(AM420*A420,""),""))</f>
        <v>0</v>
      </c>
      <c r="AV420" s="108">
        <f t="shared" si="69"/>
        <v>0</v>
      </c>
    </row>
    <row r="421" spans="1:48">
      <c r="C421" s="248" t="s">
        <v>927</v>
      </c>
      <c r="D421" s="336">
        <v>27.09</v>
      </c>
      <c r="E421" s="336">
        <v>25.515000000000001</v>
      </c>
      <c r="F421" s="269">
        <f t="shared" si="74"/>
        <v>22.223133716160785</v>
      </c>
      <c r="G421" s="243">
        <f>IFERROR(ROUNDUP(F421*INVOICE!$O$6,2),0)</f>
        <v>371.13</v>
      </c>
      <c r="H421" s="269">
        <f t="shared" si="75"/>
        <v>20.931091058244462</v>
      </c>
      <c r="I421" s="243">
        <f>IFERROR(ROUNDUP(H421*INVOICE!$O$6,2),0)</f>
        <v>349.55</v>
      </c>
      <c r="J421" s="108" t="str">
        <f t="shared" si="72"/>
        <v/>
      </c>
      <c r="L421" s="108" t="str">
        <f t="shared" si="73"/>
        <v/>
      </c>
      <c r="N421" s="108">
        <v>430</v>
      </c>
      <c r="O421" s="108" t="str">
        <f>IF(INVOICE!$N$16="MANUAL",IF(B421&lt;&gt;"",C421,""),IF(INVOICE!$N$16="AUTOMATE",IF(A421&lt;&gt;"",C421,""),""))</f>
        <v/>
      </c>
      <c r="AO421" s="108">
        <f>IF(INVOICE!$N$16="MANUAL",IFERROR(AM421*B421,""),IF(INVOICE!$N$16="AUTOMATE",IFERROR(AM421*A421,""),""))</f>
        <v>0</v>
      </c>
      <c r="AV421" s="108">
        <f t="shared" si="69"/>
        <v>0</v>
      </c>
    </row>
    <row r="422" spans="1:48">
      <c r="C422" s="248" t="s">
        <v>928</v>
      </c>
      <c r="D422" s="336">
        <v>28</v>
      </c>
      <c r="E422" s="336">
        <v>26.373999999999999</v>
      </c>
      <c r="F422" s="269">
        <f t="shared" si="74"/>
        <v>22.969647251845775</v>
      </c>
      <c r="G422" s="243">
        <f>IFERROR(ROUNDUP(F422*INVOICE!$O$6,2),0)</f>
        <v>383.59999999999997</v>
      </c>
      <c r="H422" s="269">
        <f t="shared" si="75"/>
        <v>21.635767022149299</v>
      </c>
      <c r="I422" s="243">
        <f>IFERROR(ROUNDUP(H422*INVOICE!$O$6,2),0)</f>
        <v>361.32</v>
      </c>
      <c r="J422" s="108" t="str">
        <f t="shared" si="72"/>
        <v/>
      </c>
      <c r="L422" s="108" t="str">
        <f t="shared" si="73"/>
        <v/>
      </c>
      <c r="N422" s="108">
        <v>431</v>
      </c>
      <c r="O422" s="108" t="str">
        <f>IF(INVOICE!$N$16="MANUAL",IF(B422&lt;&gt;"",C422,""),IF(INVOICE!$N$16="AUTOMATE",IF(A422&lt;&gt;"",C422,""),""))</f>
        <v/>
      </c>
      <c r="AO422" s="108">
        <f>IF(INVOICE!$N$16="MANUAL",IFERROR(AM422*B422,""),IF(INVOICE!$N$16="AUTOMATE",IFERROR(AM422*A422,""),""))</f>
        <v>0</v>
      </c>
      <c r="AV422" s="108">
        <f t="shared" si="69"/>
        <v>0</v>
      </c>
    </row>
    <row r="423" spans="1:48">
      <c r="C423" s="248" t="s">
        <v>929</v>
      </c>
      <c r="D423" s="336">
        <v>31.61</v>
      </c>
      <c r="E423" s="336">
        <v>29.776</v>
      </c>
      <c r="F423" s="269">
        <f t="shared" si="74"/>
        <v>25.931091058244462</v>
      </c>
      <c r="G423" s="243">
        <f>IFERROR(ROUNDUP(F423*INVOICE!$O$6,2),0)</f>
        <v>433.05</v>
      </c>
      <c r="H423" s="269">
        <f t="shared" si="75"/>
        <v>24.426579163248562</v>
      </c>
      <c r="I423" s="243">
        <f>IFERROR(ROUNDUP(H423*INVOICE!$O$6,2),0)</f>
        <v>407.93</v>
      </c>
      <c r="J423" s="108" t="str">
        <f t="shared" si="72"/>
        <v/>
      </c>
      <c r="L423" s="108" t="str">
        <f t="shared" si="73"/>
        <v/>
      </c>
      <c r="N423" s="108">
        <v>432</v>
      </c>
      <c r="O423" s="108" t="str">
        <f>IF(INVOICE!$N$16="MANUAL",IF(B423&lt;&gt;"",C423,""),IF(INVOICE!$N$16="AUTOMATE",IF(A423&lt;&gt;"",C423,""),""))</f>
        <v/>
      </c>
      <c r="AO423" s="108">
        <f>IF(INVOICE!$N$16="MANUAL",IFERROR(AM423*B423,""),IF(INVOICE!$N$16="AUTOMATE",IFERROR(AM423*A423,""),""))</f>
        <v>0</v>
      </c>
      <c r="AV423" s="108">
        <f t="shared" si="69"/>
        <v>0</v>
      </c>
    </row>
    <row r="424" spans="1:48">
      <c r="C424" s="248" t="s">
        <v>930</v>
      </c>
      <c r="D424" s="336">
        <v>9.94</v>
      </c>
      <c r="E424" s="336">
        <v>9.3640000000000008</v>
      </c>
      <c r="F424" s="269">
        <f t="shared" si="74"/>
        <v>8.1542247744052485</v>
      </c>
      <c r="G424" s="243">
        <f>IFERROR(ROUNDUP(F424*INVOICE!$O$6,2),0)</f>
        <v>136.17999999999998</v>
      </c>
      <c r="H424" s="269">
        <f t="shared" si="75"/>
        <v>7.6817063166529946</v>
      </c>
      <c r="I424" s="243">
        <f>IFERROR(ROUNDUP(H424*INVOICE!$O$6,2),0)</f>
        <v>128.29</v>
      </c>
      <c r="J424" s="108" t="str">
        <f t="shared" si="72"/>
        <v/>
      </c>
      <c r="L424" s="108" t="str">
        <f t="shared" si="73"/>
        <v/>
      </c>
      <c r="N424" s="108">
        <v>433</v>
      </c>
      <c r="O424" s="108" t="str">
        <f>IF(INVOICE!$N$16="MANUAL",IF(B424&lt;&gt;"",C424,""),IF(INVOICE!$N$16="AUTOMATE",IF(A424&lt;&gt;"",C424,""),""))</f>
        <v/>
      </c>
      <c r="AO424" s="108">
        <f>IF(INVOICE!$N$16="MANUAL",IFERROR(AM424*B424,""),IF(INVOICE!$N$16="AUTOMATE",IFERROR(AM424*A424,""),""))</f>
        <v>0</v>
      </c>
      <c r="AV424" s="108">
        <f t="shared" si="69"/>
        <v>0</v>
      </c>
    </row>
    <row r="425" spans="1:48">
      <c r="C425" s="231"/>
      <c r="D425" s="329"/>
      <c r="E425" s="329"/>
      <c r="F425" s="261">
        <f t="shared" si="74"/>
        <v>0</v>
      </c>
      <c r="G425" s="229">
        <f>IFERROR(ROUNDUP(F425*INVOICE!$O$6,2),0)</f>
        <v>0</v>
      </c>
      <c r="H425" s="261">
        <f t="shared" si="75"/>
        <v>0</v>
      </c>
      <c r="I425" s="229">
        <f>IFERROR(ROUNDUP(H425*INVOICE!$O$6,2),0)</f>
        <v>0</v>
      </c>
      <c r="J425" s="108" t="str">
        <f t="shared" si="72"/>
        <v/>
      </c>
      <c r="L425" s="108" t="str">
        <f t="shared" si="73"/>
        <v/>
      </c>
      <c r="N425" s="108">
        <v>434</v>
      </c>
      <c r="O425" s="108" t="str">
        <f>IF(INVOICE!$N$16="MANUAL",IF(B425&lt;&gt;"",C425,""),IF(INVOICE!$N$16="AUTOMATE",IF(A425&lt;&gt;"",C425,""),""))</f>
        <v/>
      </c>
      <c r="AO425" s="108">
        <f>IF(INVOICE!$N$16="MANUAL",IFERROR(AM425*B425,""),IF(INVOICE!$N$16="AUTOMATE",IFERROR(AM425*A425,""),""))</f>
        <v>0</v>
      </c>
      <c r="AV425" s="108">
        <f t="shared" si="69"/>
        <v>0</v>
      </c>
    </row>
    <row r="426" spans="1:48">
      <c r="A426" s="108">
        <f>IF(AND('Customer Base'!D20="BYD",'Customer Base'!D7&lt;&gt;"Grid-Tied"),1,"")</f>
        <v>1</v>
      </c>
      <c r="C426" s="248" t="s">
        <v>1188</v>
      </c>
      <c r="D426" s="336">
        <v>14.45</v>
      </c>
      <c r="E426" s="336">
        <v>13.608000000000001</v>
      </c>
      <c r="F426" s="269">
        <f t="shared" si="74"/>
        <v>11.853978671041837</v>
      </c>
      <c r="G426" s="243">
        <f>IFERROR(ROUNDUP(F426*INVOICE!$O$6,2),0)</f>
        <v>197.97</v>
      </c>
      <c r="H426" s="269">
        <f t="shared" si="75"/>
        <v>11.163248564397046</v>
      </c>
      <c r="I426" s="243">
        <f>IFERROR(ROUNDUP(H426*INVOICE!$O$6,2),0)</f>
        <v>186.42999999999998</v>
      </c>
      <c r="J426" s="108" t="str">
        <f t="shared" si="72"/>
        <v/>
      </c>
      <c r="L426" s="108" t="str">
        <f t="shared" si="73"/>
        <v/>
      </c>
      <c r="N426" s="108">
        <v>435</v>
      </c>
      <c r="O426" s="108" t="str">
        <f>IF(INVOICE!$N$16="MANUAL",IF(B426&lt;&gt;"",C426,""),IF(INVOICE!$N$16="AUTOMATE",IF(A426&lt;&gt;"",C426,""),""))</f>
        <v>Victron VE.Can to CAN-bus BMS type A Cable 1.8m</v>
      </c>
      <c r="AO426" s="108">
        <f>IF(INVOICE!$N$16="MANUAL",IFERROR(AM426*B426,""),IF(INVOICE!$N$16="AUTOMATE",IFERROR(AM426*A426,""),""))</f>
        <v>0</v>
      </c>
      <c r="AV426" s="108">
        <f t="shared" si="69"/>
        <v>0</v>
      </c>
    </row>
    <row r="427" spans="1:48">
      <c r="C427" s="248" t="s">
        <v>1189</v>
      </c>
      <c r="D427" s="336">
        <v>17.48</v>
      </c>
      <c r="E427" s="336">
        <v>13.608000000000001</v>
      </c>
      <c r="F427" s="269">
        <f t="shared" si="74"/>
        <v>14.339622641509433</v>
      </c>
      <c r="G427" s="243">
        <f>IFERROR(ROUNDUP(F427*INVOICE!$O$6,2),0)</f>
        <v>239.48</v>
      </c>
      <c r="H427" s="269">
        <f t="shared" si="75"/>
        <v>11.163248564397046</v>
      </c>
      <c r="I427" s="243">
        <f>IFERROR(ROUNDUP(H427*INVOICE!$O$6,2),0)</f>
        <v>186.42999999999998</v>
      </c>
      <c r="J427" s="108" t="str">
        <f t="shared" si="72"/>
        <v/>
      </c>
      <c r="L427" s="108" t="str">
        <f t="shared" si="73"/>
        <v/>
      </c>
      <c r="N427" s="108">
        <v>436</v>
      </c>
      <c r="O427" s="108" t="str">
        <f>IF(INVOICE!$N$16="MANUAL",IF(B427&lt;&gt;"",C427,""),IF(INVOICE!$N$16="AUTOMATE",IF(A427&lt;&gt;"",C427,""),""))</f>
        <v/>
      </c>
      <c r="AO427" s="108">
        <f>IF(INVOICE!$N$16="MANUAL",IFERROR(AM427*B427,""),IF(INVOICE!$N$16="AUTOMATE",IFERROR(AM427*A427,""),""))</f>
        <v>0</v>
      </c>
      <c r="AV427" s="108">
        <f t="shared" si="69"/>
        <v>0</v>
      </c>
    </row>
    <row r="428" spans="1:48">
      <c r="C428" s="248" t="s">
        <v>1190</v>
      </c>
      <c r="D428" s="336">
        <v>17.48</v>
      </c>
      <c r="E428" s="336">
        <v>13.608000000000001</v>
      </c>
      <c r="F428" s="269">
        <f t="shared" si="74"/>
        <v>14.339622641509433</v>
      </c>
      <c r="G428" s="243">
        <f>IFERROR(ROUNDUP(F428*INVOICE!$O$6,2),0)</f>
        <v>239.48</v>
      </c>
      <c r="H428" s="269">
        <f t="shared" si="75"/>
        <v>11.163248564397046</v>
      </c>
      <c r="I428" s="243">
        <f>IFERROR(ROUNDUP(H428*INVOICE!$O$6,2),0)</f>
        <v>186.42999999999998</v>
      </c>
      <c r="J428" s="108" t="str">
        <f t="shared" si="72"/>
        <v/>
      </c>
      <c r="L428" s="108" t="str">
        <f t="shared" si="73"/>
        <v/>
      </c>
      <c r="N428" s="108">
        <v>437</v>
      </c>
      <c r="O428" s="108" t="str">
        <f>IF(INVOICE!$N$16="MANUAL",IF(B428&lt;&gt;"",C428,""),IF(INVOICE!$N$16="AUTOMATE",IF(A428&lt;&gt;"",C428,""),""))</f>
        <v/>
      </c>
      <c r="AO428" s="108">
        <f>IF(INVOICE!$N$16="MANUAL",IFERROR(AM428*B428,""),IF(INVOICE!$N$16="AUTOMATE",IFERROR(AM428*A428,""),""))</f>
        <v>0</v>
      </c>
      <c r="AV428" s="108">
        <f t="shared" si="69"/>
        <v>0</v>
      </c>
    </row>
    <row r="429" spans="1:48">
      <c r="C429" s="248" t="s">
        <v>1191</v>
      </c>
      <c r="D429" s="336">
        <v>14.45</v>
      </c>
      <c r="E429" s="336">
        <v>13.608000000000001</v>
      </c>
      <c r="F429" s="269">
        <f t="shared" si="74"/>
        <v>11.853978671041837</v>
      </c>
      <c r="G429" s="243">
        <f>IFERROR(ROUNDUP(F429*INVOICE!$O$6,2),0)</f>
        <v>197.97</v>
      </c>
      <c r="H429" s="269">
        <f t="shared" si="75"/>
        <v>11.163248564397046</v>
      </c>
      <c r="I429" s="243">
        <f>IFERROR(ROUNDUP(H429*INVOICE!$O$6,2),0)</f>
        <v>186.42999999999998</v>
      </c>
      <c r="J429" s="108" t="str">
        <f t="shared" si="72"/>
        <v/>
      </c>
      <c r="L429" s="108" t="str">
        <f t="shared" si="73"/>
        <v/>
      </c>
      <c r="N429" s="108">
        <v>438</v>
      </c>
      <c r="O429" s="108" t="str">
        <f>IF(INVOICE!$N$16="MANUAL",IF(B429&lt;&gt;"",C429,""),IF(INVOICE!$N$16="AUTOMATE",IF(A429&lt;&gt;"",C429,""),""))</f>
        <v/>
      </c>
      <c r="AO429" s="108">
        <f>IF(INVOICE!$N$16="MANUAL",IFERROR(AM429*B429,""),IF(INVOICE!$N$16="AUTOMATE",IFERROR(AM429*A429,""),""))</f>
        <v>0</v>
      </c>
      <c r="AV429" s="108">
        <f t="shared" si="69"/>
        <v>0</v>
      </c>
    </row>
    <row r="430" spans="1:48">
      <c r="D430" s="324"/>
      <c r="E430" s="324"/>
      <c r="F430" s="229">
        <f t="shared" si="74"/>
        <v>0</v>
      </c>
      <c r="G430" s="229">
        <f>IFERROR(ROUNDUP(F430*INVOICE!$O$6,2),0)</f>
        <v>0</v>
      </c>
      <c r="H430" s="229">
        <f t="shared" si="75"/>
        <v>0</v>
      </c>
      <c r="I430" s="229">
        <f>IFERROR(ROUNDUP(H430*INVOICE!$O$6,2),0)</f>
        <v>0</v>
      </c>
      <c r="J430" s="108" t="str">
        <f t="shared" si="72"/>
        <v/>
      </c>
      <c r="L430" s="108" t="str">
        <f t="shared" si="73"/>
        <v/>
      </c>
      <c r="N430" s="108">
        <v>439</v>
      </c>
      <c r="O430" s="108" t="str">
        <f>IF(INVOICE!$N$16="MANUAL",IF(B430&lt;&gt;"",C430,""),IF(INVOICE!$N$16="AUTOMATE",IF(A430&lt;&gt;"",C430,""),""))</f>
        <v/>
      </c>
      <c r="AO430" s="108">
        <f>IF(INVOICE!$N$16="MANUAL",IFERROR(AM430*B430,""),IF(INVOICE!$N$16="AUTOMATE",IFERROR(AM430*A430,""),""))</f>
        <v>0</v>
      </c>
      <c r="AV430" s="108">
        <f t="shared" si="69"/>
        <v>0</v>
      </c>
    </row>
    <row r="431" spans="1:48">
      <c r="C431" s="256" t="s">
        <v>1174</v>
      </c>
      <c r="D431" s="333">
        <v>22.57</v>
      </c>
      <c r="E431" s="333">
        <v>21.254000000000001</v>
      </c>
      <c r="F431" s="250">
        <f t="shared" si="74"/>
        <v>18.515176374077111</v>
      </c>
      <c r="G431" s="250">
        <f>IFERROR(ROUNDUP(F431*INVOICE!$O$6,2),0)</f>
        <v>309.20999999999998</v>
      </c>
      <c r="H431" s="250">
        <f t="shared" si="75"/>
        <v>17.435602953240362</v>
      </c>
      <c r="I431" s="250">
        <f>IFERROR(ROUNDUP(H431*INVOICE!$O$6,2),0)</f>
        <v>291.18</v>
      </c>
      <c r="J431" s="108" t="str">
        <f t="shared" si="72"/>
        <v/>
      </c>
      <c r="L431" s="108" t="str">
        <f t="shared" si="73"/>
        <v/>
      </c>
      <c r="N431" s="108">
        <v>440</v>
      </c>
      <c r="O431" s="108" t="str">
        <f>IF(INVOICE!$N$16="MANUAL",IF(B431&lt;&gt;"",C431,""),IF(INVOICE!$N$16="AUTOMATE",IF(A431&lt;&gt;"",C431,""),""))</f>
        <v/>
      </c>
      <c r="AO431" s="108">
        <f>IF(INVOICE!$N$16="MANUAL",IFERROR(AM431*B431,""),IF(INVOICE!$N$16="AUTOMATE",IFERROR(AM431*A431,""),""))</f>
        <v>0</v>
      </c>
      <c r="AV431" s="108">
        <f t="shared" si="69"/>
        <v>0</v>
      </c>
    </row>
    <row r="432" spans="1:48">
      <c r="C432" s="256" t="s">
        <v>932</v>
      </c>
      <c r="D432" s="333">
        <v>9.94</v>
      </c>
      <c r="E432" s="333">
        <v>9.3640000000000008</v>
      </c>
      <c r="F432" s="250">
        <f t="shared" si="74"/>
        <v>8.1542247744052485</v>
      </c>
      <c r="G432" s="250">
        <f>IFERROR(ROUNDUP(F432*INVOICE!$O$6,2),0)</f>
        <v>136.17999999999998</v>
      </c>
      <c r="H432" s="250">
        <f t="shared" si="75"/>
        <v>7.6817063166529946</v>
      </c>
      <c r="I432" s="250">
        <f>IFERROR(ROUNDUP(H432*INVOICE!$O$6,2),0)</f>
        <v>128.29</v>
      </c>
      <c r="J432" s="108" t="str">
        <f t="shared" si="72"/>
        <v/>
      </c>
      <c r="L432" s="108" t="str">
        <f t="shared" si="73"/>
        <v/>
      </c>
      <c r="N432" s="108">
        <v>441</v>
      </c>
      <c r="O432" s="108" t="str">
        <f>IF(INVOICE!$N$16="MANUAL",IF(B432&lt;&gt;"",C432,""),IF(INVOICE!$N$16="AUTOMATE",IF(A432&lt;&gt;"",C432,""),""))</f>
        <v/>
      </c>
      <c r="AO432" s="108">
        <f>IF(INVOICE!$N$16="MANUAL",IFERROR(AM432*B432,""),IF(INVOICE!$N$16="AUTOMATE",IFERROR(AM432*A432,""),""))</f>
        <v>0</v>
      </c>
      <c r="AV432" s="108">
        <f t="shared" si="69"/>
        <v>0</v>
      </c>
    </row>
    <row r="433" spans="3:48">
      <c r="C433" s="256" t="s">
        <v>2777</v>
      </c>
      <c r="D433" s="333">
        <v>9.94</v>
      </c>
      <c r="E433" s="333">
        <v>9.3640000000000008</v>
      </c>
      <c r="F433" s="250">
        <f t="shared" si="74"/>
        <v>8.1542247744052485</v>
      </c>
      <c r="G433" s="250">
        <f>IFERROR(ROUNDUP(F433*INVOICE!$O$6,2),0)</f>
        <v>136.17999999999998</v>
      </c>
      <c r="H433" s="250">
        <f t="shared" si="75"/>
        <v>7.6817063166529946</v>
      </c>
      <c r="I433" s="250">
        <f>IFERROR(ROUNDUP(H433*INVOICE!$O$6,2),0)</f>
        <v>128.29</v>
      </c>
      <c r="J433" s="108" t="str">
        <f t="shared" si="72"/>
        <v/>
      </c>
      <c r="L433" s="108" t="str">
        <f t="shared" si="73"/>
        <v/>
      </c>
      <c r="N433" s="108">
        <v>442</v>
      </c>
      <c r="O433" s="108" t="str">
        <f>IF(INVOICE!$N$16="MANUAL",IF(B433&lt;&gt;"",C433,""),IF(INVOICE!$N$16="AUTOMATE",IF(A433&lt;&gt;"",C433,""),""))</f>
        <v/>
      </c>
      <c r="AO433" s="108">
        <f>IF(INVOICE!$N$16="MANUAL",IFERROR(AM433*B433,""),IF(INVOICE!$N$16="AUTOMATE",IFERROR(AM433*A433,""),""))</f>
        <v>0</v>
      </c>
      <c r="AV433" s="108">
        <f t="shared" si="69"/>
        <v>0</v>
      </c>
    </row>
    <row r="434" spans="3:48">
      <c r="C434" s="256" t="s">
        <v>931</v>
      </c>
      <c r="D434" s="333">
        <v>9.0299999999999994</v>
      </c>
      <c r="E434" s="333">
        <v>8.5050000000000008</v>
      </c>
      <c r="F434" s="250">
        <f t="shared" si="74"/>
        <v>7.4077112387202613</v>
      </c>
      <c r="G434" s="250">
        <f>IFERROR(ROUNDUP(F434*INVOICE!$O$6,2),0)</f>
        <v>123.71000000000001</v>
      </c>
      <c r="H434" s="250">
        <f t="shared" si="75"/>
        <v>6.9770303527481543</v>
      </c>
      <c r="I434" s="250">
        <f>IFERROR(ROUNDUP(H434*INVOICE!$O$6,2),0)</f>
        <v>116.52000000000001</v>
      </c>
      <c r="J434" s="108" t="str">
        <f t="shared" si="72"/>
        <v/>
      </c>
      <c r="L434" s="108" t="str">
        <f t="shared" si="73"/>
        <v/>
      </c>
      <c r="N434" s="108">
        <v>443</v>
      </c>
      <c r="O434" s="108" t="str">
        <f>IF(INVOICE!$N$16="MANUAL",IF(B434&lt;&gt;"",C434,""),IF(INVOICE!$N$16="AUTOMATE",IF(A434&lt;&gt;"",C434,""),""))</f>
        <v/>
      </c>
      <c r="AO434" s="108">
        <f>IF(INVOICE!$N$16="MANUAL",IFERROR(AM434*B434,""),IF(INVOICE!$N$16="AUTOMATE",IFERROR(AM434*A434,""),""))</f>
        <v>0</v>
      </c>
      <c r="AV434" s="108">
        <f t="shared" si="69"/>
        <v>0</v>
      </c>
    </row>
    <row r="435" spans="3:48">
      <c r="C435" s="256" t="s">
        <v>933</v>
      </c>
      <c r="D435" s="333">
        <v>11.73</v>
      </c>
      <c r="E435" s="333">
        <v>11.048</v>
      </c>
      <c r="F435" s="250">
        <f t="shared" si="74"/>
        <v>9.6226415094339615</v>
      </c>
      <c r="G435" s="250">
        <f>IFERROR(ROUNDUP(F435*INVOICE!$O$6,2),0)</f>
        <v>160.69999999999999</v>
      </c>
      <c r="H435" s="250">
        <f t="shared" si="75"/>
        <v>9.0631665299425759</v>
      </c>
      <c r="I435" s="250">
        <f>IFERROR(ROUNDUP(H435*INVOICE!$O$6,2),0)</f>
        <v>151.35999999999999</v>
      </c>
      <c r="J435" s="108" t="str">
        <f t="shared" si="72"/>
        <v/>
      </c>
      <c r="L435" s="108" t="str">
        <f t="shared" si="73"/>
        <v/>
      </c>
      <c r="N435" s="108">
        <v>444</v>
      </c>
      <c r="O435" s="108" t="str">
        <f>IF(INVOICE!$N$16="MANUAL",IF(B435&lt;&gt;"",C435,""),IF(INVOICE!$N$16="AUTOMATE",IF(A435&lt;&gt;"",C435,""),""))</f>
        <v/>
      </c>
      <c r="AO435" s="108">
        <f>IF(INVOICE!$N$16="MANUAL",IFERROR(AM435*B435,""),IF(INVOICE!$N$16="AUTOMATE",IFERROR(AM435*A435,""),""))</f>
        <v>0</v>
      </c>
      <c r="AV435" s="108">
        <f t="shared" si="69"/>
        <v>0</v>
      </c>
    </row>
    <row r="436" spans="3:48">
      <c r="C436" s="256" t="s">
        <v>934</v>
      </c>
      <c r="D436" s="333">
        <v>28</v>
      </c>
      <c r="E436" s="333">
        <v>26.373999999999999</v>
      </c>
      <c r="F436" s="250">
        <f t="shared" si="74"/>
        <v>22.969647251845775</v>
      </c>
      <c r="G436" s="250">
        <f>IFERROR(ROUNDUP(F436*INVOICE!$O$6,2),0)</f>
        <v>383.59999999999997</v>
      </c>
      <c r="H436" s="250">
        <f t="shared" si="75"/>
        <v>21.635767022149299</v>
      </c>
      <c r="I436" s="250">
        <f>IFERROR(ROUNDUP(H436*INVOICE!$O$6,2),0)</f>
        <v>361.32</v>
      </c>
      <c r="J436" s="108" t="str">
        <f t="shared" si="72"/>
        <v/>
      </c>
      <c r="L436" s="108" t="str">
        <f t="shared" si="73"/>
        <v/>
      </c>
      <c r="N436" s="108">
        <v>445</v>
      </c>
      <c r="O436" s="108" t="str">
        <f>IF(INVOICE!$N$16="MANUAL",IF(B436&lt;&gt;"",C436,""),IF(INVOICE!$N$16="AUTOMATE",IF(A436&lt;&gt;"",C436,""),""))</f>
        <v/>
      </c>
      <c r="AO436" s="108">
        <f>IF(INVOICE!$N$16="MANUAL",IFERROR(AM436*B436,""),IF(INVOICE!$N$16="AUTOMATE",IFERROR(AM436*A436,""),""))</f>
        <v>0</v>
      </c>
      <c r="AV436" s="108">
        <f t="shared" si="69"/>
        <v>0</v>
      </c>
    </row>
    <row r="437" spans="3:48">
      <c r="C437" s="256" t="s">
        <v>935</v>
      </c>
      <c r="D437" s="333">
        <v>36.119999999999997</v>
      </c>
      <c r="E437" s="333">
        <v>34.020000000000003</v>
      </c>
      <c r="F437" s="250">
        <f t="shared" si="74"/>
        <v>29.630844954881045</v>
      </c>
      <c r="G437" s="250">
        <f>IFERROR(ROUNDUP(F437*INVOICE!$O$6,2),0)</f>
        <v>494.84</v>
      </c>
      <c r="H437" s="250">
        <f t="shared" si="75"/>
        <v>27.908121410992617</v>
      </c>
      <c r="I437" s="250">
        <f>IFERROR(ROUNDUP(H437*INVOICE!$O$6,2),0)</f>
        <v>466.07</v>
      </c>
      <c r="J437" s="108" t="str">
        <f t="shared" si="72"/>
        <v/>
      </c>
      <c r="L437" s="108" t="str">
        <f t="shared" si="73"/>
        <v/>
      </c>
      <c r="N437" s="108">
        <v>446</v>
      </c>
      <c r="O437" s="108" t="str">
        <f>IF(INVOICE!$N$16="MANUAL",IF(B437&lt;&gt;"",C437,""),IF(INVOICE!$N$16="AUTOMATE",IF(A437&lt;&gt;"",C437,""),""))</f>
        <v/>
      </c>
      <c r="AO437" s="108">
        <f>IF(INVOICE!$N$16="MANUAL",IFERROR(AM437*B437,""),IF(INVOICE!$N$16="AUTOMATE",IFERROR(AM437*A437,""),""))</f>
        <v>0</v>
      </c>
      <c r="AV437" s="108">
        <f t="shared" si="69"/>
        <v>0</v>
      </c>
    </row>
    <row r="438" spans="3:48">
      <c r="C438" s="256" t="s">
        <v>2763</v>
      </c>
      <c r="D438" s="333">
        <v>38.840000000000003</v>
      </c>
      <c r="E438" s="333">
        <v>36.58</v>
      </c>
      <c r="F438" s="250">
        <f t="shared" si="74"/>
        <v>31.862182116488928</v>
      </c>
      <c r="G438" s="250">
        <f>IFERROR(ROUNDUP(F438*INVOICE!$O$6,2),0)</f>
        <v>532.1</v>
      </c>
      <c r="H438" s="250">
        <f t="shared" si="75"/>
        <v>30.008203445447084</v>
      </c>
      <c r="I438" s="250">
        <f>IFERROR(ROUNDUP(H438*INVOICE!$O$6,2),0)</f>
        <v>501.14</v>
      </c>
      <c r="J438" s="108" t="str">
        <f t="shared" si="72"/>
        <v/>
      </c>
      <c r="L438" s="108" t="str">
        <f t="shared" si="73"/>
        <v/>
      </c>
      <c r="N438" s="108">
        <v>447</v>
      </c>
      <c r="O438" s="108" t="str">
        <f>IF(INVOICE!$N$16="MANUAL",IF(B438&lt;&gt;"",C438,""),IF(INVOICE!$N$16="AUTOMATE",IF(A438&lt;&gt;"",C438,""),""))</f>
        <v/>
      </c>
      <c r="AO438" s="108">
        <f>IF(INVOICE!$N$16="MANUAL",IFERROR(AM438*B438,""),IF(INVOICE!$N$16="AUTOMATE",IFERROR(AM438*A438,""),""))</f>
        <v>0</v>
      </c>
    </row>
    <row r="439" spans="3:48">
      <c r="C439" s="256" t="s">
        <v>2764</v>
      </c>
      <c r="D439" s="333">
        <v>45.15</v>
      </c>
      <c r="E439" s="333">
        <v>42.524999999999999</v>
      </c>
      <c r="F439" s="250">
        <f t="shared" si="74"/>
        <v>37.038556193601309</v>
      </c>
      <c r="G439" s="250">
        <f>IFERROR(ROUNDUP(F439*INVOICE!$O$6,2),0)</f>
        <v>618.54999999999995</v>
      </c>
      <c r="H439" s="250">
        <f t="shared" si="75"/>
        <v>34.885151763740765</v>
      </c>
      <c r="I439" s="250">
        <f>IFERROR(ROUNDUP(H439*INVOICE!$O$6,2),0)</f>
        <v>582.59</v>
      </c>
      <c r="J439" s="108" t="str">
        <f t="shared" si="72"/>
        <v/>
      </c>
      <c r="L439" s="108" t="str">
        <f t="shared" si="73"/>
        <v/>
      </c>
      <c r="N439" s="108">
        <v>448</v>
      </c>
      <c r="O439" s="108" t="str">
        <f>IF(INVOICE!$N$16="MANUAL",IF(B439&lt;&gt;"",C439,""),IF(INVOICE!$N$16="AUTOMATE",IF(A439&lt;&gt;"",C439,""),""))</f>
        <v/>
      </c>
      <c r="AO439" s="108">
        <f>IF(INVOICE!$N$16="MANUAL",IFERROR(AM439*B439,""),IF(INVOICE!$N$16="AUTOMATE",IFERROR(AM439*A439,""),""))</f>
        <v>0</v>
      </c>
    </row>
    <row r="440" spans="3:48">
      <c r="C440" s="256" t="s">
        <v>936</v>
      </c>
      <c r="D440" s="333">
        <v>15.34</v>
      </c>
      <c r="E440" s="333">
        <v>14.45</v>
      </c>
      <c r="F440" s="250">
        <f t="shared" si="74"/>
        <v>12.584085315832649</v>
      </c>
      <c r="G440" s="250">
        <f>IFERROR(ROUNDUP(F440*INVOICE!$O$6,2),0)</f>
        <v>210.16</v>
      </c>
      <c r="H440" s="250">
        <f t="shared" si="75"/>
        <v>11.853978671041837</v>
      </c>
      <c r="I440" s="250">
        <f>IFERROR(ROUNDUP(H440*INVOICE!$O$6,2),0)</f>
        <v>197.97</v>
      </c>
      <c r="J440" s="108" t="str">
        <f t="shared" si="72"/>
        <v/>
      </c>
      <c r="L440" s="108" t="str">
        <f t="shared" si="73"/>
        <v/>
      </c>
      <c r="N440" s="108">
        <v>449</v>
      </c>
      <c r="O440" s="108" t="str">
        <f>IF(INVOICE!$N$16="MANUAL",IF(B440&lt;&gt;"",C440,""),IF(INVOICE!$N$16="AUTOMATE",IF(A440&lt;&gt;"",C440,""),""))</f>
        <v/>
      </c>
      <c r="AO440" s="108">
        <f>IF(INVOICE!$N$16="MANUAL",IFERROR(AM440*B440,""),IF(INVOICE!$N$16="AUTOMATE",IFERROR(AM440*A440,""),""))</f>
        <v>0</v>
      </c>
      <c r="AV440" s="108">
        <f t="shared" si="69"/>
        <v>0</v>
      </c>
    </row>
    <row r="441" spans="3:48">
      <c r="C441" s="256" t="s">
        <v>937</v>
      </c>
      <c r="D441" s="333">
        <v>15.34</v>
      </c>
      <c r="E441" s="333">
        <v>14.45</v>
      </c>
      <c r="F441" s="250">
        <f t="shared" si="74"/>
        <v>12.584085315832649</v>
      </c>
      <c r="G441" s="250">
        <f>IFERROR(ROUNDUP(F441*INVOICE!$O$6,2),0)</f>
        <v>210.16</v>
      </c>
      <c r="H441" s="250">
        <f t="shared" si="75"/>
        <v>11.853978671041837</v>
      </c>
      <c r="I441" s="250">
        <f>IFERROR(ROUNDUP(H441*INVOICE!$O$6,2),0)</f>
        <v>197.97</v>
      </c>
      <c r="J441" s="108" t="str">
        <f t="shared" si="72"/>
        <v/>
      </c>
      <c r="L441" s="108" t="str">
        <f t="shared" si="73"/>
        <v/>
      </c>
      <c r="N441" s="108">
        <v>450</v>
      </c>
      <c r="O441" s="108" t="str">
        <f>IF(INVOICE!$N$16="MANUAL",IF(B441&lt;&gt;"",C441,""),IF(INVOICE!$N$16="AUTOMATE",IF(A441&lt;&gt;"",C441,""),""))</f>
        <v/>
      </c>
      <c r="AO441" s="108">
        <f>IF(INVOICE!$N$16="MANUAL",IFERROR(AM441*B441,""),IF(INVOICE!$N$16="AUTOMATE",IFERROR(AM441*A441,""),""))</f>
        <v>0</v>
      </c>
      <c r="AV441" s="108">
        <f t="shared" ref="AV441:AV503" si="76">IF(AU441&lt;&gt;"",AU441,AT441)</f>
        <v>0</v>
      </c>
    </row>
    <row r="442" spans="3:48">
      <c r="C442" s="256" t="s">
        <v>938</v>
      </c>
      <c r="D442" s="333">
        <v>23.48</v>
      </c>
      <c r="E442" s="333">
        <v>22.113</v>
      </c>
      <c r="F442" s="250">
        <f t="shared" si="74"/>
        <v>19.261689909762101</v>
      </c>
      <c r="G442" s="250">
        <f>IFERROR(ROUNDUP(F442*INVOICE!$O$6,2),0)</f>
        <v>321.68</v>
      </c>
      <c r="H442" s="250">
        <f t="shared" si="75"/>
        <v>18.140278917145199</v>
      </c>
      <c r="I442" s="250">
        <f>IFERROR(ROUNDUP(H442*INVOICE!$O$6,2),0)</f>
        <v>302.95</v>
      </c>
      <c r="J442" s="108" t="str">
        <f t="shared" si="72"/>
        <v/>
      </c>
      <c r="L442" s="108" t="str">
        <f t="shared" si="73"/>
        <v/>
      </c>
      <c r="N442" s="108">
        <v>451</v>
      </c>
      <c r="O442" s="108" t="str">
        <f>IF(INVOICE!$N$16="MANUAL",IF(B442&lt;&gt;"",C442,""),IF(INVOICE!$N$16="AUTOMATE",IF(A442&lt;&gt;"",C442,""),""))</f>
        <v/>
      </c>
      <c r="AO442" s="108">
        <f>IF(INVOICE!$N$16="MANUAL",IFERROR(AM442*B442,""),IF(INVOICE!$N$16="AUTOMATE",IFERROR(AM442*A442,""),""))</f>
        <v>0</v>
      </c>
      <c r="AV442" s="108">
        <f t="shared" si="76"/>
        <v>0</v>
      </c>
    </row>
    <row r="443" spans="3:48">
      <c r="C443" s="256" t="s">
        <v>939</v>
      </c>
      <c r="D443" s="333">
        <v>25.28</v>
      </c>
      <c r="E443" s="333">
        <v>23.814</v>
      </c>
      <c r="F443" s="250">
        <f t="shared" si="74"/>
        <v>20.738310090237899</v>
      </c>
      <c r="G443" s="250">
        <f>IFERROR(ROUNDUP(F443*INVOICE!$O$6,2),0)</f>
        <v>346.33</v>
      </c>
      <c r="H443" s="250">
        <f t="shared" si="75"/>
        <v>19.535684987694829</v>
      </c>
      <c r="I443" s="250">
        <f>IFERROR(ROUNDUP(H443*INVOICE!$O$6,2),0)</f>
        <v>326.25</v>
      </c>
      <c r="J443" s="108" t="str">
        <f t="shared" si="72"/>
        <v/>
      </c>
      <c r="L443" s="108" t="str">
        <f t="shared" si="73"/>
        <v/>
      </c>
      <c r="N443" s="108">
        <v>452</v>
      </c>
      <c r="O443" s="108" t="str">
        <f>IF(INVOICE!$N$16="MANUAL",IF(B443&lt;&gt;"",C443,""),IF(INVOICE!$N$16="AUTOMATE",IF(A443&lt;&gt;"",C443,""),""))</f>
        <v/>
      </c>
      <c r="AO443" s="108">
        <f>IF(INVOICE!$N$16="MANUAL",IFERROR(AM443*B443,""),IF(INVOICE!$N$16="AUTOMATE",IFERROR(AM443*A443,""),""))</f>
        <v>0</v>
      </c>
      <c r="AV443" s="108">
        <f t="shared" si="76"/>
        <v>0</v>
      </c>
    </row>
    <row r="444" spans="3:48">
      <c r="C444" s="256" t="s">
        <v>940</v>
      </c>
      <c r="D444" s="333">
        <v>29.79</v>
      </c>
      <c r="E444" s="333">
        <v>28.058</v>
      </c>
      <c r="F444" s="250">
        <f t="shared" si="74"/>
        <v>24.438063986874486</v>
      </c>
      <c r="G444" s="250">
        <f>IFERROR(ROUNDUP(F444*INVOICE!$O$6,2),0)</f>
        <v>408.12</v>
      </c>
      <c r="H444" s="250">
        <f t="shared" si="75"/>
        <v>23.017227235438881</v>
      </c>
      <c r="I444" s="250">
        <f>IFERROR(ROUNDUP(H444*INVOICE!$O$6,2),0)</f>
        <v>384.39</v>
      </c>
      <c r="J444" s="108" t="str">
        <f t="shared" si="72"/>
        <v/>
      </c>
      <c r="L444" s="108" t="str">
        <f t="shared" si="73"/>
        <v/>
      </c>
      <c r="N444" s="108">
        <v>453</v>
      </c>
      <c r="O444" s="108" t="str">
        <f>IF(INVOICE!$N$16="MANUAL",IF(B444&lt;&gt;"",C444,""),IF(INVOICE!$N$16="AUTOMATE",IF(A444&lt;&gt;"",C444,""),""))</f>
        <v/>
      </c>
      <c r="AO444" s="108">
        <f>IF(INVOICE!$N$16="MANUAL",IFERROR(AM444*B444,""),IF(INVOICE!$N$16="AUTOMATE",IFERROR(AM444*A444,""),""))</f>
        <v>0</v>
      </c>
      <c r="AV444" s="108">
        <f t="shared" si="76"/>
        <v>0</v>
      </c>
    </row>
    <row r="445" spans="3:48">
      <c r="C445" s="256" t="s">
        <v>941</v>
      </c>
      <c r="D445" s="333">
        <v>29.79</v>
      </c>
      <c r="E445" s="333">
        <v>28.058</v>
      </c>
      <c r="F445" s="250">
        <f t="shared" si="74"/>
        <v>24.438063986874486</v>
      </c>
      <c r="G445" s="250">
        <f>IFERROR(ROUNDUP(F445*INVOICE!$O$6,2),0)</f>
        <v>408.12</v>
      </c>
      <c r="H445" s="250">
        <f t="shared" si="75"/>
        <v>23.017227235438881</v>
      </c>
      <c r="I445" s="250">
        <f>IFERROR(ROUNDUP(H445*INVOICE!$O$6,2),0)</f>
        <v>384.39</v>
      </c>
      <c r="J445" s="108" t="str">
        <f t="shared" si="72"/>
        <v/>
      </c>
      <c r="L445" s="108" t="str">
        <f t="shared" si="73"/>
        <v/>
      </c>
      <c r="N445" s="108">
        <v>454</v>
      </c>
      <c r="O445" s="108" t="str">
        <f>IF(INVOICE!$N$16="MANUAL",IF(B445&lt;&gt;"",C445,""),IF(INVOICE!$N$16="AUTOMATE",IF(A445&lt;&gt;"",C445,""),""))</f>
        <v/>
      </c>
      <c r="AO445" s="108">
        <f>IF(INVOICE!$N$16="MANUAL",IFERROR(AM445*B445,""),IF(INVOICE!$N$16="AUTOMATE",IFERROR(AM445*A445,""),""))</f>
        <v>0</v>
      </c>
      <c r="AV445" s="108">
        <f t="shared" si="76"/>
        <v>0</v>
      </c>
    </row>
    <row r="446" spans="3:48">
      <c r="C446" s="256" t="s">
        <v>942</v>
      </c>
      <c r="D446" s="333">
        <v>29.79</v>
      </c>
      <c r="E446" s="333">
        <v>28.058</v>
      </c>
      <c r="F446" s="250">
        <f t="shared" si="74"/>
        <v>24.438063986874486</v>
      </c>
      <c r="G446" s="250">
        <f>IFERROR(ROUNDUP(F446*INVOICE!$O$6,2),0)</f>
        <v>408.12</v>
      </c>
      <c r="H446" s="250">
        <f t="shared" si="75"/>
        <v>23.017227235438881</v>
      </c>
      <c r="I446" s="250">
        <f>IFERROR(ROUNDUP(H446*INVOICE!$O$6,2),0)</f>
        <v>384.39</v>
      </c>
      <c r="J446" s="108" t="str">
        <f t="shared" si="72"/>
        <v/>
      </c>
      <c r="L446" s="108" t="str">
        <f t="shared" si="73"/>
        <v/>
      </c>
      <c r="N446" s="108">
        <v>455</v>
      </c>
      <c r="O446" s="108" t="str">
        <f>IF(INVOICE!$N$16="MANUAL",IF(B446&lt;&gt;"",C446,""),IF(INVOICE!$N$16="AUTOMATE",IF(A446&lt;&gt;"",C446,""),""))</f>
        <v/>
      </c>
      <c r="AO446" s="108">
        <f>IF(INVOICE!$N$16="MANUAL",IFERROR(AM446*B446,""),IF(INVOICE!$N$16="AUTOMATE",IFERROR(AM446*A446,""),""))</f>
        <v>0</v>
      </c>
      <c r="AV446" s="108">
        <f t="shared" si="76"/>
        <v>0</v>
      </c>
    </row>
    <row r="447" spans="3:48">
      <c r="C447" s="256" t="s">
        <v>2767</v>
      </c>
      <c r="D447" s="333">
        <v>36.119999999999997</v>
      </c>
      <c r="E447" s="333">
        <v>34.020000000000003</v>
      </c>
      <c r="F447" s="250">
        <f t="shared" si="74"/>
        <v>29.630844954881045</v>
      </c>
      <c r="G447" s="250">
        <f>IFERROR(ROUNDUP(F447*INVOICE!$O$6,2),0)</f>
        <v>494.84</v>
      </c>
      <c r="H447" s="250">
        <f t="shared" si="75"/>
        <v>27.908121410992617</v>
      </c>
      <c r="I447" s="250">
        <f>IFERROR(ROUNDUP(H447*INVOICE!$O$6,2),0)</f>
        <v>466.07</v>
      </c>
      <c r="J447" s="108" t="str">
        <f t="shared" si="72"/>
        <v/>
      </c>
      <c r="L447" s="108" t="str">
        <f t="shared" si="73"/>
        <v/>
      </c>
      <c r="N447" s="108">
        <v>456</v>
      </c>
      <c r="O447" s="108" t="str">
        <f>IF(INVOICE!$N$16="MANUAL",IF(B447&lt;&gt;"",C447,""),IF(INVOICE!$N$16="AUTOMATE",IF(A447&lt;&gt;"",C447,""),""))</f>
        <v/>
      </c>
      <c r="AO447" s="108">
        <f>IF(INVOICE!$N$16="MANUAL",IFERROR(AM447*B447,""),IF(INVOICE!$N$16="AUTOMATE",IFERROR(AM447*A447,""),""))</f>
        <v>0</v>
      </c>
    </row>
    <row r="448" spans="3:48">
      <c r="C448" s="256" t="s">
        <v>2768</v>
      </c>
      <c r="D448" s="333">
        <v>36.119999999999997</v>
      </c>
      <c r="E448" s="333">
        <v>34.020000000000003</v>
      </c>
      <c r="F448" s="250">
        <f t="shared" si="74"/>
        <v>29.630844954881045</v>
      </c>
      <c r="G448" s="250">
        <f>IFERROR(ROUNDUP(F448*INVOICE!$O$6,2),0)</f>
        <v>494.84</v>
      </c>
      <c r="H448" s="250">
        <f t="shared" si="75"/>
        <v>27.908121410992617</v>
      </c>
      <c r="I448" s="250">
        <f>IFERROR(ROUNDUP(H448*INVOICE!$O$6,2),0)</f>
        <v>466.07</v>
      </c>
      <c r="J448" s="108" t="str">
        <f t="shared" si="72"/>
        <v/>
      </c>
      <c r="L448" s="108" t="str">
        <f t="shared" si="73"/>
        <v/>
      </c>
      <c r="N448" s="108">
        <v>457</v>
      </c>
      <c r="O448" s="108" t="str">
        <f>IF(INVOICE!$N$16="MANUAL",IF(B448&lt;&gt;"",C448,""),IF(INVOICE!$N$16="AUTOMATE",IF(A448&lt;&gt;"",C448,""),""))</f>
        <v/>
      </c>
      <c r="AO448" s="108">
        <f>IF(INVOICE!$N$16="MANUAL",IFERROR(AM448*B448,""),IF(INVOICE!$N$16="AUTOMATE",IFERROR(AM448*A448,""),""))</f>
        <v>0</v>
      </c>
      <c r="AV448" s="108">
        <f t="shared" si="76"/>
        <v>0</v>
      </c>
    </row>
    <row r="449" spans="1:48">
      <c r="C449" s="256" t="s">
        <v>943</v>
      </c>
      <c r="D449" s="333">
        <v>9.94</v>
      </c>
      <c r="E449" s="333">
        <v>9.3640000000000008</v>
      </c>
      <c r="F449" s="250">
        <f t="shared" si="74"/>
        <v>8.1542247744052485</v>
      </c>
      <c r="G449" s="250">
        <f>IFERROR(ROUNDUP(F449*INVOICE!$O$6,2),0)</f>
        <v>136.17999999999998</v>
      </c>
      <c r="H449" s="250">
        <f t="shared" si="75"/>
        <v>7.6817063166529946</v>
      </c>
      <c r="I449" s="250">
        <f>IFERROR(ROUNDUP(H449*INVOICE!$O$6,2),0)</f>
        <v>128.29</v>
      </c>
      <c r="J449" s="108" t="str">
        <f t="shared" si="72"/>
        <v/>
      </c>
      <c r="L449" s="108" t="str">
        <f t="shared" si="73"/>
        <v/>
      </c>
      <c r="N449" s="108">
        <v>458</v>
      </c>
      <c r="O449" s="108" t="str">
        <f>IF(INVOICE!$N$16="MANUAL",IF(B449&lt;&gt;"",C449,""),IF(INVOICE!$N$16="AUTOMATE",IF(A449&lt;&gt;"",C449,""),""))</f>
        <v/>
      </c>
      <c r="AO449" s="108">
        <f>IF(INVOICE!$N$16="MANUAL",IFERROR(AM449*B449,""),IF(INVOICE!$N$16="AUTOMATE",IFERROR(AM449*A449,""),""))</f>
        <v>0</v>
      </c>
      <c r="AV449" s="108">
        <f t="shared" si="76"/>
        <v>0</v>
      </c>
    </row>
    <row r="450" spans="1:48">
      <c r="C450" s="256" t="s">
        <v>2766</v>
      </c>
      <c r="D450" s="333">
        <v>31.61</v>
      </c>
      <c r="E450" s="333">
        <v>29.776</v>
      </c>
      <c r="F450" s="250">
        <f t="shared" si="74"/>
        <v>25.931091058244462</v>
      </c>
      <c r="G450" s="250">
        <f>IFERROR(ROUNDUP(F450*INVOICE!$O$6,2),0)</f>
        <v>433.05</v>
      </c>
      <c r="H450" s="250">
        <f t="shared" si="75"/>
        <v>24.426579163248562</v>
      </c>
      <c r="I450" s="250">
        <f>IFERROR(ROUNDUP(H450*INVOICE!$O$6,2),0)</f>
        <v>407.93</v>
      </c>
      <c r="J450" s="108" t="str">
        <f t="shared" si="72"/>
        <v/>
      </c>
      <c r="L450" s="108" t="str">
        <f t="shared" si="73"/>
        <v/>
      </c>
      <c r="N450" s="108">
        <v>459</v>
      </c>
      <c r="O450" s="108" t="str">
        <f>IF(INVOICE!$N$16="MANUAL",IF(B450&lt;&gt;"",C450,""),IF(INVOICE!$N$16="AUTOMATE",IF(A450&lt;&gt;"",C450,""),""))</f>
        <v/>
      </c>
      <c r="AO450" s="108">
        <f>IF(INVOICE!$N$16="MANUAL",IFERROR(AM450*B450,""),IF(INVOICE!$N$16="AUTOMATE",IFERROR(AM450*A450,""),""))</f>
        <v>0</v>
      </c>
      <c r="AV450" s="108">
        <f t="shared" si="76"/>
        <v>0</v>
      </c>
    </row>
    <row r="451" spans="1:48">
      <c r="C451" s="256" t="s">
        <v>2765</v>
      </c>
      <c r="D451" s="333">
        <v>31.61</v>
      </c>
      <c r="E451" s="333">
        <v>29.776</v>
      </c>
      <c r="F451" s="250">
        <f t="shared" ref="F451:F475" si="77">$D451/1.219</f>
        <v>25.931091058244462</v>
      </c>
      <c r="G451" s="250">
        <f>IFERROR(ROUNDUP(F451*INVOICE!$O$6,2),0)</f>
        <v>433.05</v>
      </c>
      <c r="H451" s="250">
        <f t="shared" ref="H451:H476" si="78">$E451/1.219</f>
        <v>24.426579163248562</v>
      </c>
      <c r="I451" s="250">
        <f>IFERROR(ROUNDUP(H451*INVOICE!$O$6,2),0)</f>
        <v>407.93</v>
      </c>
      <c r="J451" s="108" t="str">
        <f t="shared" si="72"/>
        <v/>
      </c>
      <c r="L451" s="108" t="str">
        <f t="shared" si="73"/>
        <v/>
      </c>
      <c r="N451" s="108">
        <v>460</v>
      </c>
      <c r="O451" s="108" t="str">
        <f>IF(INVOICE!$N$16="MANUAL",IF(B451&lt;&gt;"",C451,""),IF(INVOICE!$N$16="AUTOMATE",IF(A451&lt;&gt;"",C451,""),""))</f>
        <v/>
      </c>
      <c r="AO451" s="108">
        <f>IF(INVOICE!$N$16="MANUAL",IFERROR(AM451*B451,""),IF(INVOICE!$N$16="AUTOMATE",IFERROR(AM451*A451,""),""))</f>
        <v>0</v>
      </c>
      <c r="AV451" s="108">
        <f t="shared" si="76"/>
        <v>0</v>
      </c>
    </row>
    <row r="452" spans="1:48">
      <c r="C452" s="256" t="s">
        <v>944</v>
      </c>
      <c r="D452" s="333">
        <v>9.9600000000000009</v>
      </c>
      <c r="E452" s="333">
        <v>9.3640000000000008</v>
      </c>
      <c r="F452" s="250">
        <f t="shared" si="77"/>
        <v>8.1706316652994264</v>
      </c>
      <c r="G452" s="250">
        <f>IFERROR(ROUNDUP(F452*INVOICE!$O$6,2),0)</f>
        <v>136.44999999999999</v>
      </c>
      <c r="H452" s="250">
        <f t="shared" si="78"/>
        <v>7.6817063166529946</v>
      </c>
      <c r="I452" s="250">
        <f>IFERROR(ROUNDUP(H452*INVOICE!$O$6,2),0)</f>
        <v>128.29</v>
      </c>
      <c r="J452" s="108" t="str">
        <f t="shared" si="72"/>
        <v/>
      </c>
      <c r="L452" s="108" t="str">
        <f t="shared" si="73"/>
        <v/>
      </c>
      <c r="N452" s="108">
        <v>461</v>
      </c>
      <c r="O452" s="108" t="str">
        <f>IF(INVOICE!$N$16="MANUAL",IF(B452&lt;&gt;"",C452,""),IF(INVOICE!$N$16="AUTOMATE",IF(A452&lt;&gt;"",C452,""),""))</f>
        <v/>
      </c>
      <c r="AO452" s="108">
        <f>IF(INVOICE!$N$16="MANUAL",IFERROR(AM452*B452,""),IF(INVOICE!$N$16="AUTOMATE",IFERROR(AM452*A452,""),""))</f>
        <v>0</v>
      </c>
      <c r="AV452" s="108">
        <f t="shared" si="76"/>
        <v>0</v>
      </c>
    </row>
    <row r="453" spans="1:48">
      <c r="D453" s="324"/>
      <c r="E453" s="324"/>
      <c r="I453" s="229"/>
      <c r="J453" s="108" t="str">
        <f t="shared" si="72"/>
        <v/>
      </c>
      <c r="L453" s="108" t="str">
        <f t="shared" si="73"/>
        <v/>
      </c>
      <c r="N453" s="108">
        <v>462</v>
      </c>
      <c r="O453" s="108" t="str">
        <f>IF(INVOICE!$N$16="MANUAL",IF(B453&lt;&gt;"",C453,""),IF(INVOICE!$N$16="AUTOMATE",IF(A453&lt;&gt;"",C453,""),""))</f>
        <v/>
      </c>
      <c r="AO453" s="108">
        <f>IF(INVOICE!$N$16="MANUAL",IFERROR(AM453*B453,""),IF(INVOICE!$N$16="AUTOMATE",IFERROR(AM453*A453,""),""))</f>
        <v>0</v>
      </c>
      <c r="AV453" s="108">
        <f t="shared" si="76"/>
        <v>0</v>
      </c>
    </row>
    <row r="454" spans="1:48">
      <c r="C454" s="237" t="s">
        <v>1911</v>
      </c>
      <c r="D454" s="325"/>
      <c r="E454" s="325"/>
      <c r="F454" s="239">
        <f t="shared" si="77"/>
        <v>0</v>
      </c>
      <c r="G454" s="239">
        <f>IFERROR(ROUNDUP(F454*INVOICE!$O$6,2),0)</f>
        <v>0</v>
      </c>
      <c r="H454" s="239">
        <f t="shared" si="78"/>
        <v>0</v>
      </c>
      <c r="I454" s="239">
        <f>IFERROR(ROUNDUP(H454*INVOICE!$O$6,2),0)</f>
        <v>0</v>
      </c>
      <c r="J454" s="108" t="str">
        <f t="shared" si="72"/>
        <v/>
      </c>
      <c r="L454" s="108" t="str">
        <f t="shared" si="73"/>
        <v/>
      </c>
      <c r="N454" s="108">
        <v>463</v>
      </c>
      <c r="O454" s="108" t="str">
        <f>IF(INVOICE!$N$16="MANUAL",IF(B454&lt;&gt;"",C454,""),IF(INVOICE!$N$16="AUTOMATE",IF(A454&lt;&gt;"",C454,""),""))</f>
        <v/>
      </c>
      <c r="AO454" s="108">
        <f>IF(INVOICE!$N$16="MANUAL",IFERROR(AM454*B454,""),IF(INVOICE!$N$16="AUTOMATE",IFERROR(AM454*A454,""),""))</f>
        <v>0</v>
      </c>
      <c r="AV454" s="108">
        <f t="shared" si="76"/>
        <v>0</v>
      </c>
    </row>
    <row r="455" spans="1:48">
      <c r="A455" s="108" t="str">
        <f>IFERROR(IF(AND(OR('Customer Base'!D$7="BACKUP",'Customer Base'!D$7="HYBRID",'Customer Base'!D$7="MINI-GRID"),'CABLE SIZING TOOL'!J$31&gt;0,'CABLE SIZING TOOL'!J$31&lt;=32),1,""),"")</f>
        <v/>
      </c>
      <c r="C455" s="255" t="s">
        <v>951</v>
      </c>
      <c r="D455" s="326">
        <v>51.6</v>
      </c>
      <c r="E455" s="326">
        <v>48.6</v>
      </c>
      <c r="F455" s="254">
        <f t="shared" si="77"/>
        <v>42.329778506972929</v>
      </c>
      <c r="G455" s="254">
        <f>IFERROR(ROUNDUP(F455*INVOICE!$O$6,2),0)</f>
        <v>706.91</v>
      </c>
      <c r="H455" s="254">
        <f t="shared" si="78"/>
        <v>39.868744872846591</v>
      </c>
      <c r="I455" s="254">
        <f>IFERROR(ROUNDUP(H455*INVOICE!$O$6,2),0)</f>
        <v>665.81</v>
      </c>
      <c r="J455" s="108" t="str">
        <f t="shared" si="72"/>
        <v/>
      </c>
      <c r="L455" s="108" t="str">
        <f t="shared" si="73"/>
        <v/>
      </c>
      <c r="N455" s="108">
        <v>464</v>
      </c>
      <c r="O455" s="108" t="str">
        <f>IF(INVOICE!$N$16="MANUAL",IF(B455&lt;&gt;"",C455,""),IF(INVOICE!$N$16="AUTOMATE",IF(A455&lt;&gt;"",C455,""),""))</f>
        <v/>
      </c>
      <c r="AO455" s="108" t="str">
        <f>IF(INVOICE!$N$16="MANUAL",IFERROR(AM455*B455,""),IF(INVOICE!$N$16="AUTOMATE",IFERROR(AM455*A455,""),""))</f>
        <v/>
      </c>
      <c r="AV455" s="108">
        <f t="shared" si="76"/>
        <v>0</v>
      </c>
    </row>
    <row r="456" spans="1:48">
      <c r="A456" s="108">
        <f>IFERROR(IF(AND(OR('Customer Base'!D$7="BACKUP",'Customer Base'!D$7="HYBRID",'Customer Base'!D$7="MINI-GRID"),'CABLE SIZING TOOL'!J$31&gt;32,'CABLE SIZING TOOL'!J$31&lt;=63),1,""),"")</f>
        <v>1</v>
      </c>
      <c r="C456" s="255" t="s">
        <v>952</v>
      </c>
      <c r="D456" s="326">
        <v>70.52</v>
      </c>
      <c r="E456" s="326">
        <v>66.42</v>
      </c>
      <c r="F456" s="254">
        <f t="shared" si="77"/>
        <v>57.850697292862996</v>
      </c>
      <c r="G456" s="254">
        <f>IFERROR(ROUNDUP(F456*INVOICE!$O$6,2),0)</f>
        <v>966.11</v>
      </c>
      <c r="H456" s="254">
        <f t="shared" si="78"/>
        <v>54.487284659557012</v>
      </c>
      <c r="I456" s="254">
        <f>IFERROR(ROUNDUP(H456*INVOICE!$O$6,2),0)</f>
        <v>909.93999999999994</v>
      </c>
      <c r="J456" s="108" t="str">
        <f t="shared" si="72"/>
        <v/>
      </c>
      <c r="L456" s="108" t="str">
        <f t="shared" si="73"/>
        <v/>
      </c>
      <c r="N456" s="108">
        <v>465</v>
      </c>
      <c r="O456" s="108" t="str">
        <f>IF(INVOICE!$N$16="MANUAL",IF(B456&lt;&gt;"",C456,""),IF(INVOICE!$N$16="AUTOMATE",IF(A456&lt;&gt;"",C456,""),""))</f>
        <v>63A Manual Transfer Switch</v>
      </c>
      <c r="AO456" s="108">
        <f>IF(INVOICE!$N$16="MANUAL",IFERROR(AM456*B456,""),IF(INVOICE!$N$16="AUTOMATE",IFERROR(AM456*A456,""),""))</f>
        <v>0</v>
      </c>
      <c r="AV456" s="108">
        <f t="shared" si="76"/>
        <v>0</v>
      </c>
    </row>
    <row r="457" spans="1:48">
      <c r="A457" s="108" t="str">
        <f>IFERROR(IF(AND(OR('Customer Base'!D$7="BACKUP",'Customer Base'!D$7="HYBRID",'Customer Base'!D$7="MINI-GRID"),'CABLE SIZING TOOL'!J$31&gt;63,'CABLE SIZING TOOL'!J$31&lt;=100),1,""),"")</f>
        <v/>
      </c>
      <c r="C457" s="255" t="s">
        <v>977</v>
      </c>
      <c r="D457" s="326">
        <v>120.4</v>
      </c>
      <c r="E457" s="326">
        <v>113.4</v>
      </c>
      <c r="F457" s="254">
        <f t="shared" si="77"/>
        <v>98.769483182936838</v>
      </c>
      <c r="G457" s="254">
        <f>IFERROR(ROUNDUP(F457*INVOICE!$O$6,2),0)</f>
        <v>1649.46</v>
      </c>
      <c r="H457" s="254">
        <f t="shared" si="78"/>
        <v>93.027071369975388</v>
      </c>
      <c r="I457" s="254">
        <f>IFERROR(ROUNDUP(H457*INVOICE!$O$6,2),0)</f>
        <v>1553.56</v>
      </c>
      <c r="J457" s="108" t="str">
        <f t="shared" si="72"/>
        <v/>
      </c>
      <c r="L457" s="108" t="str">
        <f t="shared" si="73"/>
        <v/>
      </c>
      <c r="N457" s="108">
        <v>466</v>
      </c>
      <c r="O457" s="108" t="str">
        <f>IF(INVOICE!$N$16="MANUAL",IF(B457&lt;&gt;"",C457,""),IF(INVOICE!$N$16="AUTOMATE",IF(A457&lt;&gt;"",C457,""),""))</f>
        <v/>
      </c>
      <c r="AO457" s="108" t="str">
        <f>IF(INVOICE!$N$16="MANUAL",IFERROR(AM457*B457,""),IF(INVOICE!$N$16="AUTOMATE",IFERROR(AM457*A457,""),""))</f>
        <v/>
      </c>
      <c r="AV457" s="108">
        <f t="shared" si="76"/>
        <v>0</v>
      </c>
    </row>
    <row r="458" spans="1:48">
      <c r="A458" s="108" t="str">
        <f>IFERROR(IF(AND(OR('Customer Base'!D$7="BACKUP",'Customer Base'!D$7="HYBRID",'Customer Base'!D$7="MINI-GRID"),'CABLE SIZING TOOL'!J$31&gt;100,'CABLE SIZING TOOL'!J$31&lt;=250),1,""),"")</f>
        <v/>
      </c>
      <c r="C458" s="255" t="s">
        <v>1246</v>
      </c>
      <c r="D458" s="326">
        <v>200</v>
      </c>
      <c r="E458" s="326">
        <v>200</v>
      </c>
      <c r="F458" s="254">
        <f t="shared" si="77"/>
        <v>164.06890894175552</v>
      </c>
      <c r="G458" s="254">
        <f>IFERROR(ROUNDUP(F458*INVOICE!$O$6,2),0)</f>
        <v>2739.96</v>
      </c>
      <c r="H458" s="254">
        <f t="shared" si="78"/>
        <v>164.06890894175552</v>
      </c>
      <c r="I458" s="254">
        <f>IFERROR(ROUNDUP(H458*INVOICE!$O$6,2),0)</f>
        <v>2739.96</v>
      </c>
      <c r="J458" s="108" t="str">
        <f t="shared" si="72"/>
        <v/>
      </c>
      <c r="L458" s="108" t="str">
        <f t="shared" si="73"/>
        <v/>
      </c>
      <c r="N458" s="108">
        <v>467</v>
      </c>
      <c r="O458" s="108" t="str">
        <f>IF(INVOICE!$N$16="MANUAL",IF(B458&lt;&gt;"",C458,""),IF(INVOICE!$N$16="AUTOMATE",IF(A458&lt;&gt;"",C458,""),""))</f>
        <v/>
      </c>
      <c r="AO458" s="108" t="str">
        <f>IF(INVOICE!$N$16="MANUAL",IFERROR(AM458*B458,""),IF(INVOICE!$N$16="AUTOMATE",IFERROR(AM458*A458,""),""))</f>
        <v/>
      </c>
      <c r="AV458" s="108">
        <f t="shared" si="76"/>
        <v>0</v>
      </c>
    </row>
    <row r="459" spans="1:48">
      <c r="A459" s="108" t="str">
        <f>IFERROR(IF(AND(OR('Customer Base'!D$7="BACKUP",'Customer Base'!D$7="HYBRID",'Customer Base'!D$7="MINI-GRID"),'CABLE SIZING TOOL'!J$31&gt;250,'CABLE SIZING TOOL'!J$31&lt;=400),1,""),"")</f>
        <v/>
      </c>
      <c r="C459" s="255" t="s">
        <v>1915</v>
      </c>
      <c r="D459" s="326">
        <v>1000</v>
      </c>
      <c r="E459" s="326">
        <v>1000</v>
      </c>
      <c r="F459" s="254">
        <f t="shared" si="77"/>
        <v>820.34454470877768</v>
      </c>
      <c r="G459" s="254">
        <f>IFERROR(ROUNDUP(F459*INVOICE!$O$6,2),0)</f>
        <v>13699.76</v>
      </c>
      <c r="H459" s="254">
        <f t="shared" si="78"/>
        <v>820.34454470877768</v>
      </c>
      <c r="I459" s="254">
        <f>IFERROR(ROUNDUP(H459*INVOICE!$O$6,2),0)</f>
        <v>13699.76</v>
      </c>
      <c r="J459" s="108" t="str">
        <f t="shared" si="72"/>
        <v/>
      </c>
      <c r="L459" s="108" t="str">
        <f t="shared" si="73"/>
        <v/>
      </c>
      <c r="N459" s="108">
        <v>468</v>
      </c>
      <c r="O459" s="108" t="str">
        <f>IF(INVOICE!$N$16="MANUAL",IF(B459&lt;&gt;"",C459,""),IF(INVOICE!$N$16="AUTOMATE",IF(A459&lt;&gt;"",C459,""),""))</f>
        <v/>
      </c>
      <c r="AO459" s="108" t="str">
        <f>IF(INVOICE!$N$16="MANUAL",IFERROR(AM459*B459,""),IF(INVOICE!$N$16="AUTOMATE",IFERROR(AM459*A459,""),""))</f>
        <v/>
      </c>
      <c r="AV459" s="108">
        <f t="shared" si="76"/>
        <v>0</v>
      </c>
    </row>
    <row r="460" spans="1:48">
      <c r="A460" s="108" t="str">
        <f>IFERROR(IF(AND(OR('Customer Base'!D$7="BACKUP",'Customer Base'!D$7="HYBRID",'Customer Base'!D$7="MINI-GRID"),'CABLE SIZING TOOL'!J$31&gt;400,'CABLE SIZING TOOL'!J$31&lt;=1000),1,""),"")</f>
        <v/>
      </c>
      <c r="C460" s="255" t="s">
        <v>1807</v>
      </c>
      <c r="D460" s="326">
        <v>2000</v>
      </c>
      <c r="E460" s="326">
        <v>2000</v>
      </c>
      <c r="F460" s="254">
        <f t="shared" si="77"/>
        <v>1640.6890894175554</v>
      </c>
      <c r="G460" s="254">
        <f>IFERROR(ROUNDUP(F460*INVOICE!$O$6,2),0)</f>
        <v>27399.51</v>
      </c>
      <c r="H460" s="254">
        <f t="shared" si="78"/>
        <v>1640.6890894175554</v>
      </c>
      <c r="I460" s="254">
        <f>IFERROR(ROUNDUP(H460*INVOICE!$O$6,2),0)</f>
        <v>27399.51</v>
      </c>
      <c r="J460" s="108" t="str">
        <f t="shared" si="72"/>
        <v/>
      </c>
      <c r="L460" s="108" t="str">
        <f t="shared" si="73"/>
        <v/>
      </c>
      <c r="N460" s="108">
        <v>469</v>
      </c>
      <c r="O460" s="108" t="str">
        <f>IF(INVOICE!$N$16="MANUAL",IF(B460&lt;&gt;"",C460,""),IF(INVOICE!$N$16="AUTOMATE",IF(A460&lt;&gt;"",C460,""),""))</f>
        <v/>
      </c>
      <c r="AO460" s="108" t="str">
        <f>IF(INVOICE!$N$16="MANUAL",IFERROR(AM460*B460,""),IF(INVOICE!$N$16="AUTOMATE",IFERROR(AM460*A460,""),""))</f>
        <v/>
      </c>
      <c r="AV460" s="108">
        <f t="shared" si="76"/>
        <v>0</v>
      </c>
    </row>
    <row r="461" spans="1:48">
      <c r="C461" s="255" t="s">
        <v>1247</v>
      </c>
      <c r="D461" s="326"/>
      <c r="E461" s="326"/>
      <c r="F461" s="254">
        <f t="shared" si="77"/>
        <v>0</v>
      </c>
      <c r="G461" s="254"/>
      <c r="H461" s="254">
        <f t="shared" si="78"/>
        <v>0</v>
      </c>
      <c r="I461" s="254">
        <f>IFERROR(ROUNDUP(H461*INVOICE!$O$6,2),0)</f>
        <v>0</v>
      </c>
      <c r="J461" s="108" t="str">
        <f t="shared" si="72"/>
        <v/>
      </c>
      <c r="L461" s="108" t="str">
        <f t="shared" si="73"/>
        <v/>
      </c>
      <c r="N461" s="108">
        <v>470</v>
      </c>
      <c r="O461" s="108" t="str">
        <f>IF(INVOICE!$N$16="MANUAL",IF(B461&lt;&gt;"",C461,""),IF(INVOICE!$N$16="AUTOMATE",IF(A461&lt;&gt;"",C461,""),""))</f>
        <v/>
      </c>
      <c r="AO461" s="108">
        <f>IF(INVOICE!$N$16="MANUAL",IFERROR(AM461*B461,""),IF(INVOICE!$N$16="AUTOMATE",IFERROR(AM461*A461,""),""))</f>
        <v>0</v>
      </c>
      <c r="AV461" s="108">
        <f t="shared" si="76"/>
        <v>0</v>
      </c>
    </row>
    <row r="462" spans="1:48">
      <c r="D462" s="324"/>
      <c r="E462" s="324"/>
      <c r="F462" s="229">
        <f t="shared" si="77"/>
        <v>0</v>
      </c>
      <c r="G462" s="229">
        <f>IFERROR(ROUNDUP(F462*INVOICE!$O$6,2),0)</f>
        <v>0</v>
      </c>
      <c r="H462" s="229">
        <f t="shared" si="78"/>
        <v>0</v>
      </c>
      <c r="I462" s="229">
        <f>IFERROR(ROUNDUP(H462*INVOICE!$O$6,2),0)</f>
        <v>0</v>
      </c>
      <c r="J462" s="108" t="str">
        <f t="shared" si="72"/>
        <v/>
      </c>
      <c r="L462" s="108" t="str">
        <f t="shared" si="73"/>
        <v/>
      </c>
      <c r="N462" s="108">
        <v>471</v>
      </c>
      <c r="O462" s="108" t="str">
        <f>IF(INVOICE!$N$16="MANUAL",IF(B462&lt;&gt;"",C462,""),IF(INVOICE!$N$16="AUTOMATE",IF(A462&lt;&gt;"",C462,""),""))</f>
        <v/>
      </c>
      <c r="AO462" s="108">
        <f>IF(INVOICE!$N$16="MANUAL",IFERROR(AM462*B462,""),IF(INVOICE!$N$16="AUTOMATE",IFERROR(AM462*A462,""),""))</f>
        <v>0</v>
      </c>
      <c r="AV462" s="108">
        <f t="shared" si="76"/>
        <v>0</v>
      </c>
    </row>
    <row r="463" spans="1:48">
      <c r="C463" s="255" t="s">
        <v>1380</v>
      </c>
      <c r="D463" s="326">
        <v>35</v>
      </c>
      <c r="E463" s="326">
        <v>35</v>
      </c>
      <c r="F463" s="254">
        <f t="shared" si="77"/>
        <v>28.712059064807217</v>
      </c>
      <c r="G463" s="254">
        <f>IFERROR(ROUNDUP(F463*INVOICE!$O$6,2),0)</f>
        <v>479.5</v>
      </c>
      <c r="H463" s="254">
        <f t="shared" si="78"/>
        <v>28.712059064807217</v>
      </c>
      <c r="I463" s="254">
        <f>IFERROR(ROUNDUP(H463*INVOICE!$O$6,2),0)</f>
        <v>479.5</v>
      </c>
      <c r="J463" s="108" t="str">
        <f t="shared" si="72"/>
        <v/>
      </c>
      <c r="L463" s="108" t="str">
        <f t="shared" si="73"/>
        <v/>
      </c>
      <c r="N463" s="108">
        <v>472</v>
      </c>
      <c r="O463" s="108" t="str">
        <f>IF(INVOICE!$N$16="MANUAL",IF(B463&lt;&gt;"",C463,""),IF(INVOICE!$N$16="AUTOMATE",IF(A463&lt;&gt;"",C463,""),""))</f>
        <v/>
      </c>
      <c r="AO463" s="108">
        <f>IF(INVOICE!$N$16="MANUAL",IFERROR(AM463*B463,""),IF(INVOICE!$N$16="AUTOMATE",IFERROR(AM463*A463,""),""))</f>
        <v>0</v>
      </c>
      <c r="AV463" s="108">
        <f t="shared" si="76"/>
        <v>0</v>
      </c>
    </row>
    <row r="464" spans="1:48">
      <c r="C464" s="255" t="s">
        <v>1381</v>
      </c>
      <c r="D464" s="326">
        <v>35</v>
      </c>
      <c r="E464" s="326">
        <v>35</v>
      </c>
      <c r="F464" s="254">
        <f t="shared" si="77"/>
        <v>28.712059064807217</v>
      </c>
      <c r="G464" s="254">
        <f>IFERROR(ROUNDUP(F464*INVOICE!$O$6,2),0)</f>
        <v>479.5</v>
      </c>
      <c r="H464" s="254">
        <f t="shared" si="78"/>
        <v>28.712059064807217</v>
      </c>
      <c r="I464" s="254">
        <f>IFERROR(ROUNDUP(H464*INVOICE!$O$6,2),0)</f>
        <v>479.5</v>
      </c>
      <c r="J464" s="108" t="str">
        <f t="shared" ref="J464:J527" si="79">IF(D464&lt;&gt;"",IF(D464&lt;E464,"lkdfjk",""),"")</f>
        <v/>
      </c>
      <c r="L464" s="108" t="str">
        <f t="shared" ref="L464:L527" si="80">IF(H464&gt;F464,"lkkajdfkj","")</f>
        <v/>
      </c>
      <c r="N464" s="108">
        <v>473</v>
      </c>
      <c r="O464" s="108" t="str">
        <f>IF(INVOICE!$N$16="MANUAL",IF(B464&lt;&gt;"",C464,""),IF(INVOICE!$N$16="AUTOMATE",IF(A464&lt;&gt;"",C464,""),""))</f>
        <v/>
      </c>
      <c r="AO464" s="108">
        <f>IF(INVOICE!$N$16="MANUAL",IFERROR(AM464*B464,""),IF(INVOICE!$N$16="AUTOMATE",IFERROR(AM464*A464,""),""))</f>
        <v>0</v>
      </c>
      <c r="AV464" s="108">
        <f t="shared" si="76"/>
        <v>0</v>
      </c>
    </row>
    <row r="465" spans="1:48">
      <c r="A465" s="108">
        <f>IF(AND(OR(AND('Customer Base'!E13="Phoenix",'Customer Base'!D13="Victron"),'Customer Base'!D$7="Grid-Tied"),'Customer Base'!D$9=1,'CABLE SIZING TOOL'!J$27&gt;0,'CABLE SIZING TOOL'!J$27&lt;=32),1,IF(AND('Customer Base'!D$9=1,'CABLE SIZING TOOL'!J$27&gt;0,'CABLE SIZING TOOL'!J$27&lt;=32),2,""))</f>
        <v>2</v>
      </c>
      <c r="C465" s="255" t="s">
        <v>1382</v>
      </c>
      <c r="D465" s="326">
        <v>49</v>
      </c>
      <c r="E465" s="326">
        <v>49</v>
      </c>
      <c r="F465" s="254">
        <f t="shared" si="77"/>
        <v>40.196882690730106</v>
      </c>
      <c r="G465" s="254">
        <f>IFERROR(ROUNDUP(F465*INVOICE!$O$6,2),0)</f>
        <v>671.29</v>
      </c>
      <c r="H465" s="254">
        <f t="shared" si="78"/>
        <v>40.196882690730106</v>
      </c>
      <c r="I465" s="254">
        <f>IFERROR(ROUNDUP(H465*INVOICE!$O$6,2),0)</f>
        <v>671.29</v>
      </c>
      <c r="J465" s="108" t="str">
        <f t="shared" si="79"/>
        <v/>
      </c>
      <c r="L465" s="108" t="str">
        <f t="shared" si="80"/>
        <v/>
      </c>
      <c r="N465" s="108">
        <v>474</v>
      </c>
      <c r="O465" s="108" t="str">
        <f>IF(INVOICE!$N$16="MANUAL",IF(B465&lt;&gt;"",C465,""),IF(INVOICE!$N$16="AUTOMATE",IF(A465&lt;&gt;"",C465,""),""))</f>
        <v>32A 2-Pole AC Circuit Breaker</v>
      </c>
      <c r="AO465" s="108">
        <f>IF(INVOICE!$N$16="MANUAL",IFERROR(AM465*B465,""),IF(INVOICE!$N$16="AUTOMATE",IFERROR(AM465*A465,""),""))</f>
        <v>0</v>
      </c>
      <c r="AV465" s="108">
        <f t="shared" si="76"/>
        <v>0</v>
      </c>
    </row>
    <row r="466" spans="1:48">
      <c r="A466" s="108" t="str">
        <f>IF(AND(OR(AND('Customer Base'!E13="Phoenix",'Customer Base'!D13="Victron"),'Customer Base'!D$7="Grid-Tied"),'Customer Base'!D$9=1,'CABLE SIZING TOOL'!J$27&gt;32,'CABLE SIZING TOOL'!J$27&lt;=40),1,IF(AND('Customer Base'!D$9=1,'CABLE SIZING TOOL'!J$27&gt;32,'CABLE SIZING TOOL'!J$27&lt;=40),2,""))</f>
        <v/>
      </c>
      <c r="C466" s="255" t="s">
        <v>1383</v>
      </c>
      <c r="D466" s="326">
        <v>49</v>
      </c>
      <c r="E466" s="326">
        <v>49</v>
      </c>
      <c r="F466" s="254">
        <f t="shared" si="77"/>
        <v>40.196882690730106</v>
      </c>
      <c r="G466" s="254">
        <f>IFERROR(ROUNDUP(F466*INVOICE!$O$6,2),0)</f>
        <v>671.29</v>
      </c>
      <c r="H466" s="254">
        <f t="shared" si="78"/>
        <v>40.196882690730106</v>
      </c>
      <c r="I466" s="254">
        <f>IFERROR(ROUNDUP(H466*INVOICE!$O$6,2),0)</f>
        <v>671.29</v>
      </c>
      <c r="J466" s="108" t="str">
        <f t="shared" si="79"/>
        <v/>
      </c>
      <c r="L466" s="108" t="str">
        <f t="shared" si="80"/>
        <v/>
      </c>
      <c r="N466" s="108">
        <v>475</v>
      </c>
      <c r="O466" s="108" t="str">
        <f>IF(INVOICE!$N$16="MANUAL",IF(B466&lt;&gt;"",C466,""),IF(INVOICE!$N$16="AUTOMATE",IF(A466&lt;&gt;"",C466,""),""))</f>
        <v/>
      </c>
      <c r="AO466" s="108" t="str">
        <f>IF(INVOICE!$N$16="MANUAL",IFERROR(AM466*B466,""),IF(INVOICE!$N$16="AUTOMATE",IFERROR(AM466*A466,""),""))</f>
        <v/>
      </c>
      <c r="AV466" s="108">
        <f t="shared" si="76"/>
        <v>0</v>
      </c>
    </row>
    <row r="467" spans="1:48">
      <c r="A467" s="108" t="str">
        <f>IF(AND(OR(AND('Customer Base'!E13="Phoenix",'Customer Base'!D13="Victron"),'Customer Base'!D$7="Grid-Tied"),'Customer Base'!D$9=1,'CABLE SIZING TOOL'!J$27&gt;40,'CABLE SIZING TOOL'!J$27&lt;=50),1,IF(AND('Customer Base'!D$9=1,'CABLE SIZING TOOL'!J$27&gt;40,'CABLE SIZING TOOL'!J$27&lt;=50),2,""))</f>
        <v/>
      </c>
      <c r="C467" s="255" t="s">
        <v>2616</v>
      </c>
      <c r="D467" s="326">
        <v>49</v>
      </c>
      <c r="E467" s="326">
        <v>49</v>
      </c>
      <c r="F467" s="254">
        <f t="shared" si="77"/>
        <v>40.196882690730106</v>
      </c>
      <c r="G467" s="254">
        <f>IFERROR(ROUNDUP(F467*INVOICE!$O$6,2),0)</f>
        <v>671.29</v>
      </c>
      <c r="H467" s="254">
        <f t="shared" si="78"/>
        <v>40.196882690730106</v>
      </c>
      <c r="I467" s="254">
        <f>IFERROR(ROUNDUP(H467*INVOICE!$O$6,2),0)</f>
        <v>671.29</v>
      </c>
      <c r="J467" s="108" t="str">
        <f t="shared" si="79"/>
        <v/>
      </c>
      <c r="L467" s="108" t="str">
        <f t="shared" si="80"/>
        <v/>
      </c>
      <c r="N467" s="108">
        <v>476</v>
      </c>
      <c r="O467" s="108" t="str">
        <f>IF(INVOICE!$N$16="MANUAL",IF(B467&lt;&gt;"",C467,""),IF(INVOICE!$N$16="AUTOMATE",IF(A467&lt;&gt;"",C467,""),""))</f>
        <v/>
      </c>
      <c r="AO467" s="108" t="str">
        <f>IF(INVOICE!$N$16="MANUAL",IFERROR(AM467*B467,""),IF(INVOICE!$N$16="AUTOMATE",IFERROR(AM467*A467,""),""))</f>
        <v/>
      </c>
      <c r="AV467" s="108">
        <f t="shared" si="76"/>
        <v>0</v>
      </c>
    </row>
    <row r="468" spans="1:48">
      <c r="A468" s="108" t="str">
        <f>IF(AND(OR(AND('Customer Base'!E13="Phoenix",'Customer Base'!D13="Victron"),'Customer Base'!D$7="Grid-Tied"),'Customer Base'!D$9=1,'CABLE SIZING TOOL'!J$27&gt;50,'CABLE SIZING TOOL'!J$27&lt;=63),1,IF(AND('Customer Base'!D$9=1,'CABLE SIZING TOOL'!J$27&gt;50,'CABLE SIZING TOOL'!J$27&lt;=63),2,""))</f>
        <v/>
      </c>
      <c r="C468" s="255" t="s">
        <v>1384</v>
      </c>
      <c r="D468" s="326">
        <v>49</v>
      </c>
      <c r="E468" s="326">
        <v>49</v>
      </c>
      <c r="F468" s="254">
        <f t="shared" si="77"/>
        <v>40.196882690730106</v>
      </c>
      <c r="G468" s="254">
        <f>IFERROR(ROUNDUP(F468*INVOICE!$O$6,2),0)</f>
        <v>671.29</v>
      </c>
      <c r="H468" s="254">
        <f t="shared" si="78"/>
        <v>40.196882690730106</v>
      </c>
      <c r="I468" s="254">
        <f>IFERROR(ROUNDUP(H468*INVOICE!$O$6,2),0)</f>
        <v>671.29</v>
      </c>
      <c r="J468" s="108" t="str">
        <f t="shared" si="79"/>
        <v/>
      </c>
      <c r="L468" s="108" t="str">
        <f t="shared" si="80"/>
        <v/>
      </c>
      <c r="N468" s="108">
        <v>477</v>
      </c>
      <c r="O468" s="108" t="str">
        <f>IF(INVOICE!$N$16="MANUAL",IF(B468&lt;&gt;"",C468,""),IF(INVOICE!$N$16="AUTOMATE",IF(A468&lt;&gt;"",C468,""),""))</f>
        <v/>
      </c>
      <c r="AO468" s="108" t="str">
        <f>IF(INVOICE!$N$16="MANUAL",IFERROR(AM468*B468,""),IF(INVOICE!$N$16="AUTOMATE",IFERROR(AM468*A468,""),""))</f>
        <v/>
      </c>
      <c r="AV468" s="108">
        <f t="shared" si="76"/>
        <v>0</v>
      </c>
    </row>
    <row r="469" spans="1:48">
      <c r="A469" s="108" t="str">
        <f>IF(AND(OR(AND('Customer Base'!E13="Phoenix",'Customer Base'!D13="Victron"),'Customer Base'!D$7="Grid-Tied"),'Customer Base'!D$9=1,'CABLE SIZING TOOL'!J$27&gt;63,'CABLE SIZING TOOL'!J$27&lt;=80),1,IF(AND('Customer Base'!D$9=1,'CABLE SIZING TOOL'!J$27&gt;63,'CABLE SIZING TOOL'!J$27&lt;=80),2,""))</f>
        <v/>
      </c>
      <c r="C469" s="255" t="s">
        <v>1805</v>
      </c>
      <c r="D469" s="326">
        <v>49</v>
      </c>
      <c r="E469" s="326">
        <v>49</v>
      </c>
      <c r="F469" s="254">
        <f t="shared" si="77"/>
        <v>40.196882690730106</v>
      </c>
      <c r="G469" s="254">
        <f>IFERROR(ROUNDUP(F469*INVOICE!$O$6,2),0)</f>
        <v>671.29</v>
      </c>
      <c r="H469" s="254">
        <f t="shared" si="78"/>
        <v>40.196882690730106</v>
      </c>
      <c r="I469" s="254">
        <f>IFERROR(ROUNDUP(H469*INVOICE!$O$6,2),0)</f>
        <v>671.29</v>
      </c>
      <c r="J469" s="108" t="str">
        <f t="shared" si="79"/>
        <v/>
      </c>
      <c r="L469" s="108" t="str">
        <f t="shared" si="80"/>
        <v/>
      </c>
      <c r="N469" s="108">
        <v>478</v>
      </c>
      <c r="O469" s="108" t="str">
        <f>IF(INVOICE!$N$16="MANUAL",IF(B469&lt;&gt;"",C469,""),IF(INVOICE!$N$16="AUTOMATE",IF(A469&lt;&gt;"",C469,""),""))</f>
        <v/>
      </c>
      <c r="AO469" s="108" t="str">
        <f>IF(INVOICE!$N$16="MANUAL",IFERROR(AM469*B469,""),IF(INVOICE!$N$16="AUTOMATE",IFERROR(AM469*A469,""),""))</f>
        <v/>
      </c>
      <c r="AV469" s="108">
        <f t="shared" si="76"/>
        <v>0</v>
      </c>
    </row>
    <row r="470" spans="1:48">
      <c r="A470" s="108" t="str">
        <f>IF(AND(OR(AND('Customer Base'!E13="Phoenix",'Customer Base'!D13="Victron"),'Customer Base'!D$7="Grid-Tied"),'Customer Base'!D$9=1,'CABLE SIZING TOOL'!J$27&gt;80,'CABLE SIZING TOOL'!J$27&lt;=100),1,IF(AND('Customer Base'!D$9=1,'CABLE SIZING TOOL'!J$27&gt;80,'CABLE SIZING TOOL'!J$27&lt;=100),2,""))</f>
        <v/>
      </c>
      <c r="C470" s="255" t="s">
        <v>1385</v>
      </c>
      <c r="D470" s="326">
        <v>49</v>
      </c>
      <c r="E470" s="326">
        <v>49</v>
      </c>
      <c r="F470" s="254">
        <f t="shared" si="77"/>
        <v>40.196882690730106</v>
      </c>
      <c r="G470" s="254">
        <f>IFERROR(ROUNDUP(F470*INVOICE!$O$6,2),0)</f>
        <v>671.29</v>
      </c>
      <c r="H470" s="254">
        <f t="shared" si="78"/>
        <v>40.196882690730106</v>
      </c>
      <c r="I470" s="254">
        <f>IFERROR(ROUNDUP(H470*INVOICE!$O$6,2),0)</f>
        <v>671.29</v>
      </c>
      <c r="J470" s="108" t="str">
        <f t="shared" si="79"/>
        <v/>
      </c>
      <c r="L470" s="108" t="str">
        <f t="shared" si="80"/>
        <v/>
      </c>
      <c r="N470" s="108">
        <v>479</v>
      </c>
      <c r="O470" s="108" t="str">
        <f>IF(INVOICE!$N$16="MANUAL",IF(B470&lt;&gt;"",C470,""),IF(INVOICE!$N$16="AUTOMATE",IF(A470&lt;&gt;"",C470,""),""))</f>
        <v/>
      </c>
      <c r="AO470" s="108" t="str">
        <f>IF(INVOICE!$N$16="MANUAL",IFERROR(AM470*B470,""),IF(INVOICE!$N$16="AUTOMATE",IFERROR(AM470*A470,""),""))</f>
        <v/>
      </c>
      <c r="AV470" s="108">
        <f t="shared" si="76"/>
        <v>0</v>
      </c>
    </row>
    <row r="471" spans="1:48">
      <c r="A471" s="108" t="str">
        <f>IF(AND(OR(AND('Customer Base'!E13="Phoenix",'Customer Base'!D13="Victron"),'Customer Base'!D$7="Grid-Tied"),'Customer Base'!D$9=1,'CABLE SIZING TOOL'!J$27&gt;100,'CABLE SIZING TOOL'!J$27&lt;=125),1,IF(AND('Customer Base'!D$9=1,'CABLE SIZING TOOL'!J$27&gt;100,'CABLE SIZING TOOL'!J$27&lt;=125),2,""))</f>
        <v/>
      </c>
      <c r="C471" s="255" t="s">
        <v>2629</v>
      </c>
      <c r="D471" s="326">
        <v>49</v>
      </c>
      <c r="E471" s="326">
        <v>49</v>
      </c>
      <c r="F471" s="254">
        <f t="shared" si="77"/>
        <v>40.196882690730106</v>
      </c>
      <c r="G471" s="254">
        <f>IFERROR(ROUNDUP(F471*INVOICE!$O$6,2),0)</f>
        <v>671.29</v>
      </c>
      <c r="H471" s="254">
        <f t="shared" si="78"/>
        <v>40.196882690730106</v>
      </c>
      <c r="I471" s="254">
        <f>IFERROR(ROUNDUP(H471*INVOICE!$O$6,2),0)</f>
        <v>671.29</v>
      </c>
      <c r="J471" s="108" t="str">
        <f t="shared" si="79"/>
        <v/>
      </c>
      <c r="L471" s="108" t="str">
        <f t="shared" si="80"/>
        <v/>
      </c>
      <c r="N471" s="108">
        <v>480</v>
      </c>
      <c r="O471" s="108" t="str">
        <f>IF(INVOICE!$N$16="MANUAL",IF(B471&lt;&gt;"",C471,""),IF(INVOICE!$N$16="AUTOMATE",IF(A471&lt;&gt;"",C471,""),""))</f>
        <v/>
      </c>
      <c r="AO471" s="108" t="str">
        <f>IF(INVOICE!$N$16="MANUAL",IFERROR(AM471*B471,""),IF(INVOICE!$N$16="AUTOMATE",IFERROR(AM471*A471,""),""))</f>
        <v/>
      </c>
    </row>
    <row r="472" spans="1:48">
      <c r="A472" s="108" t="str">
        <f>IF(AND(OR(AND('Customer Base'!E13="Phoenix",'Customer Base'!D13="Victron"),'Customer Base'!D$7="Grid-Tied"),'Customer Base'!D$9=1,'CABLE SIZING TOOL'!J$27&gt;125,'CABLE SIZING TOOL'!J$27&lt;=160),1,IF(AND('Customer Base'!D$9=1,'CABLE SIZING TOOL'!J$27&gt;125,'CABLE SIZING TOOL'!J$27&lt;=160),2,""))</f>
        <v/>
      </c>
      <c r="C472" s="255" t="s">
        <v>1498</v>
      </c>
      <c r="D472" s="326">
        <v>69</v>
      </c>
      <c r="E472" s="326">
        <v>69</v>
      </c>
      <c r="F472" s="254">
        <f t="shared" si="77"/>
        <v>56.603773584905653</v>
      </c>
      <c r="G472" s="254">
        <f>IFERROR(ROUNDUP(F472*INVOICE!$O$6,2),0)</f>
        <v>945.29</v>
      </c>
      <c r="H472" s="254">
        <f t="shared" si="78"/>
        <v>56.603773584905653</v>
      </c>
      <c r="I472" s="254">
        <f>IFERROR(ROUNDUP(H472*INVOICE!$O$6,2),0)</f>
        <v>945.29</v>
      </c>
      <c r="J472" s="108" t="str">
        <f t="shared" si="79"/>
        <v/>
      </c>
      <c r="L472" s="108" t="str">
        <f t="shared" si="80"/>
        <v/>
      </c>
      <c r="N472" s="108">
        <v>481</v>
      </c>
      <c r="O472" s="108" t="str">
        <f>IF(INVOICE!$N$16="MANUAL",IF(B472&lt;&gt;"",C472,""),IF(INVOICE!$N$16="AUTOMATE",IF(A472&lt;&gt;"",C472,""),""))</f>
        <v/>
      </c>
      <c r="AO472" s="108" t="str">
        <f>IF(INVOICE!$N$16="MANUAL",IFERROR(AM472*B472,""),IF(INVOICE!$N$16="AUTOMATE",IFERROR(AM472*A472,""),""))</f>
        <v/>
      </c>
      <c r="AV472" s="108">
        <f t="shared" si="76"/>
        <v>0</v>
      </c>
    </row>
    <row r="473" spans="1:48">
      <c r="A473" s="108" t="str">
        <f>IF(AND(OR(AND('Customer Base'!E13="Phoenix",'Customer Base'!D13="Victron"),'Customer Base'!D$7="Grid-Tied"),'Customer Base'!D$9=1,'CABLE SIZING TOOL'!J$27&gt;160,'CABLE SIZING TOOL'!J$27&lt;=250),1,IF(AND('Customer Base'!D$9=1,'CABLE SIZING TOOL'!J$27&gt;160,'CABLE SIZING TOOL'!J$27&lt;=250),2,""))</f>
        <v/>
      </c>
      <c r="C473" s="255" t="s">
        <v>1386</v>
      </c>
      <c r="D473" s="326">
        <v>69</v>
      </c>
      <c r="E473" s="326">
        <v>69</v>
      </c>
      <c r="F473" s="254">
        <f t="shared" si="77"/>
        <v>56.603773584905653</v>
      </c>
      <c r="G473" s="254">
        <f>IFERROR(ROUNDUP(F473*INVOICE!$O$6,2),0)</f>
        <v>945.29</v>
      </c>
      <c r="H473" s="254">
        <f t="shared" si="78"/>
        <v>56.603773584905653</v>
      </c>
      <c r="I473" s="254">
        <f>IFERROR(ROUNDUP(H473*INVOICE!$O$6,2),0)</f>
        <v>945.29</v>
      </c>
      <c r="J473" s="108" t="str">
        <f t="shared" si="79"/>
        <v/>
      </c>
      <c r="L473" s="108" t="str">
        <f t="shared" si="80"/>
        <v/>
      </c>
      <c r="N473" s="108">
        <v>482</v>
      </c>
      <c r="O473" s="108" t="str">
        <f>IF(INVOICE!$N$16="MANUAL",IF(B473&lt;&gt;"",C473,""),IF(INVOICE!$N$16="AUTOMATE",IF(A473&lt;&gt;"",C473,""),""))</f>
        <v/>
      </c>
      <c r="AO473" s="108" t="str">
        <f>IF(INVOICE!$N$16="MANUAL",IFERROR(AM473*B473,""),IF(INVOICE!$N$16="AUTOMATE",IFERROR(AM473*A473,""),""))</f>
        <v/>
      </c>
    </row>
    <row r="474" spans="1:48">
      <c r="A474" s="108" t="str">
        <f>IF(AND(OR(AND('Customer Base'!E13="Phoenix",'Customer Base'!D13="Victron"),'Customer Base'!D$7="Grid-Tied"),'Customer Base'!D$9=1,'CABLE SIZING TOOL'!J$27&gt;250,'CABLE SIZING TOOL'!J$27&lt;=320),1,IF(AND('Customer Base'!D$9=1,'CABLE SIZING TOOL'!J$27&gt;250,'CABLE SIZING TOOL'!J$27&lt;=320),2,""))</f>
        <v/>
      </c>
      <c r="C474" s="255" t="s">
        <v>2617</v>
      </c>
      <c r="D474" s="326">
        <v>89</v>
      </c>
      <c r="E474" s="326">
        <v>89</v>
      </c>
      <c r="F474" s="254">
        <f t="shared" si="77"/>
        <v>73.010664479081214</v>
      </c>
      <c r="G474" s="254">
        <f>IFERROR(ROUNDUP(F474*INVOICE!$O$6,2),0)</f>
        <v>1219.28</v>
      </c>
      <c r="H474" s="254">
        <f t="shared" si="78"/>
        <v>73.010664479081214</v>
      </c>
      <c r="I474" s="254">
        <f>IFERROR(ROUNDUP(H474*INVOICE!$O$6,2),0)</f>
        <v>1219.28</v>
      </c>
      <c r="J474" s="108" t="str">
        <f t="shared" si="79"/>
        <v/>
      </c>
      <c r="L474" s="108" t="str">
        <f t="shared" si="80"/>
        <v/>
      </c>
      <c r="N474" s="108">
        <v>483</v>
      </c>
      <c r="O474" s="108" t="str">
        <f>IF(INVOICE!$N$16="MANUAL",IF(B474&lt;&gt;"",C474,""),IF(INVOICE!$N$16="AUTOMATE",IF(A474&lt;&gt;"",C474,""),""))</f>
        <v/>
      </c>
      <c r="AO474" s="108" t="str">
        <f>IF(INVOICE!$N$16="MANUAL",IFERROR(AM474*B474,""),IF(INVOICE!$N$16="AUTOMATE",IFERROR(AM474*A474,""),""))</f>
        <v/>
      </c>
    </row>
    <row r="475" spans="1:48">
      <c r="C475" s="255"/>
      <c r="D475" s="326"/>
      <c r="E475" s="326"/>
      <c r="F475" s="254">
        <f t="shared" si="77"/>
        <v>0</v>
      </c>
      <c r="G475" s="254">
        <f>IFERROR(ROUNDUP(F475*INVOICE!$O$6,2),0)</f>
        <v>0</v>
      </c>
      <c r="H475" s="254">
        <f t="shared" si="78"/>
        <v>0</v>
      </c>
      <c r="I475" s="254">
        <f>IFERROR(ROUNDUP(H475*INVOICE!$O$6,2),0)</f>
        <v>0</v>
      </c>
      <c r="J475" s="108" t="str">
        <f t="shared" si="79"/>
        <v/>
      </c>
      <c r="L475" s="108" t="str">
        <f t="shared" si="80"/>
        <v/>
      </c>
      <c r="N475" s="108">
        <v>484</v>
      </c>
      <c r="O475" s="108" t="str">
        <f>IF(INVOICE!$N$16="MANUAL",IF(B475&lt;&gt;"",C475,""),IF(INVOICE!$N$16="AUTOMATE",IF(A475&lt;&gt;"",C475,""),""))</f>
        <v/>
      </c>
      <c r="AO475" s="108">
        <f>IF(INVOICE!$N$16="MANUAL",IFERROR(AM475*B475,""),IF(INVOICE!$N$16="AUTOMATE",IFERROR(AM475*A475,""),""))</f>
        <v>0</v>
      </c>
      <c r="AV475" s="108">
        <f t="shared" si="76"/>
        <v>0</v>
      </c>
    </row>
    <row r="476" spans="1:48">
      <c r="A476" s="108" t="str">
        <f>IF(AND(OR(AND('Customer Base'!E13="Phoenix",'Customer Base'!D13="Victron"),'Customer Base'!D$7="Grid-Tied"),'Customer Base'!D$9=3,'CABLE SIZING TOOL'!J$27&gt;0,'CABLE SIZING TOOL'!J$27&lt;=32),1,IF(AND('Customer Base'!D$9=3,'CABLE SIZING TOOL'!J$27&gt;0,'CABLE SIZING TOOL'!J$27&lt;=32),2,""))</f>
        <v/>
      </c>
      <c r="C476" s="255" t="s">
        <v>1387</v>
      </c>
      <c r="D476" s="326">
        <v>50</v>
      </c>
      <c r="E476" s="326">
        <v>50</v>
      </c>
      <c r="F476" s="254">
        <f t="shared" ref="F476:F501" si="81">$D476/1.219</f>
        <v>41.017227235438881</v>
      </c>
      <c r="G476" s="254">
        <f>IFERROR(ROUNDUP(F476*INVOICE!$O$6,2),0)</f>
        <v>684.99</v>
      </c>
      <c r="H476" s="254">
        <f t="shared" si="78"/>
        <v>41.017227235438881</v>
      </c>
      <c r="I476" s="254">
        <f>IFERROR(ROUNDUP(H476*INVOICE!$O$6,2),0)</f>
        <v>684.99</v>
      </c>
      <c r="J476" s="108" t="str">
        <f t="shared" si="79"/>
        <v/>
      </c>
      <c r="L476" s="108" t="str">
        <f t="shared" si="80"/>
        <v/>
      </c>
      <c r="N476" s="108">
        <v>485</v>
      </c>
      <c r="O476" s="108" t="str">
        <f>IF(INVOICE!$N$16="MANUAL",IF(B476&lt;&gt;"",C476,""),IF(INVOICE!$N$16="AUTOMATE",IF(A476&lt;&gt;"",C476,""),""))</f>
        <v/>
      </c>
      <c r="AO476" s="108" t="str">
        <f>IF(INVOICE!$N$16="MANUAL",IFERROR(AM476*B476,""),IF(INVOICE!$N$16="AUTOMATE",IFERROR(AM476*A476,""),""))</f>
        <v/>
      </c>
      <c r="AV476" s="108">
        <f t="shared" si="76"/>
        <v>0</v>
      </c>
    </row>
    <row r="477" spans="1:48">
      <c r="A477" s="108" t="str">
        <f>IF(AND(OR(AND('Customer Base'!E13="Phoenix",'Customer Base'!D13="Victron"),'Customer Base'!D$7="Grid-Tied"),'Customer Base'!D$9=3,'CABLE SIZING TOOL'!J$27&gt;32,'CABLE SIZING TOOL'!J$27&lt;=40),1,IF(AND('Customer Base'!D$9=3,'CABLE SIZING TOOL'!J$27&gt;32,'CABLE SIZING TOOL'!J$27&lt;=40),2,""))</f>
        <v/>
      </c>
      <c r="C477" s="255" t="s">
        <v>1388</v>
      </c>
      <c r="D477" s="326">
        <v>50</v>
      </c>
      <c r="E477" s="326">
        <v>50</v>
      </c>
      <c r="F477" s="254">
        <f t="shared" si="81"/>
        <v>41.017227235438881</v>
      </c>
      <c r="G477" s="254">
        <f>IFERROR(ROUNDUP(F477*INVOICE!$O$6,2),0)</f>
        <v>684.99</v>
      </c>
      <c r="H477" s="254">
        <f t="shared" ref="H477:H501" si="82">$E477/1.219</f>
        <v>41.017227235438881</v>
      </c>
      <c r="I477" s="254">
        <f>IFERROR(ROUNDUP(H477*INVOICE!$O$6,2),0)</f>
        <v>684.99</v>
      </c>
      <c r="J477" s="108" t="str">
        <f t="shared" si="79"/>
        <v/>
      </c>
      <c r="L477" s="108" t="str">
        <f t="shared" si="80"/>
        <v/>
      </c>
      <c r="N477" s="108">
        <v>486</v>
      </c>
      <c r="O477" s="108" t="str">
        <f>IF(INVOICE!$N$16="MANUAL",IF(B477&lt;&gt;"",C477,""),IF(INVOICE!$N$16="AUTOMATE",IF(A477&lt;&gt;"",C477,""),""))</f>
        <v/>
      </c>
      <c r="AO477" s="108" t="str">
        <f>IF(INVOICE!$N$16="MANUAL",IFERROR(AM477*B477,""),IF(INVOICE!$N$16="AUTOMATE",IFERROR(AM477*A477,""),""))</f>
        <v/>
      </c>
      <c r="AV477" s="108">
        <f t="shared" si="76"/>
        <v>0</v>
      </c>
    </row>
    <row r="478" spans="1:48">
      <c r="A478" s="108" t="str">
        <f>IF(AND(OR(AND('Customer Base'!E13="Phoenix",'Customer Base'!D13="Victron"),'Customer Base'!D$7="Grid-Tied"),'Customer Base'!D$9=3,'CABLE SIZING TOOL'!J$27&gt;40,'CABLE SIZING TOOL'!J$27&lt;=50),1,IF(AND('Customer Base'!D$9=3,'CABLE SIZING TOOL'!J$27&gt;40,'CABLE SIZING TOOL'!J$27&lt;=50),2,""))</f>
        <v/>
      </c>
      <c r="C478" s="255" t="s">
        <v>2615</v>
      </c>
      <c r="D478" s="326">
        <v>50</v>
      </c>
      <c r="E478" s="326">
        <v>50</v>
      </c>
      <c r="F478" s="254">
        <f t="shared" si="81"/>
        <v>41.017227235438881</v>
      </c>
      <c r="G478" s="254">
        <f>IFERROR(ROUNDUP(F478*INVOICE!$O$6,2),0)</f>
        <v>684.99</v>
      </c>
      <c r="H478" s="254">
        <f t="shared" si="82"/>
        <v>41.017227235438881</v>
      </c>
      <c r="I478" s="254">
        <f>IFERROR(ROUNDUP(H478*INVOICE!$O$6,2),0)</f>
        <v>684.99</v>
      </c>
      <c r="J478" s="108" t="str">
        <f t="shared" si="79"/>
        <v/>
      </c>
      <c r="L478" s="108" t="str">
        <f t="shared" si="80"/>
        <v/>
      </c>
      <c r="N478" s="108">
        <v>487</v>
      </c>
      <c r="O478" s="108" t="str">
        <f>IF(INVOICE!$N$16="MANUAL",IF(B478&lt;&gt;"",C478,""),IF(INVOICE!$N$16="AUTOMATE",IF(A478&lt;&gt;"",C478,""),""))</f>
        <v/>
      </c>
      <c r="AO478" s="108" t="str">
        <f>IF(INVOICE!$N$16="MANUAL",IFERROR(AM478*B478,""),IF(INVOICE!$N$16="AUTOMATE",IFERROR(AM478*A478,""),""))</f>
        <v/>
      </c>
      <c r="AV478" s="108">
        <f t="shared" si="76"/>
        <v>0</v>
      </c>
    </row>
    <row r="479" spans="1:48">
      <c r="A479" s="108" t="str">
        <f>IF(AND(OR(AND('Customer Base'!E13="Phoenix",'Customer Base'!D13="Victron"),'Customer Base'!D$7="Grid-Tied"),'Customer Base'!D$9=3,'CABLE SIZING TOOL'!J$27&gt;50,'CABLE SIZING TOOL'!J$27&lt;=63),1,IF(AND('Customer Base'!D$9=3,'CABLE SIZING TOOL'!J$27&gt;50,'CABLE SIZING TOOL'!J$27&lt;=63),2,""))</f>
        <v/>
      </c>
      <c r="C479" s="255" t="s">
        <v>1389</v>
      </c>
      <c r="D479" s="326">
        <v>50</v>
      </c>
      <c r="E479" s="326">
        <v>50</v>
      </c>
      <c r="F479" s="254">
        <f t="shared" si="81"/>
        <v>41.017227235438881</v>
      </c>
      <c r="G479" s="254">
        <f>IFERROR(ROUNDUP(F479*INVOICE!$O$6,2),0)</f>
        <v>684.99</v>
      </c>
      <c r="H479" s="254">
        <f t="shared" si="82"/>
        <v>41.017227235438881</v>
      </c>
      <c r="I479" s="254">
        <f>IFERROR(ROUNDUP(H479*INVOICE!$O$6,2),0)</f>
        <v>684.99</v>
      </c>
      <c r="J479" s="108" t="str">
        <f t="shared" si="79"/>
        <v/>
      </c>
      <c r="L479" s="108" t="str">
        <f t="shared" si="80"/>
        <v/>
      </c>
      <c r="N479" s="108">
        <v>488</v>
      </c>
      <c r="O479" s="108" t="str">
        <f>IF(INVOICE!$N$16="MANUAL",IF(B479&lt;&gt;"",C479,""),IF(INVOICE!$N$16="AUTOMATE",IF(A479&lt;&gt;"",C479,""),""))</f>
        <v/>
      </c>
      <c r="AO479" s="108" t="str">
        <f>IF(INVOICE!$N$16="MANUAL",IFERROR(AM479*B479,""),IF(INVOICE!$N$16="AUTOMATE",IFERROR(AM479*A479,""),""))</f>
        <v/>
      </c>
      <c r="AV479" s="108">
        <f t="shared" si="76"/>
        <v>0</v>
      </c>
    </row>
    <row r="480" spans="1:48">
      <c r="A480" s="108" t="str">
        <f>IF(AND(OR(AND('Customer Base'!E13="Phoenix",'Customer Base'!D13="Victron"),'Customer Base'!D$7="Grid-Tied"),'Customer Base'!D$9=3,'CABLE SIZING TOOL'!J$27&gt;63,'CABLE SIZING TOOL'!J$27&lt;=80),1,IF(AND('Customer Base'!D$9=3,'CABLE SIZING TOOL'!J$27&gt;63,'CABLE SIZING TOOL'!J$27&lt;=80),2,""))</f>
        <v/>
      </c>
      <c r="C480" s="255" t="s">
        <v>1806</v>
      </c>
      <c r="D480" s="326">
        <v>50</v>
      </c>
      <c r="E480" s="326">
        <v>50</v>
      </c>
      <c r="F480" s="254">
        <f t="shared" si="81"/>
        <v>41.017227235438881</v>
      </c>
      <c r="G480" s="254">
        <f>IFERROR(ROUNDUP(F480*INVOICE!$O$6,2),0)</f>
        <v>684.99</v>
      </c>
      <c r="H480" s="254">
        <f t="shared" si="82"/>
        <v>41.017227235438881</v>
      </c>
      <c r="I480" s="254">
        <f>IFERROR(ROUNDUP(H480*INVOICE!$O$6,2),0)</f>
        <v>684.99</v>
      </c>
      <c r="J480" s="108" t="str">
        <f t="shared" si="79"/>
        <v/>
      </c>
      <c r="L480" s="108" t="str">
        <f t="shared" si="80"/>
        <v/>
      </c>
      <c r="N480" s="108">
        <v>489</v>
      </c>
      <c r="O480" s="108" t="str">
        <f>IF(INVOICE!$N$16="MANUAL",IF(B480&lt;&gt;"",C480,""),IF(INVOICE!$N$16="AUTOMATE",IF(A480&lt;&gt;"",C480,""),""))</f>
        <v/>
      </c>
      <c r="AO480" s="108" t="str">
        <f>IF(INVOICE!$N$16="MANUAL",IFERROR(AM480*B480,""),IF(INVOICE!$N$16="AUTOMATE",IFERROR(AM480*A480,""),""))</f>
        <v/>
      </c>
      <c r="AV480" s="108">
        <f t="shared" si="76"/>
        <v>0</v>
      </c>
    </row>
    <row r="481" spans="1:48">
      <c r="A481" s="108" t="str">
        <f>IF(AND(OR(AND('Customer Base'!E13="Phoenix",'Customer Base'!D13="Victron"),'Customer Base'!D$7="Grid-Tied"),'Customer Base'!D$9=3,'CABLE SIZING TOOL'!J$27&gt;80,'CABLE SIZING TOOL'!J$27&lt;=100),1,IF(AND('Customer Base'!D$9=3,'CABLE SIZING TOOL'!J$27&gt;80,'CABLE SIZING TOOL'!J$27&lt;=100),2,""))</f>
        <v/>
      </c>
      <c r="C481" s="255" t="s">
        <v>1390</v>
      </c>
      <c r="D481" s="326">
        <v>50</v>
      </c>
      <c r="E481" s="326">
        <v>50</v>
      </c>
      <c r="F481" s="254">
        <f t="shared" si="81"/>
        <v>41.017227235438881</v>
      </c>
      <c r="G481" s="254">
        <f>IFERROR(ROUNDUP(F481*INVOICE!$O$6,2),0)</f>
        <v>684.99</v>
      </c>
      <c r="H481" s="254">
        <f t="shared" si="82"/>
        <v>41.017227235438881</v>
      </c>
      <c r="I481" s="254">
        <f>IFERROR(ROUNDUP(H481*INVOICE!$O$6,2),0)</f>
        <v>684.99</v>
      </c>
      <c r="J481" s="108" t="str">
        <f t="shared" si="79"/>
        <v/>
      </c>
      <c r="L481" s="108" t="str">
        <f t="shared" si="80"/>
        <v/>
      </c>
      <c r="N481" s="108">
        <v>490</v>
      </c>
      <c r="O481" s="108" t="str">
        <f>IF(INVOICE!$N$16="MANUAL",IF(B481&lt;&gt;"",C481,""),IF(INVOICE!$N$16="AUTOMATE",IF(A481&lt;&gt;"",C481,""),""))</f>
        <v/>
      </c>
      <c r="AO481" s="108" t="str">
        <f>IF(INVOICE!$N$16="MANUAL",IFERROR(AM481*B481,""),IF(INVOICE!$N$16="AUTOMATE",IFERROR(AM481*A481,""),""))</f>
        <v/>
      </c>
      <c r="AV481" s="108">
        <f t="shared" si="76"/>
        <v>0</v>
      </c>
    </row>
    <row r="482" spans="1:48">
      <c r="A482" s="108" t="str">
        <f>IF(AND(OR(AND('Customer Base'!E13="Phoenix",'Customer Base'!D13="Victron"),'Customer Base'!D$7="Grid-Tied"),'Customer Base'!D$9=3,'CABLE SIZING TOOL'!J$27&gt;100,'CABLE SIZING TOOL'!J$27&lt;=125),1,IF(AND('Customer Base'!D$9=3,'CABLE SIZING TOOL'!J$27&gt;100,'CABLE SIZING TOOL'!J$27&lt;=125),2,""))</f>
        <v/>
      </c>
      <c r="C482" s="255" t="s">
        <v>2628</v>
      </c>
      <c r="D482" s="326">
        <v>50</v>
      </c>
      <c r="E482" s="326">
        <v>50</v>
      </c>
      <c r="F482" s="254">
        <f t="shared" si="81"/>
        <v>41.017227235438881</v>
      </c>
      <c r="G482" s="254">
        <f>IFERROR(ROUNDUP(F482*INVOICE!$O$6,2),0)</f>
        <v>684.99</v>
      </c>
      <c r="H482" s="254">
        <f t="shared" si="82"/>
        <v>41.017227235438881</v>
      </c>
      <c r="I482" s="254">
        <f>IFERROR(ROUNDUP(H482*INVOICE!$O$6,2),0)</f>
        <v>684.99</v>
      </c>
      <c r="J482" s="108" t="str">
        <f t="shared" si="79"/>
        <v/>
      </c>
      <c r="L482" s="108" t="str">
        <f t="shared" si="80"/>
        <v/>
      </c>
      <c r="N482" s="108">
        <v>491</v>
      </c>
      <c r="O482" s="108" t="str">
        <f>IF(INVOICE!$N$16="MANUAL",IF(B482&lt;&gt;"",C482,""),IF(INVOICE!$N$16="AUTOMATE",IF(A482&lt;&gt;"",C482,""),""))</f>
        <v/>
      </c>
      <c r="AO482" s="108" t="str">
        <f>IF(INVOICE!$N$16="MANUAL",IFERROR(AM482*B482,""),IF(INVOICE!$N$16="AUTOMATE",IFERROR(AM482*A482,""),""))</f>
        <v/>
      </c>
      <c r="AV482" s="108">
        <f t="shared" si="76"/>
        <v>0</v>
      </c>
    </row>
    <row r="483" spans="1:48">
      <c r="A483" s="108" t="str">
        <f>IF(AND(OR(AND('Customer Base'!E13="Phoenix",'Customer Base'!D13="Victron"),'Customer Base'!D$7="Grid-Tied"),'Customer Base'!D$9=3,'CABLE SIZING TOOL'!J$27&gt;125,'CABLE SIZING TOOL'!J$27&lt;=160),1,IF(AND('Customer Base'!D$9=3,'CABLE SIZING TOOL'!J$27&gt;125,'CABLE SIZING TOOL'!J$27&lt;=160),2,""))</f>
        <v/>
      </c>
      <c r="C483" s="255" t="s">
        <v>1499</v>
      </c>
      <c r="D483" s="326">
        <v>70</v>
      </c>
      <c r="E483" s="326">
        <v>70</v>
      </c>
      <c r="F483" s="254">
        <f t="shared" si="81"/>
        <v>57.424118129614435</v>
      </c>
      <c r="G483" s="254">
        <f>IFERROR(ROUNDUP(F483*INVOICE!$O$6,2),0)</f>
        <v>958.99</v>
      </c>
      <c r="H483" s="254">
        <f t="shared" si="82"/>
        <v>57.424118129614435</v>
      </c>
      <c r="I483" s="254">
        <f>IFERROR(ROUNDUP(H483*INVOICE!$O$6,2),0)</f>
        <v>958.99</v>
      </c>
      <c r="J483" s="108" t="str">
        <f t="shared" si="79"/>
        <v/>
      </c>
      <c r="L483" s="108" t="str">
        <f t="shared" si="80"/>
        <v/>
      </c>
      <c r="N483" s="108">
        <v>492</v>
      </c>
      <c r="O483" s="108" t="str">
        <f>IF(INVOICE!$N$16="MANUAL",IF(B483&lt;&gt;"",C483,""),IF(INVOICE!$N$16="AUTOMATE",IF(A483&lt;&gt;"",C483,""),""))</f>
        <v/>
      </c>
      <c r="AO483" s="108" t="str">
        <f>IF(INVOICE!$N$16="MANUAL",IFERROR(AM483*B483,""),IF(INVOICE!$N$16="AUTOMATE",IFERROR(AM483*A483,""),""))</f>
        <v/>
      </c>
    </row>
    <row r="484" spans="1:48">
      <c r="C484" s="255" t="s">
        <v>1391</v>
      </c>
      <c r="D484" s="326">
        <v>70</v>
      </c>
      <c r="E484" s="326">
        <v>70</v>
      </c>
      <c r="F484" s="254">
        <f t="shared" si="81"/>
        <v>57.424118129614435</v>
      </c>
      <c r="G484" s="254">
        <f>IFERROR(ROUNDUP(F484*INVOICE!$O$6,2),0)</f>
        <v>958.99</v>
      </c>
      <c r="H484" s="254">
        <f t="shared" si="82"/>
        <v>57.424118129614435</v>
      </c>
      <c r="I484" s="254">
        <f>IFERROR(ROUNDUP(H484*INVOICE!$O$6,2),0)</f>
        <v>958.99</v>
      </c>
      <c r="J484" s="108" t="str">
        <f t="shared" si="79"/>
        <v/>
      </c>
      <c r="L484" s="108" t="str">
        <f t="shared" si="80"/>
        <v/>
      </c>
      <c r="N484" s="108">
        <v>493</v>
      </c>
      <c r="O484" s="108" t="str">
        <f>IF(INVOICE!$N$16="MANUAL",IF(B484&lt;&gt;"",C484,""),IF(INVOICE!$N$16="AUTOMATE",IF(A484&lt;&gt;"",C484,""),""))</f>
        <v/>
      </c>
      <c r="AO484" s="108">
        <f>IF(INVOICE!$N$16="MANUAL",IFERROR(AM484*B484,""),IF(INVOICE!$N$16="AUTOMATE",IFERROR(AM484*A484,""),""))</f>
        <v>0</v>
      </c>
    </row>
    <row r="485" spans="1:48">
      <c r="C485" s="255"/>
      <c r="D485" s="326"/>
      <c r="E485" s="326"/>
      <c r="F485" s="254">
        <f t="shared" si="81"/>
        <v>0</v>
      </c>
      <c r="G485" s="254">
        <f>IFERROR(ROUNDUP(F485*INVOICE!$O$6,2),0)</f>
        <v>0</v>
      </c>
      <c r="H485" s="254">
        <f t="shared" si="82"/>
        <v>0</v>
      </c>
      <c r="I485" s="254">
        <f>IFERROR(ROUNDUP(H485*INVOICE!$O$6,2),0)</f>
        <v>0</v>
      </c>
      <c r="J485" s="108" t="str">
        <f t="shared" si="79"/>
        <v/>
      </c>
      <c r="L485" s="108" t="str">
        <f t="shared" si="80"/>
        <v/>
      </c>
      <c r="N485" s="108">
        <v>494</v>
      </c>
      <c r="O485" s="108" t="str">
        <f>IF(INVOICE!$N$16="MANUAL",IF(B485&lt;&gt;"",C485,""),IF(INVOICE!$N$16="AUTOMATE",IF(A485&lt;&gt;"",C485,""),""))</f>
        <v/>
      </c>
      <c r="AO485" s="108">
        <f>IF(INVOICE!$N$16="MANUAL",IFERROR(AM485*B485,""),IF(INVOICE!$N$16="AUTOMATE",IFERROR(AM485*A485,""),""))</f>
        <v>0</v>
      </c>
      <c r="AV485" s="108">
        <f t="shared" si="76"/>
        <v>0</v>
      </c>
    </row>
    <row r="486" spans="1:48">
      <c r="C486" s="255" t="s">
        <v>1314</v>
      </c>
      <c r="D486" s="326">
        <v>107.15</v>
      </c>
      <c r="E486" s="326">
        <v>107.15</v>
      </c>
      <c r="F486" s="254">
        <f t="shared" si="81"/>
        <v>87.899917965545526</v>
      </c>
      <c r="G486" s="254">
        <f>IFERROR(ROUNDUP(F486*INVOICE!$O$6,2),0)</f>
        <v>1467.93</v>
      </c>
      <c r="H486" s="254">
        <f t="shared" si="82"/>
        <v>87.899917965545526</v>
      </c>
      <c r="I486" s="254">
        <f>IFERROR(ROUNDUP(H486*INVOICE!$O$6,2),0)</f>
        <v>1467.93</v>
      </c>
      <c r="J486" s="108" t="str">
        <f t="shared" si="79"/>
        <v/>
      </c>
      <c r="L486" s="108" t="str">
        <f t="shared" si="80"/>
        <v/>
      </c>
      <c r="N486" s="108">
        <v>495</v>
      </c>
      <c r="O486" s="108" t="str">
        <f>IF(INVOICE!$N$16="MANUAL",IF(B486&lt;&gt;"",C486,""),IF(INVOICE!$N$16="AUTOMATE",IF(A486&lt;&gt;"",C486,""),""))</f>
        <v/>
      </c>
      <c r="AO486" s="108">
        <f>IF(INVOICE!$N$16="MANUAL",IFERROR(AM486*B486,""),IF(INVOICE!$N$16="AUTOMATE",IFERROR(AM486*A486,""),""))</f>
        <v>0</v>
      </c>
      <c r="AV486" s="108">
        <f t="shared" si="76"/>
        <v>0</v>
      </c>
    </row>
    <row r="487" spans="1:48">
      <c r="A487" s="108" t="str">
        <f>IF(AND(OR(AND('Customer Base'!E13="Phoenix",'Customer Base'!D13="Victron"),'Customer Base'!D$7="Grid-Tied"),'Customer Base'!D$9=3,'CABLE SIZING TOOL'!J$27&gt;160,'CABLE SIZING TOOL'!J$27&lt;=250),1,IF(AND('Customer Base'!D$9=3,'CABLE SIZING TOOL'!J$27&gt;160,'CABLE SIZING TOOL'!J$27&lt;=250),2,""))</f>
        <v/>
      </c>
      <c r="C487" s="255" t="s">
        <v>1500</v>
      </c>
      <c r="D487" s="326">
        <v>107.15</v>
      </c>
      <c r="E487" s="326">
        <v>107.15</v>
      </c>
      <c r="F487" s="254">
        <f t="shared" si="81"/>
        <v>87.899917965545526</v>
      </c>
      <c r="G487" s="254">
        <f>IFERROR(ROUNDUP(F487*INVOICE!$O$6,2),0)</f>
        <v>1467.93</v>
      </c>
      <c r="H487" s="254">
        <f t="shared" si="82"/>
        <v>87.899917965545526</v>
      </c>
      <c r="I487" s="254">
        <f>IFERROR(ROUNDUP(H487*INVOICE!$O$6,2),0)</f>
        <v>1467.93</v>
      </c>
      <c r="J487" s="108" t="str">
        <f t="shared" si="79"/>
        <v/>
      </c>
      <c r="L487" s="108" t="str">
        <f t="shared" si="80"/>
        <v/>
      </c>
      <c r="N487" s="108">
        <v>496</v>
      </c>
      <c r="O487" s="108" t="str">
        <f>IF(INVOICE!$N$16="MANUAL",IF(B487&lt;&gt;"",C487,""),IF(INVOICE!$N$16="AUTOMATE",IF(A487&lt;&gt;"",C487,""),""))</f>
        <v/>
      </c>
      <c r="AO487" s="108" t="str">
        <f>IF(INVOICE!$N$16="MANUAL",IFERROR(AM487*B487,""),IF(INVOICE!$N$16="AUTOMATE",IFERROR(AM487*A487,""),""))</f>
        <v/>
      </c>
      <c r="AV487" s="108">
        <f t="shared" si="76"/>
        <v>0</v>
      </c>
    </row>
    <row r="488" spans="1:48">
      <c r="A488" s="108" t="str">
        <f>IF(AND(OR(AND('Customer Base'!E13="Phoenix",'Customer Base'!D13="Victron"),'Customer Base'!D$7="Grid-Tied"),'Customer Base'!D$9=3,'CABLE SIZING TOOL'!J$27&gt;250,'CABLE SIZING TOOL'!J$27&lt;=320),1,IF(AND('Customer Base'!D$9=3,'CABLE SIZING TOOL'!J$27&gt;250,'CABLE SIZING TOOL'!J$27&lt;=320),2,""))</f>
        <v/>
      </c>
      <c r="C488" s="255" t="s">
        <v>2494</v>
      </c>
      <c r="D488" s="326">
        <v>107.15</v>
      </c>
      <c r="E488" s="326">
        <v>107.15</v>
      </c>
      <c r="F488" s="254">
        <f t="shared" si="81"/>
        <v>87.899917965545526</v>
      </c>
      <c r="G488" s="254">
        <f>IFERROR(ROUNDUP(F488*INVOICE!$O$6,2),0)</f>
        <v>1467.93</v>
      </c>
      <c r="H488" s="254">
        <f t="shared" si="82"/>
        <v>87.899917965545526</v>
      </c>
      <c r="I488" s="254">
        <f>IFERROR(ROUNDUP(H488*INVOICE!$O$6,2),0)</f>
        <v>1467.93</v>
      </c>
      <c r="J488" s="108" t="str">
        <f t="shared" si="79"/>
        <v/>
      </c>
      <c r="L488" s="108" t="str">
        <f t="shared" si="80"/>
        <v/>
      </c>
      <c r="N488" s="108">
        <v>497</v>
      </c>
      <c r="O488" s="108" t="str">
        <f>IF(INVOICE!$N$16="MANUAL",IF(B488&lt;&gt;"",C488,""),IF(INVOICE!$N$16="AUTOMATE",IF(A488&lt;&gt;"",C488,""),""))</f>
        <v/>
      </c>
      <c r="AO488" s="108" t="str">
        <f>IF(INVOICE!$N$16="MANUAL",IFERROR(AM488*B488,""),IF(INVOICE!$N$16="AUTOMATE",IFERROR(AM488*A488,""),""))</f>
        <v/>
      </c>
    </row>
    <row r="489" spans="1:48">
      <c r="A489" s="108" t="str">
        <f>IF(AND(OR(AND('Customer Base'!E13="Phoenix",'Customer Base'!D13="Victron"),'Customer Base'!D$7="Grid-Tied"),'Customer Base'!D$9=3,'CABLE SIZING TOOL'!J$27&gt;320,'CABLE SIZING TOOL'!J$27&lt;=400),1,IF(AND('Customer Base'!D$9=3,'CABLE SIZING TOOL'!J$27&gt;320,'CABLE SIZING TOOL'!J$27&lt;=400),2,""))</f>
        <v/>
      </c>
      <c r="C489" s="255" t="s">
        <v>2495</v>
      </c>
      <c r="D489" s="326">
        <v>107.15</v>
      </c>
      <c r="E489" s="326">
        <v>107.15</v>
      </c>
      <c r="F489" s="254">
        <f t="shared" si="81"/>
        <v>87.899917965545526</v>
      </c>
      <c r="G489" s="254">
        <f>IFERROR(ROUNDUP(F489*INVOICE!$O$6,2),0)</f>
        <v>1467.93</v>
      </c>
      <c r="H489" s="254">
        <f t="shared" si="82"/>
        <v>87.899917965545526</v>
      </c>
      <c r="I489" s="254">
        <f>IFERROR(ROUNDUP(H489*INVOICE!$O$6,2),0)</f>
        <v>1467.93</v>
      </c>
      <c r="J489" s="108" t="str">
        <f t="shared" si="79"/>
        <v/>
      </c>
      <c r="L489" s="108" t="str">
        <f t="shared" si="80"/>
        <v/>
      </c>
      <c r="N489" s="108">
        <v>498</v>
      </c>
      <c r="O489" s="108" t="str">
        <f>IF(INVOICE!$N$16="MANUAL",IF(B489&lt;&gt;"",C489,""),IF(INVOICE!$N$16="AUTOMATE",IF(A489&lt;&gt;"",C489,""),""))</f>
        <v/>
      </c>
      <c r="AO489" s="108" t="str">
        <f>IF(INVOICE!$N$16="MANUAL",IFERROR(AM489*B489,""),IF(INVOICE!$N$16="AUTOMATE",IFERROR(AM489*A489,""),""))</f>
        <v/>
      </c>
    </row>
    <row r="490" spans="1:48">
      <c r="A490" s="108" t="str">
        <f>IF(AND(OR(AND('Customer Base'!E13="Phoenix",'Customer Base'!D13="Victron"),'Customer Base'!D$7="Grid-Tied"),'Customer Base'!D$9=3,'CABLE SIZING TOOL'!J$27&gt;400,'CABLE SIZING TOOL'!J$27&lt;=500),1,IF(AND('Customer Base'!D$9=3,'CABLE SIZING TOOL'!J$27&gt;400,'CABLE SIZING TOOL'!J$27&lt;=500),2,""))</f>
        <v/>
      </c>
      <c r="C490" s="255" t="s">
        <v>1608</v>
      </c>
      <c r="D490" s="326">
        <v>107.15</v>
      </c>
      <c r="E490" s="326">
        <v>107.15</v>
      </c>
      <c r="F490" s="254">
        <f t="shared" si="81"/>
        <v>87.899917965545526</v>
      </c>
      <c r="G490" s="254">
        <f>IFERROR(ROUNDUP(F490*INVOICE!$O$6,2),0)</f>
        <v>1467.93</v>
      </c>
      <c r="H490" s="254">
        <f t="shared" si="82"/>
        <v>87.899917965545526</v>
      </c>
      <c r="I490" s="254">
        <f>IFERROR(ROUNDUP(H490*INVOICE!$O$6,2),0)</f>
        <v>1467.93</v>
      </c>
      <c r="J490" s="108" t="str">
        <f t="shared" si="79"/>
        <v/>
      </c>
      <c r="L490" s="108" t="str">
        <f t="shared" si="80"/>
        <v/>
      </c>
      <c r="N490" s="108">
        <v>499</v>
      </c>
      <c r="O490" s="108" t="str">
        <f>IF(INVOICE!$N$16="MANUAL",IF(B490&lt;&gt;"",C490,""),IF(INVOICE!$N$16="AUTOMATE",IF(A490&lt;&gt;"",C490,""),""))</f>
        <v/>
      </c>
      <c r="AO490" s="108" t="str">
        <f>IF(INVOICE!$N$16="MANUAL",IFERROR(AM490*B490,""),IF(INVOICE!$N$16="AUTOMATE",IFERROR(AM490*A490,""),""))</f>
        <v/>
      </c>
    </row>
    <row r="491" spans="1:48">
      <c r="A491" s="108" t="str">
        <f>IF(AND(OR(AND('Customer Base'!E13="Phoenix",'Customer Base'!D13="Victron"),'Customer Base'!D$7="Grid-Tied"),'Customer Base'!D$9=3,'CABLE SIZING TOOL'!J$27&gt;500,'CABLE SIZING TOOL'!J$27&lt;=800),1,IF(AND('Customer Base'!D$9=3,'CABLE SIZING TOOL'!J$27&gt;500,'CABLE SIZING TOOL'!J$27&lt;=800),2,""))</f>
        <v/>
      </c>
      <c r="C491" s="255" t="s">
        <v>2655</v>
      </c>
      <c r="D491" s="326">
        <v>107.15</v>
      </c>
      <c r="E491" s="326">
        <v>107.15</v>
      </c>
      <c r="F491" s="254">
        <f t="shared" si="81"/>
        <v>87.899917965545526</v>
      </c>
      <c r="G491" s="254">
        <f>IFERROR(ROUNDUP(F491*INVOICE!$O$6,2),0)</f>
        <v>1467.93</v>
      </c>
      <c r="H491" s="254">
        <f t="shared" si="82"/>
        <v>87.899917965545526</v>
      </c>
      <c r="I491" s="254">
        <f>IFERROR(ROUNDUP(H491*INVOICE!$O$6,2),0)</f>
        <v>1467.93</v>
      </c>
      <c r="J491" s="108" t="str">
        <f t="shared" si="79"/>
        <v/>
      </c>
      <c r="L491" s="108" t="str">
        <f t="shared" si="80"/>
        <v/>
      </c>
      <c r="N491" s="108">
        <v>500</v>
      </c>
      <c r="O491" s="108" t="str">
        <f>IF(INVOICE!$N$16="MANUAL",IF(B491&lt;&gt;"",C491,""),IF(INVOICE!$N$16="AUTOMATE",IF(A491&lt;&gt;"",C491,""),""))</f>
        <v/>
      </c>
      <c r="AO491" s="108" t="str">
        <f>IF(INVOICE!$N$16="MANUAL",IFERROR(AM491*B491,""),IF(INVOICE!$N$16="AUTOMATE",IFERROR(AM491*A491,""),""))</f>
        <v/>
      </c>
      <c r="AV491" s="108">
        <f t="shared" si="76"/>
        <v>0</v>
      </c>
    </row>
    <row r="492" spans="1:48">
      <c r="D492" s="324"/>
      <c r="E492" s="324"/>
      <c r="F492" s="229">
        <f>$D492/1.219</f>
        <v>0</v>
      </c>
      <c r="H492" s="229">
        <f>$E492/1.219</f>
        <v>0</v>
      </c>
      <c r="I492" s="229"/>
      <c r="J492" s="108" t="str">
        <f t="shared" si="79"/>
        <v/>
      </c>
      <c r="L492" s="108" t="str">
        <f t="shared" si="80"/>
        <v/>
      </c>
      <c r="N492" s="108">
        <v>501</v>
      </c>
      <c r="O492" s="108" t="str">
        <f>IF(INVOICE!$N$16="MANUAL",IF(B492&lt;&gt;"",C492,""),IF(INVOICE!$N$16="AUTOMATE",IF(A492&lt;&gt;"",C492,""),""))</f>
        <v/>
      </c>
      <c r="AO492" s="108">
        <f>IF(INVOICE!$N$16="MANUAL",IFERROR(AM492*B492,""),IF(INVOICE!$N$16="AUTOMATE",IFERROR(AM492*A492,""),""))</f>
        <v>0</v>
      </c>
      <c r="AV492" s="108">
        <f t="shared" si="76"/>
        <v>0</v>
      </c>
    </row>
    <row r="493" spans="1:48">
      <c r="A493" s="108">
        <f ca="1">IFERROR(ROUNDUP(IF(L1=0,"",L1)*1.5,0),"")</f>
        <v>17</v>
      </c>
      <c r="C493" s="255" t="s">
        <v>945</v>
      </c>
      <c r="D493" s="326">
        <v>9.0299999999999994</v>
      </c>
      <c r="E493" s="326">
        <v>8.5050000000000008</v>
      </c>
      <c r="F493" s="254">
        <f>$D493/1.219</f>
        <v>7.4077112387202613</v>
      </c>
      <c r="G493" s="254">
        <f>IFERROR(ROUNDUP(F493*INVOICE!$O$6,2),0)</f>
        <v>123.71000000000001</v>
      </c>
      <c r="H493" s="254">
        <f>$E493/1.219</f>
        <v>6.9770303527481543</v>
      </c>
      <c r="I493" s="254">
        <f>IFERROR(ROUNDUP(H493*INVOICE!$O$6,2),0)</f>
        <v>116.52000000000001</v>
      </c>
      <c r="J493" s="108" t="str">
        <f t="shared" si="79"/>
        <v/>
      </c>
      <c r="L493" s="108" t="str">
        <f t="shared" si="80"/>
        <v/>
      </c>
      <c r="N493" s="108">
        <v>502</v>
      </c>
      <c r="O493" s="108" t="str">
        <f ca="1">IF(INVOICE!$N$16="MANUAL",IF(B493&lt;&gt;"",C493,""),IF(INVOICE!$N$16="AUTOMATE",IF(A493&lt;&gt;"",C493,""),""))</f>
        <v>Victron MC4 Solar connector pair MC4, 1x Male/1x Female</v>
      </c>
      <c r="AO493" s="108">
        <f ca="1">IF(INVOICE!$N$16="MANUAL",IFERROR(AM493*B493,""),IF(INVOICE!$N$16="AUTOMATE",IFERROR(AM493*A493,""),""))</f>
        <v>0</v>
      </c>
      <c r="AV493" s="108">
        <f t="shared" si="76"/>
        <v>0</v>
      </c>
    </row>
    <row r="494" spans="1:48">
      <c r="C494" s="255" t="s">
        <v>946</v>
      </c>
      <c r="D494" s="326">
        <v>26.18</v>
      </c>
      <c r="E494" s="326">
        <v>24.655999999999999</v>
      </c>
      <c r="F494" s="254">
        <f>$D494/1.219</f>
        <v>21.476620180475798</v>
      </c>
      <c r="G494" s="254">
        <f>IFERROR(ROUNDUP(F494*INVOICE!$O$6,2),0)</f>
        <v>358.65999999999997</v>
      </c>
      <c r="H494" s="254">
        <f>$E494/1.219</f>
        <v>20.226415094339622</v>
      </c>
      <c r="I494" s="254">
        <f>IFERROR(ROUNDUP(H494*INVOICE!$O$6,2),0)</f>
        <v>337.78999999999996</v>
      </c>
      <c r="J494" s="108" t="str">
        <f t="shared" si="79"/>
        <v/>
      </c>
      <c r="L494" s="108" t="str">
        <f t="shared" si="80"/>
        <v/>
      </c>
      <c r="N494" s="108">
        <v>503</v>
      </c>
      <c r="O494" s="108" t="str">
        <f>IF(INVOICE!$N$16="MANUAL",IF(B494&lt;&gt;"",C494,""),IF(INVOICE!$N$16="AUTOMATE",IF(A494&lt;&gt;"",C494,""),""))</f>
        <v/>
      </c>
      <c r="AO494" s="108">
        <f>IF(INVOICE!$N$16="MANUAL",IFERROR(AM494*B494,""),IF(INVOICE!$N$16="AUTOMATE",IFERROR(AM494*A494,""),""))</f>
        <v>0</v>
      </c>
      <c r="AV494" s="108">
        <f t="shared" si="76"/>
        <v>0</v>
      </c>
    </row>
    <row r="495" spans="1:48">
      <c r="C495" s="255" t="s">
        <v>1953</v>
      </c>
      <c r="D495" s="326">
        <v>3.1</v>
      </c>
      <c r="E495" s="326">
        <v>2.9159999999999999</v>
      </c>
      <c r="F495" s="254">
        <f t="shared" ref="F495:F496" si="83">$D495/1.219</f>
        <v>2.5430680885972108</v>
      </c>
      <c r="G495" s="254">
        <f>IFERROR(ROUNDUP(F495*INVOICE!$O$6,2),0)</f>
        <v>42.47</v>
      </c>
      <c r="H495" s="254">
        <f t="shared" ref="H495:H496" si="84">$E495/1.219</f>
        <v>2.3921246923707957</v>
      </c>
      <c r="I495" s="254">
        <f>IFERROR(ROUNDUP(H495*INVOICE!$O$6,2),0)</f>
        <v>39.949999999999996</v>
      </c>
      <c r="J495" s="108" t="str">
        <f t="shared" si="79"/>
        <v/>
      </c>
      <c r="L495" s="108" t="str">
        <f t="shared" si="80"/>
        <v/>
      </c>
      <c r="N495" s="108">
        <v>504</v>
      </c>
      <c r="O495" s="108" t="str">
        <f>IF(INVOICE!$N$16="MANUAL",IF(B495&lt;&gt;"",C495,""),IF(INVOICE!$N$16="AUTOMATE",IF(A495&lt;&gt;"",C495,""),""))</f>
        <v/>
      </c>
      <c r="AO495" s="108">
        <f>IF(INVOICE!$N$16="MANUAL",IFERROR(AM495*B495,""),IF(INVOICE!$N$16="AUTOMATE",IFERROR(AM495*A495,""),""))</f>
        <v>0</v>
      </c>
      <c r="AV495" s="108">
        <f t="shared" si="76"/>
        <v>0</v>
      </c>
    </row>
    <row r="496" spans="1:48">
      <c r="C496" s="255" t="s">
        <v>1954</v>
      </c>
      <c r="D496" s="326">
        <v>3.13</v>
      </c>
      <c r="E496" s="326">
        <v>2.948</v>
      </c>
      <c r="F496" s="254">
        <f t="shared" si="83"/>
        <v>2.5676784249384741</v>
      </c>
      <c r="G496" s="254">
        <f>IFERROR(ROUNDUP(F496*INVOICE!$O$6,2),0)</f>
        <v>42.89</v>
      </c>
      <c r="H496" s="254">
        <f t="shared" si="84"/>
        <v>2.4183757178014762</v>
      </c>
      <c r="I496" s="254">
        <f>IFERROR(ROUNDUP(H496*INVOICE!$O$6,2),0)</f>
        <v>40.39</v>
      </c>
      <c r="J496" s="108" t="str">
        <f t="shared" si="79"/>
        <v/>
      </c>
      <c r="L496" s="108" t="str">
        <f t="shared" si="80"/>
        <v/>
      </c>
      <c r="N496" s="108">
        <v>505</v>
      </c>
      <c r="O496" s="108" t="str">
        <f>IF(INVOICE!$N$16="MANUAL",IF(B496&lt;&gt;"",C496,""),IF(INVOICE!$N$16="AUTOMATE",IF(A496&lt;&gt;"",C496,""),""))</f>
        <v/>
      </c>
      <c r="AO496" s="108">
        <f>IF(INVOICE!$N$16="MANUAL",IFERROR(AM496*B496,""),IF(INVOICE!$N$16="AUTOMATE",IFERROR(AM496*A496,""),""))</f>
        <v>0</v>
      </c>
      <c r="AV496" s="108">
        <f t="shared" si="76"/>
        <v>0</v>
      </c>
    </row>
    <row r="497" spans="1:48">
      <c r="D497" s="324"/>
      <c r="E497" s="324"/>
      <c r="F497" s="229">
        <f t="shared" si="81"/>
        <v>0</v>
      </c>
      <c r="G497" s="229">
        <f>IFERROR(ROUNDUP(F497*INVOICE!$O$6,2),0)</f>
        <v>0</v>
      </c>
      <c r="H497" s="229">
        <f t="shared" si="82"/>
        <v>0</v>
      </c>
      <c r="I497" s="229">
        <f>IFERROR(ROUNDUP(H497*INVOICE!$O$6,2),0)</f>
        <v>0</v>
      </c>
      <c r="J497" s="108" t="str">
        <f t="shared" si="79"/>
        <v/>
      </c>
      <c r="L497" s="108" t="str">
        <f t="shared" si="80"/>
        <v/>
      </c>
      <c r="N497" s="108">
        <v>506</v>
      </c>
      <c r="O497" s="108" t="str">
        <f>IF(INVOICE!$N$16="MANUAL",IF(B497&lt;&gt;"",C497,""),IF(INVOICE!$N$16="AUTOMATE",IF(A497&lt;&gt;"",C497,""),""))</f>
        <v/>
      </c>
      <c r="AO497" s="108">
        <f>IF(INVOICE!$N$16="MANUAL",IFERROR(AM497*B497,""),IF(INVOICE!$N$16="AUTOMATE",IFERROR(AM497*A497,""),""))</f>
        <v>0</v>
      </c>
      <c r="AV497" s="108">
        <f t="shared" si="76"/>
        <v>0</v>
      </c>
    </row>
    <row r="498" spans="1:48">
      <c r="A498" s="108">
        <f>ROUNDUP('Customer Base'!D14/10,0)</f>
        <v>1</v>
      </c>
      <c r="C498" s="350" t="s">
        <v>970</v>
      </c>
      <c r="D498" s="326">
        <v>16.949152542370001</v>
      </c>
      <c r="E498" s="326">
        <v>16.949152542370001</v>
      </c>
      <c r="F498" s="326">
        <f t="shared" si="81"/>
        <v>13.904144825570139</v>
      </c>
      <c r="G498" s="326">
        <f>IFERROR(ROUNDUP(F498*INVOICE!$O$6,2),0)</f>
        <v>232.2</v>
      </c>
      <c r="H498" s="326">
        <f t="shared" si="82"/>
        <v>13.904144825570139</v>
      </c>
      <c r="I498" s="326">
        <f>IFERROR(ROUNDUP(H498*INVOICE!$O$6,2),0)</f>
        <v>232.2</v>
      </c>
      <c r="J498" s="108" t="str">
        <f t="shared" si="79"/>
        <v/>
      </c>
      <c r="L498" s="108" t="str">
        <f t="shared" si="80"/>
        <v/>
      </c>
      <c r="N498" s="108">
        <v>507</v>
      </c>
      <c r="O498" s="108" t="str">
        <f>IF(INVOICE!$N$16="MANUAL",IF(B498&lt;&gt;"",C498,""),IF(INVOICE!$N$16="AUTOMATE",IF(A498&lt;&gt;"",C498,""),""))</f>
        <v>50x200mm Enclosure with Dinrail</v>
      </c>
      <c r="AO498" s="108">
        <f>IF(INVOICE!$N$16="MANUAL",IFERROR(AM498*B498,""),IF(INVOICE!$N$16="AUTOMATE",IFERROR(AM498*A498,""),""))</f>
        <v>0</v>
      </c>
      <c r="AV498" s="108">
        <f t="shared" si="76"/>
        <v>0</v>
      </c>
    </row>
    <row r="499" spans="1:48">
      <c r="C499" s="350" t="s">
        <v>1160</v>
      </c>
      <c r="D499" s="326">
        <v>150.77000000000001</v>
      </c>
      <c r="E499" s="326">
        <v>150.77000000000001</v>
      </c>
      <c r="F499" s="326">
        <f t="shared" si="81"/>
        <v>123.68334700574241</v>
      </c>
      <c r="G499" s="326">
        <f>IFERROR(ROUNDUP(F499*INVOICE!$O$6,2),0)</f>
        <v>2065.5200000000004</v>
      </c>
      <c r="H499" s="326">
        <f t="shared" si="82"/>
        <v>123.68334700574241</v>
      </c>
      <c r="I499" s="326">
        <f>IFERROR(ROUNDUP(H499*INVOICE!$O$6,2),0)</f>
        <v>2065.5200000000004</v>
      </c>
      <c r="J499" s="108" t="str">
        <f t="shared" si="79"/>
        <v/>
      </c>
      <c r="L499" s="108" t="str">
        <f t="shared" si="80"/>
        <v/>
      </c>
      <c r="N499" s="108">
        <v>508</v>
      </c>
      <c r="O499" s="108" t="str">
        <f>IF(INVOICE!$N$16="MANUAL",IF(B499&lt;&gt;"",C499,""),IF(INVOICE!$N$16="AUTOMATE",IF(A499&lt;&gt;"",C499,""),""))</f>
        <v/>
      </c>
      <c r="AO499" s="108">
        <f>IF(INVOICE!$N$16="MANUAL",IFERROR(AM499*B499,""),IF(INVOICE!$N$16="AUTOMATE",IFERROR(AM499*A499,""),""))</f>
        <v>0</v>
      </c>
      <c r="AV499" s="108">
        <f t="shared" si="76"/>
        <v>0</v>
      </c>
    </row>
    <row r="500" spans="1:48">
      <c r="D500" s="324"/>
      <c r="E500" s="324"/>
      <c r="F500" s="229">
        <f t="shared" si="81"/>
        <v>0</v>
      </c>
      <c r="G500" s="229">
        <f>IFERROR(ROUNDUP(F500*INVOICE!$O$6,2),0)</f>
        <v>0</v>
      </c>
      <c r="H500" s="229">
        <f t="shared" si="82"/>
        <v>0</v>
      </c>
      <c r="I500" s="229">
        <f>IFERROR(ROUNDUP(H500*INVOICE!$O$6,2),0)</f>
        <v>0</v>
      </c>
      <c r="J500" s="108" t="str">
        <f t="shared" si="79"/>
        <v/>
      </c>
      <c r="L500" s="108" t="str">
        <f t="shared" si="80"/>
        <v/>
      </c>
      <c r="N500" s="108">
        <v>509</v>
      </c>
      <c r="O500" s="108" t="str">
        <f>IF(INVOICE!$N$16="MANUAL",IF(B500&lt;&gt;"",C500,""),IF(INVOICE!$N$16="AUTOMATE",IF(A500&lt;&gt;"",C500,""),""))</f>
        <v/>
      </c>
      <c r="AO500" s="108">
        <f>IF(INVOICE!$N$16="MANUAL",IFERROR(AM500*B500,""),IF(INVOICE!$N$16="AUTOMATE",IFERROR(AM500*A500,""),""))</f>
        <v>0</v>
      </c>
      <c r="AV500" s="108">
        <f t="shared" si="76"/>
        <v>0</v>
      </c>
    </row>
    <row r="501" spans="1:48">
      <c r="A501" s="108">
        <f>IF(OR('Customer Base'!D7="Grid-Tied",'Customer Base'!D7="Mini-Grid"),1,"")</f>
        <v>1</v>
      </c>
      <c r="C501" s="255" t="s">
        <v>1865</v>
      </c>
      <c r="D501" s="326">
        <v>120</v>
      </c>
      <c r="E501" s="326">
        <v>120</v>
      </c>
      <c r="F501" s="254">
        <f t="shared" si="81"/>
        <v>98.441345365053309</v>
      </c>
      <c r="G501" s="254">
        <f>IFERROR(ROUNDUP(F501*INVOICE!$O$6,2),0)</f>
        <v>1643.98</v>
      </c>
      <c r="H501" s="254">
        <f t="shared" si="82"/>
        <v>98.441345365053309</v>
      </c>
      <c r="I501" s="254">
        <f>IFERROR(ROUNDUP(H501*INVOICE!$O$6,2),0)</f>
        <v>1643.98</v>
      </c>
      <c r="J501" s="108" t="str">
        <f t="shared" si="79"/>
        <v/>
      </c>
      <c r="L501" s="108" t="str">
        <f t="shared" si="80"/>
        <v/>
      </c>
      <c r="N501" s="108">
        <v>510</v>
      </c>
      <c r="O501" s="108" t="str">
        <f>IF(INVOICE!$N$16="MANUAL",IF(B501&lt;&gt;"",C501,""),IF(INVOICE!$N$16="AUTOMATE",IF(A501&lt;&gt;"",C501,""),""))</f>
        <v>Network Router</v>
      </c>
      <c r="AO501" s="108">
        <f>IF(INVOICE!$N$16="MANUAL",IFERROR(AM501*B501,""),IF(INVOICE!$N$16="AUTOMATE",IFERROR(AM501*A501,""),""))</f>
        <v>0</v>
      </c>
      <c r="AV501" s="108">
        <f t="shared" si="76"/>
        <v>0</v>
      </c>
    </row>
    <row r="502" spans="1:48">
      <c r="D502" s="324"/>
      <c r="E502" s="324"/>
      <c r="I502" s="229"/>
      <c r="J502" s="108" t="str">
        <f t="shared" si="79"/>
        <v/>
      </c>
      <c r="L502" s="108" t="str">
        <f t="shared" si="80"/>
        <v/>
      </c>
      <c r="N502" s="108">
        <v>511</v>
      </c>
      <c r="O502" s="108" t="str">
        <f>IF(INVOICE!$N$16="MANUAL",IF(B502&lt;&gt;"",C502,""),IF(INVOICE!$N$16="AUTOMATE",IF(A502&lt;&gt;"",C502,""),""))</f>
        <v/>
      </c>
      <c r="AO502" s="108">
        <f>IF(INVOICE!$N$16="MANUAL",IFERROR(AM502*B502,""),IF(INVOICE!$N$16="AUTOMATE",IFERROR(AM502*A502,""),""))</f>
        <v>0</v>
      </c>
      <c r="AV502" s="108">
        <f t="shared" si="76"/>
        <v>0</v>
      </c>
    </row>
    <row r="503" spans="1:48">
      <c r="C503" s="237" t="s">
        <v>1906</v>
      </c>
      <c r="D503" s="325"/>
      <c r="E503" s="325"/>
      <c r="F503" s="239"/>
      <c r="G503" s="239">
        <f>IFERROR(ROUNDUP(F503*INVOICE!$O$6,2),0)</f>
        <v>0</v>
      </c>
      <c r="H503" s="239"/>
      <c r="I503" s="239">
        <f>IFERROR(ROUNDUP(H503*INVOICE!$O$6,2),0)</f>
        <v>0</v>
      </c>
      <c r="J503" s="108" t="str">
        <f t="shared" si="79"/>
        <v/>
      </c>
      <c r="L503" s="108" t="str">
        <f t="shared" si="80"/>
        <v/>
      </c>
      <c r="N503" s="108">
        <v>512</v>
      </c>
      <c r="O503" s="108" t="str">
        <f>IF(INVOICE!$N$16="MANUAL",IF(B503&lt;&gt;"",C503,""),IF(INVOICE!$N$16="AUTOMATE",IF(A503&lt;&gt;"",C503,""),""))</f>
        <v/>
      </c>
      <c r="AO503" s="108">
        <f>IF(INVOICE!$N$16="MANUAL",IFERROR(AM503*B503,""),IF(INVOICE!$N$16="AUTOMATE",IFERROR(AM503*A503,""),""))</f>
        <v>0</v>
      </c>
      <c r="AV503" s="108">
        <f t="shared" si="76"/>
        <v>0</v>
      </c>
    </row>
    <row r="504" spans="1:48">
      <c r="A504" s="108">
        <f>IF(AND('Customer Base'!D$36="Roof Mount",'Customer Base'!D$7&lt;&gt;"Backup"),MROUND((SUM(A$242:A$254)/4),0.5),"")</f>
        <v>10</v>
      </c>
      <c r="C504" s="242" t="s">
        <v>1864</v>
      </c>
      <c r="D504" s="272">
        <v>86</v>
      </c>
      <c r="E504" s="272">
        <v>81</v>
      </c>
      <c r="F504" s="243">
        <f>$D504/1.219</f>
        <v>70.549630844954876</v>
      </c>
      <c r="G504" s="243">
        <f>IFERROR(ROUNDUP(F504*INVOICE!$O$6,2),0)</f>
        <v>1178.18</v>
      </c>
      <c r="H504" s="243">
        <f>$E504/1.219</f>
        <v>66.44790812141099</v>
      </c>
      <c r="I504" s="243">
        <f>IFERROR(ROUNDUP(H504*INVOICE!$O$6,2),0)</f>
        <v>1109.69</v>
      </c>
      <c r="J504" s="108" t="str">
        <f t="shared" si="79"/>
        <v/>
      </c>
      <c r="L504" s="108" t="str">
        <f t="shared" si="80"/>
        <v/>
      </c>
      <c r="N504" s="108">
        <v>514</v>
      </c>
      <c r="O504" s="108" t="str">
        <f>IF(INVOICE!$N$16="MANUAL",IF(B504&lt;&gt;"",C504,""),IF(INVOICE!$N$16="AUTOMATE",IF(A504&lt;&gt;"",C504,""),""))</f>
        <v>Mounting Structure for Metal/ Tile Roof (per set of 4 panels) - 4.64 meter</v>
      </c>
      <c r="AO504" s="108">
        <f>IF(INVOICE!$N$16="MANUAL",IFERROR(AM504*B504,""),IF(INVOICE!$N$16="AUTOMATE",IFERROR(AM504*A504,""),""))</f>
        <v>0</v>
      </c>
      <c r="AV504" s="108">
        <f t="shared" ref="AV504:AV542" si="85">IF(AU504&lt;&gt;"",AU504,AT504)</f>
        <v>0</v>
      </c>
    </row>
    <row r="505" spans="1:48">
      <c r="A505" s="108" t="str">
        <f>IF('Customer Base'!D$36="Ground Mount",ROUNDUP(SUM(A242:A254)/10,0),"")</f>
        <v/>
      </c>
      <c r="C505" s="242" t="s">
        <v>2762</v>
      </c>
      <c r="D505" s="272">
        <v>473</v>
      </c>
      <c r="E505" s="272">
        <v>445.5</v>
      </c>
      <c r="F505" s="243">
        <f>$D505/1.219</f>
        <v>388.02296964725184</v>
      </c>
      <c r="G505" s="243">
        <f>IFERROR(ROUNDUP(F505*INVOICE!$O$6,2),0)</f>
        <v>6479.99</v>
      </c>
      <c r="H505" s="243">
        <f>$E505/1.219</f>
        <v>365.46349466776041</v>
      </c>
      <c r="I505" s="243">
        <f>IFERROR(ROUNDUP(H505*INVOICE!$O$6,2),0)</f>
        <v>6103.25</v>
      </c>
      <c r="J505" s="108" t="str">
        <f t="shared" si="79"/>
        <v/>
      </c>
      <c r="L505" s="108" t="str">
        <f t="shared" si="80"/>
        <v/>
      </c>
      <c r="N505" s="108">
        <v>515</v>
      </c>
      <c r="O505" s="108" t="str">
        <f>IF(INVOICE!$N$16="MANUAL",IF(B505&lt;&gt;"",C505,""),IF(INVOICE!$N$16="AUTOMATE",IF(A505&lt;&gt;"",C505,""),""))</f>
        <v/>
      </c>
      <c r="AO505" s="108" t="str">
        <f>IF(INVOICE!$N$16="MANUAL",IFERROR(AM505*B505,""),IF(INVOICE!$N$16="AUTOMATE",IFERROR(AM505*A505,""),""))</f>
        <v/>
      </c>
      <c r="AV505" s="108">
        <f t="shared" si="85"/>
        <v>0</v>
      </c>
    </row>
    <row r="506" spans="1:48">
      <c r="A506" s="108" t="str">
        <f>IF('Customer Base'!D$36="Carport",ROUNDUP(INVOICE!O$10,0),"")</f>
        <v/>
      </c>
      <c r="C506" s="242" t="s">
        <v>1708</v>
      </c>
      <c r="D506" s="272">
        <v>490.2</v>
      </c>
      <c r="E506" s="272">
        <v>461.7</v>
      </c>
      <c r="F506" s="243">
        <f t="shared" ref="F506" si="86">$D506/1.219</f>
        <v>402.13289581624281</v>
      </c>
      <c r="G506" s="243">
        <f>IFERROR(ROUNDUP(F506*INVOICE!$O$6,2),0)</f>
        <v>6715.62</v>
      </c>
      <c r="H506" s="243">
        <f t="shared" ref="H506" si="87">$E506/1.219</f>
        <v>378.75307629204264</v>
      </c>
      <c r="I506" s="243">
        <f>IFERROR(ROUNDUP(H506*INVOICE!$O$6,2),0)</f>
        <v>6325.18</v>
      </c>
      <c r="J506" s="108" t="str">
        <f t="shared" si="79"/>
        <v/>
      </c>
      <c r="L506" s="108" t="str">
        <f t="shared" si="80"/>
        <v/>
      </c>
      <c r="N506" s="108">
        <v>516</v>
      </c>
      <c r="O506" s="108" t="str">
        <f>IF(INVOICE!$N$16="MANUAL",IF(B506&lt;&gt;"",C506,""),IF(INVOICE!$N$16="AUTOMATE",IF(A506&lt;&gt;"",C506,""),""))</f>
        <v/>
      </c>
      <c r="AO506" s="108" t="str">
        <f>IF(INVOICE!$N$16="MANUAL",IFERROR(AM506*B506,""),IF(INVOICE!$N$16="AUTOMATE",IFERROR(AM506*A506,""),""))</f>
        <v/>
      </c>
      <c r="AV506" s="108">
        <f t="shared" si="85"/>
        <v>0</v>
      </c>
    </row>
    <row r="507" spans="1:48">
      <c r="D507" s="324"/>
      <c r="E507" s="324"/>
      <c r="G507" s="229">
        <f>IFERROR(ROUNDUP(F507*INVOICE!$O$6,2),0)</f>
        <v>0</v>
      </c>
      <c r="I507" s="229">
        <f>IFERROR(ROUNDUP(H507*INVOICE!$O$6,2),0)</f>
        <v>0</v>
      </c>
      <c r="J507" s="108" t="str">
        <f t="shared" si="79"/>
        <v/>
      </c>
      <c r="L507" s="108" t="str">
        <f t="shared" si="80"/>
        <v/>
      </c>
      <c r="N507" s="108">
        <v>517</v>
      </c>
      <c r="O507" s="108" t="str">
        <f>IF(INVOICE!$N$16="MANUAL",IF(B507&lt;&gt;"",C507,""),IF(INVOICE!$N$16="AUTOMATE",IF(A507&lt;&gt;"",C507,""),""))</f>
        <v/>
      </c>
      <c r="AO507" s="108">
        <f>IF(INVOICE!$N$16="MANUAL",IFERROR(AM507*B507,""),IF(INVOICE!$N$16="AUTOMATE",IFERROR(AM507*A507,""),""))</f>
        <v>0</v>
      </c>
      <c r="AV507" s="108">
        <f t="shared" si="85"/>
        <v>0</v>
      </c>
    </row>
    <row r="508" spans="1:48">
      <c r="A508" s="108" t="str">
        <f>IF('Customer Base'!D$36="Ground Mount",1,"")</f>
        <v/>
      </c>
      <c r="C508" s="242" t="s">
        <v>1272</v>
      </c>
      <c r="D508" s="243">
        <f>IF(F508="",IF(G508&lt;&gt;"",ROUNDUP(G508*1.219/INVOICE!$O$6,1),""),ROUNDUP(F508*1.219,1))</f>
        <v>385.70000000000005</v>
      </c>
      <c r="E508" s="243">
        <f>IF(H508="",IF(I508&lt;&gt;"",ROUNDUP(I508*1.219/INVOICE!$O$6,1),""),ROUNDUP(H508*1.219,1))</f>
        <v>385.70000000000005</v>
      </c>
      <c r="F508" s="243">
        <f>INVOICE!$O$10*14</f>
        <v>316.39999999999998</v>
      </c>
      <c r="G508" s="243">
        <f>IFERROR(ROUNDUP(F508*INVOICE!$O$6,2),0)</f>
        <v>5283.88</v>
      </c>
      <c r="H508" s="243">
        <f>INVOICE!$O$10*14</f>
        <v>316.39999999999998</v>
      </c>
      <c r="I508" s="243">
        <f>IFERROR(ROUNDUP(H508*INVOICE!$O$6,2),0)</f>
        <v>5283.88</v>
      </c>
      <c r="J508" s="108" t="str">
        <f t="shared" si="79"/>
        <v/>
      </c>
      <c r="L508" s="108" t="str">
        <f t="shared" si="80"/>
        <v/>
      </c>
      <c r="N508" s="108">
        <v>518</v>
      </c>
      <c r="O508" s="108" t="str">
        <f>IF(INVOICE!$N$16="MANUAL",IF(B508&lt;&gt;"",C508,""),IF(INVOICE!$N$16="AUTOMATE",IF(A508&lt;&gt;"",C508,""),""))</f>
        <v/>
      </c>
      <c r="AO508" s="108" t="str">
        <f>IF(INVOICE!$N$16="MANUAL",IFERROR(AM508*B508,""),IF(INVOICE!$N$16="AUTOMATE",IFERROR(AM508*A508,""),""))</f>
        <v/>
      </c>
      <c r="AV508" s="108">
        <f t="shared" si="85"/>
        <v>0</v>
      </c>
    </row>
    <row r="509" spans="1:48">
      <c r="A509" s="108" t="str">
        <f>IF('Customer Base'!D$36="Carport",1,"")</f>
        <v/>
      </c>
      <c r="C509" s="242" t="s">
        <v>1359</v>
      </c>
      <c r="D509" s="243">
        <f>IF(F509="",IF(G509&lt;&gt;"",ROUNDUP(G509*1.219/INVOICE!$O$6,1),""),ROUNDUP(F509*1.219,1))</f>
        <v>385.70000000000005</v>
      </c>
      <c r="E509" s="243">
        <f>IF(H509="",IF(I509&lt;&gt;"",ROUNDUP(I509*1.219/INVOICE!$O$6,1),""),ROUNDUP(H509*1.219,1))</f>
        <v>385.70000000000005</v>
      </c>
      <c r="F509" s="243">
        <f>INVOICE!$O$10*14</f>
        <v>316.39999999999998</v>
      </c>
      <c r="G509" s="243">
        <f>IFERROR(ROUNDUP(F509*INVOICE!$O$6,2),0)</f>
        <v>5283.88</v>
      </c>
      <c r="H509" s="243">
        <f>INVOICE!$O$10*14</f>
        <v>316.39999999999998</v>
      </c>
      <c r="I509" s="243">
        <f>IFERROR(ROUNDUP(H509*INVOICE!$O$6,2),0)</f>
        <v>5283.88</v>
      </c>
      <c r="J509" s="108" t="str">
        <f t="shared" si="79"/>
        <v/>
      </c>
      <c r="L509" s="108" t="str">
        <f t="shared" si="80"/>
        <v/>
      </c>
      <c r="N509" s="108">
        <v>519</v>
      </c>
      <c r="O509" s="108" t="str">
        <f>IF(INVOICE!$N$16="MANUAL",IF(B509&lt;&gt;"",C509,""),IF(INVOICE!$N$16="AUTOMATE",IF(A509&lt;&gt;"",C509,""),""))</f>
        <v/>
      </c>
      <c r="AO509" s="108" t="str">
        <f>IF(INVOICE!$N$16="MANUAL",IFERROR(AM509*B509,""),IF(INVOICE!$N$16="AUTOMATE",IFERROR(AM509*A509,""),""))</f>
        <v/>
      </c>
      <c r="AV509" s="108">
        <f t="shared" si="85"/>
        <v>0</v>
      </c>
    </row>
    <row r="510" spans="1:48">
      <c r="D510" s="324"/>
      <c r="E510" s="324"/>
      <c r="I510" s="229"/>
      <c r="J510" s="108" t="str">
        <f t="shared" si="79"/>
        <v/>
      </c>
      <c r="L510" s="108" t="str">
        <f t="shared" si="80"/>
        <v/>
      </c>
      <c r="N510" s="108">
        <v>520</v>
      </c>
      <c r="O510" s="108" t="str">
        <f>IF(INVOICE!$N$16="MANUAL",IF(B510&lt;&gt;"",C510,""),IF(INVOICE!$N$16="AUTOMATE",IF(A510&lt;&gt;"",C510,""),""))</f>
        <v/>
      </c>
      <c r="AO510" s="108">
        <f>IF(INVOICE!$N$16="MANUAL",IFERROR(AM510*B510,""),IF(INVOICE!$N$16="AUTOMATE",IFERROR(AM510*A510,""),""))</f>
        <v>0</v>
      </c>
      <c r="AV510" s="108">
        <f t="shared" si="85"/>
        <v>0</v>
      </c>
    </row>
    <row r="511" spans="1:48">
      <c r="C511" s="237" t="s">
        <v>1914</v>
      </c>
      <c r="D511" s="325"/>
      <c r="E511" s="325"/>
      <c r="F511" s="239"/>
      <c r="G511" s="239">
        <f>IFERROR(ROUNDUP(F511*INVOICE!$O$6,2),0)</f>
        <v>0</v>
      </c>
      <c r="H511" s="239"/>
      <c r="I511" s="239">
        <f>IFERROR(ROUNDUP(H511*INVOICE!$O$6,2),0)</f>
        <v>0</v>
      </c>
      <c r="J511" s="108" t="str">
        <f t="shared" si="79"/>
        <v/>
      </c>
      <c r="L511" s="108" t="str">
        <f t="shared" si="80"/>
        <v/>
      </c>
      <c r="N511" s="108">
        <v>521</v>
      </c>
      <c r="O511" s="108" t="str">
        <f>IF(INVOICE!$N$16="MANUAL",IF(B511&lt;&gt;"",C511,""),IF(INVOICE!$N$16="AUTOMATE",IF(A511&lt;&gt;"",C511,""),""))</f>
        <v/>
      </c>
      <c r="AO511" s="108">
        <f>IF(INVOICE!$N$16="MANUAL",IFERROR(AM511*B511,""),IF(INVOICE!$N$16="AUTOMATE",IFERROR(AM511*A511,""),""))</f>
        <v>0</v>
      </c>
      <c r="AV511" s="108">
        <f t="shared" si="85"/>
        <v>0</v>
      </c>
    </row>
    <row r="512" spans="1:48">
      <c r="C512" s="258" t="s">
        <v>1752</v>
      </c>
      <c r="D512" s="330">
        <v>309.60000000000002</v>
      </c>
      <c r="E512" s="330">
        <v>291.60000000000002</v>
      </c>
      <c r="F512" s="260">
        <f>$D512/1.219</f>
        <v>253.97867104183757</v>
      </c>
      <c r="G512" s="260">
        <f>IFERROR(ROUNDUP(F512*INVOICE!$O$6,2),0)</f>
        <v>4241.45</v>
      </c>
      <c r="H512" s="260">
        <f>$E512/1.219</f>
        <v>239.21246923707957</v>
      </c>
      <c r="I512" s="260">
        <f>IFERROR(ROUNDUP(H512*INVOICE!$O$6,2),0)</f>
        <v>3994.8500000000004</v>
      </c>
      <c r="J512" s="108" t="str">
        <f t="shared" si="79"/>
        <v/>
      </c>
      <c r="L512" s="108" t="str">
        <f t="shared" si="80"/>
        <v/>
      </c>
      <c r="N512" s="108">
        <v>522</v>
      </c>
      <c r="O512" s="108" t="str">
        <f>IF(INVOICE!$N$16="MANUAL",IF(B512&lt;&gt;"",C512,""),IF(INVOICE!$N$16="AUTOMATE",IF(A512&lt;&gt;"",C512,""),""))</f>
        <v/>
      </c>
      <c r="AO512" s="108">
        <f>IF(INVOICE!$N$16="MANUAL",IFERROR(AM512*B512,""),IF(INVOICE!$N$16="AUTOMATE",IFERROR(AM512*A512,""),""))</f>
        <v>0</v>
      </c>
      <c r="AV512" s="108">
        <f t="shared" si="85"/>
        <v>0</v>
      </c>
    </row>
    <row r="513" spans="1:48">
      <c r="C513" s="258" t="s">
        <v>1753</v>
      </c>
      <c r="D513" s="330">
        <v>361.2</v>
      </c>
      <c r="E513" s="330">
        <v>340.2</v>
      </c>
      <c r="F513" s="260">
        <f t="shared" ref="F513:F525" si="88">$D513/1.219</f>
        <v>296.30844954881047</v>
      </c>
      <c r="G513" s="260">
        <f>IFERROR(ROUNDUP(F513*INVOICE!$O$6,2),0)</f>
        <v>4948.3600000000006</v>
      </c>
      <c r="H513" s="260">
        <f t="shared" ref="H513:H525" si="89">$E513/1.219</f>
        <v>279.08121410992612</v>
      </c>
      <c r="I513" s="260">
        <f>IFERROR(ROUNDUP(H513*INVOICE!$O$6,2),0)</f>
        <v>4660.66</v>
      </c>
      <c r="J513" s="108" t="str">
        <f t="shared" si="79"/>
        <v/>
      </c>
      <c r="L513" s="108" t="str">
        <f t="shared" si="80"/>
        <v/>
      </c>
      <c r="N513" s="108">
        <v>523</v>
      </c>
      <c r="O513" s="108" t="str">
        <f>IF(INVOICE!$N$16="MANUAL",IF(B513&lt;&gt;"",C513,""),IF(INVOICE!$N$16="AUTOMATE",IF(A513&lt;&gt;"",C513,""),""))</f>
        <v/>
      </c>
      <c r="AO513" s="108">
        <f>IF(INVOICE!$N$16="MANUAL",IFERROR(AM513*B513,""),IF(INVOICE!$N$16="AUTOMATE",IFERROR(AM513*A513,""),""))</f>
        <v>0</v>
      </c>
      <c r="AV513" s="108">
        <f t="shared" si="85"/>
        <v>0</v>
      </c>
    </row>
    <row r="514" spans="1:48">
      <c r="C514" s="258" t="s">
        <v>1754</v>
      </c>
      <c r="D514" s="330">
        <v>395.6</v>
      </c>
      <c r="E514" s="330">
        <v>372.6</v>
      </c>
      <c r="F514" s="260">
        <f t="shared" si="88"/>
        <v>324.52830188679246</v>
      </c>
      <c r="G514" s="260">
        <f>IFERROR(ROUNDUP(F514*INVOICE!$O$6,2),0)</f>
        <v>5419.63</v>
      </c>
      <c r="H514" s="260">
        <f t="shared" si="89"/>
        <v>305.66037735849056</v>
      </c>
      <c r="I514" s="260">
        <f>IFERROR(ROUNDUP(H514*INVOICE!$O$6,2),0)</f>
        <v>5104.5300000000007</v>
      </c>
      <c r="J514" s="108" t="str">
        <f t="shared" si="79"/>
        <v/>
      </c>
      <c r="L514" s="108" t="str">
        <f t="shared" si="80"/>
        <v/>
      </c>
      <c r="N514" s="108">
        <v>524</v>
      </c>
      <c r="O514" s="108" t="str">
        <f>IF(INVOICE!$N$16="MANUAL",IF(B514&lt;&gt;"",C514,""),IF(INVOICE!$N$16="AUTOMATE",IF(A514&lt;&gt;"",C514,""),""))</f>
        <v/>
      </c>
      <c r="AO514" s="108">
        <f>IF(INVOICE!$N$16="MANUAL",IFERROR(AM514*B514,""),IF(INVOICE!$N$16="AUTOMATE",IFERROR(AM514*A514,""),""))</f>
        <v>0</v>
      </c>
      <c r="AV514" s="108">
        <f t="shared" si="85"/>
        <v>0</v>
      </c>
    </row>
    <row r="515" spans="1:48">
      <c r="C515" s="258" t="s">
        <v>1755</v>
      </c>
      <c r="D515" s="330">
        <v>636.4</v>
      </c>
      <c r="E515" s="330">
        <v>599.4</v>
      </c>
      <c r="F515" s="260">
        <f t="shared" si="88"/>
        <v>522.06726825266605</v>
      </c>
      <c r="G515" s="260">
        <f>IFERROR(ROUNDUP(F515*INVOICE!$O$6,2),0)</f>
        <v>8718.5300000000007</v>
      </c>
      <c r="H515" s="260">
        <f t="shared" si="89"/>
        <v>491.71452009844131</v>
      </c>
      <c r="I515" s="260">
        <f>IFERROR(ROUNDUP(H515*INVOICE!$O$6,2),0)</f>
        <v>8211.64</v>
      </c>
      <c r="J515" s="108" t="str">
        <f t="shared" si="79"/>
        <v/>
      </c>
      <c r="L515" s="108" t="str">
        <f t="shared" si="80"/>
        <v/>
      </c>
      <c r="N515" s="108">
        <v>525</v>
      </c>
      <c r="O515" s="108" t="str">
        <f>IF(INVOICE!$N$16="MANUAL",IF(B515&lt;&gt;"",C515,""),IF(INVOICE!$N$16="AUTOMATE",IF(A515&lt;&gt;"",C515,""),""))</f>
        <v/>
      </c>
      <c r="AO515" s="108">
        <f>IF(INVOICE!$N$16="MANUAL",IFERROR(AM515*B515,""),IF(INVOICE!$N$16="AUTOMATE",IFERROR(AM515*A515,""),""))</f>
        <v>0</v>
      </c>
      <c r="AV515" s="108">
        <f t="shared" si="85"/>
        <v>0</v>
      </c>
    </row>
    <row r="516" spans="1:48">
      <c r="C516" s="258" t="s">
        <v>1756</v>
      </c>
      <c r="D516" s="330">
        <v>481.6</v>
      </c>
      <c r="E516" s="330">
        <v>453.6</v>
      </c>
      <c r="F516" s="260">
        <f t="shared" si="88"/>
        <v>395.07793273174735</v>
      </c>
      <c r="G516" s="260">
        <f>IFERROR(ROUNDUP(F516*INVOICE!$O$6,2),0)</f>
        <v>6597.81</v>
      </c>
      <c r="H516" s="260">
        <f t="shared" si="89"/>
        <v>372.10828547990155</v>
      </c>
      <c r="I516" s="260">
        <f>IFERROR(ROUNDUP(H516*INVOICE!$O$6,2),0)</f>
        <v>6214.21</v>
      </c>
      <c r="J516" s="108" t="str">
        <f t="shared" si="79"/>
        <v/>
      </c>
      <c r="L516" s="108" t="str">
        <f t="shared" si="80"/>
        <v/>
      </c>
      <c r="N516" s="108">
        <v>526</v>
      </c>
      <c r="O516" s="108" t="str">
        <f>IF(INVOICE!$N$16="MANUAL",IF(B516&lt;&gt;"",C516,""),IF(INVOICE!$N$16="AUTOMATE",IF(A516&lt;&gt;"",C516,""),""))</f>
        <v/>
      </c>
      <c r="AO516" s="108">
        <f>IF(INVOICE!$N$16="MANUAL",IFERROR(AM516*B516,""),IF(INVOICE!$N$16="AUTOMATE",IFERROR(AM516*A516,""),""))</f>
        <v>0</v>
      </c>
      <c r="AV516" s="108">
        <f t="shared" si="85"/>
        <v>0</v>
      </c>
    </row>
    <row r="517" spans="1:48">
      <c r="C517" s="258" t="s">
        <v>1757</v>
      </c>
      <c r="D517" s="330">
        <v>834.2</v>
      </c>
      <c r="E517" s="330">
        <v>785.7</v>
      </c>
      <c r="F517" s="260">
        <f t="shared" si="88"/>
        <v>684.33141919606237</v>
      </c>
      <c r="G517" s="260">
        <f>IFERROR(ROUNDUP(F517*INVOICE!$O$6,2),0)</f>
        <v>11428.34</v>
      </c>
      <c r="H517" s="260">
        <f t="shared" si="89"/>
        <v>644.54470877768665</v>
      </c>
      <c r="I517" s="260">
        <f>IFERROR(ROUNDUP(H517*INVOICE!$O$6,2),0)</f>
        <v>10763.9</v>
      </c>
      <c r="J517" s="108" t="str">
        <f t="shared" si="79"/>
        <v/>
      </c>
      <c r="L517" s="108" t="str">
        <f t="shared" si="80"/>
        <v/>
      </c>
      <c r="N517" s="108">
        <v>527</v>
      </c>
      <c r="O517" s="108" t="str">
        <f>IF(INVOICE!$N$16="MANUAL",IF(B517&lt;&gt;"",C517,""),IF(INVOICE!$N$16="AUTOMATE",IF(A517&lt;&gt;"",C517,""),""))</f>
        <v/>
      </c>
      <c r="AO517" s="108">
        <f>IF(INVOICE!$N$16="MANUAL",IFERROR(AM517*B517,""),IF(INVOICE!$N$16="AUTOMATE",IFERROR(AM517*A517,""),""))</f>
        <v>0</v>
      </c>
      <c r="AV517" s="108">
        <f t="shared" si="85"/>
        <v>0</v>
      </c>
    </row>
    <row r="518" spans="1:48">
      <c r="D518" s="324"/>
      <c r="E518" s="324"/>
      <c r="F518" s="229">
        <f t="shared" si="88"/>
        <v>0</v>
      </c>
      <c r="G518" s="229">
        <f>IFERROR(ROUNDUP(F518*INVOICE!$O$6,2),0)</f>
        <v>0</v>
      </c>
      <c r="H518" s="229">
        <f t="shared" si="89"/>
        <v>0</v>
      </c>
      <c r="I518" s="229">
        <f>IFERROR(ROUNDUP(H518*INVOICE!$O$6,2),0)</f>
        <v>0</v>
      </c>
      <c r="J518" s="108" t="str">
        <f t="shared" si="79"/>
        <v/>
      </c>
      <c r="L518" s="108" t="str">
        <f t="shared" si="80"/>
        <v/>
      </c>
      <c r="N518" s="108">
        <v>528</v>
      </c>
      <c r="O518" s="108" t="str">
        <f>IF(INVOICE!$N$16="MANUAL",IF(B518&lt;&gt;"",C518,""),IF(INVOICE!$N$16="AUTOMATE",IF(A518&lt;&gt;"",C518,""),""))</f>
        <v/>
      </c>
      <c r="AO518" s="108">
        <f>IF(INVOICE!$N$16="MANUAL",IFERROR(AM518*B518,""),IF(INVOICE!$N$16="AUTOMATE",IFERROR(AM518*A518,""),""))</f>
        <v>0</v>
      </c>
      <c r="AV518" s="108">
        <f t="shared" si="85"/>
        <v>0</v>
      </c>
    </row>
    <row r="519" spans="1:48">
      <c r="C519" s="258" t="s">
        <v>1758</v>
      </c>
      <c r="D519" s="351">
        <f>ROUNDUP(0.15*SUMPRODUCT(D512:D517,$B512:$B517),2)</f>
        <v>0</v>
      </c>
      <c r="E519" s="351">
        <f>ROUNDUP(0.15*SUMPRODUCT(E512:E517,$B512:$B517),2)</f>
        <v>0</v>
      </c>
      <c r="F519" s="260">
        <f t="shared" si="88"/>
        <v>0</v>
      </c>
      <c r="G519" s="260">
        <f>IFERROR(ROUNDUP(F519*INVOICE!$O$6,2),0)</f>
        <v>0</v>
      </c>
      <c r="H519" s="260">
        <f t="shared" si="89"/>
        <v>0</v>
      </c>
      <c r="I519" s="260">
        <f>IFERROR(ROUNDUP(H519*INVOICE!$O$6,2),0)</f>
        <v>0</v>
      </c>
      <c r="J519" s="108" t="str">
        <f t="shared" si="79"/>
        <v/>
      </c>
      <c r="L519" s="108" t="str">
        <f t="shared" si="80"/>
        <v/>
      </c>
      <c r="N519" s="108">
        <v>529</v>
      </c>
      <c r="O519" s="108" t="str">
        <f>IF(INVOICE!$N$16="MANUAL",IF(B519&lt;&gt;"",C519,""),IF(INVOICE!$N$16="AUTOMATE",IF(A519&lt;&gt;"",C519,""),""))</f>
        <v/>
      </c>
      <c r="AO519" s="108">
        <f>IF(INVOICE!$N$16="MANUAL",IFERROR(AM519*B519,""),IF(INVOICE!$N$16="AUTOMATE",IFERROR(AM519*A519,""),""))</f>
        <v>0</v>
      </c>
      <c r="AV519" s="108">
        <f t="shared" si="85"/>
        <v>0</v>
      </c>
    </row>
    <row r="520" spans="1:48">
      <c r="D520" s="324"/>
      <c r="E520" s="324"/>
      <c r="F520" s="229">
        <f t="shared" si="88"/>
        <v>0</v>
      </c>
      <c r="G520" s="229">
        <f>IFERROR(ROUNDUP(F520*INVOICE!$O$6,2),0)</f>
        <v>0</v>
      </c>
      <c r="H520" s="229">
        <f t="shared" si="89"/>
        <v>0</v>
      </c>
      <c r="I520" s="229">
        <f>IFERROR(ROUNDUP(H520*INVOICE!$O$6,2),0)</f>
        <v>0</v>
      </c>
      <c r="J520" s="108" t="str">
        <f t="shared" si="79"/>
        <v/>
      </c>
      <c r="L520" s="108" t="str">
        <f t="shared" si="80"/>
        <v/>
      </c>
      <c r="N520" s="108">
        <v>530</v>
      </c>
      <c r="O520" s="108" t="str">
        <f>IF(INVOICE!$N$16="MANUAL",IF(B520&lt;&gt;"",C520,""),IF(INVOICE!$N$16="AUTOMATE",IF(A520&lt;&gt;"",C520,""),""))</f>
        <v/>
      </c>
      <c r="AO520" s="108">
        <f>IF(INVOICE!$N$16="MANUAL",IFERROR(AM520*B520,""),IF(INVOICE!$N$16="AUTOMATE",IFERROR(AM520*A520,""),""))</f>
        <v>0</v>
      </c>
      <c r="AV520" s="108">
        <f t="shared" si="85"/>
        <v>0</v>
      </c>
    </row>
    <row r="521" spans="1:48" ht="17">
      <c r="C521" s="352" t="s">
        <v>1747</v>
      </c>
      <c r="D521" s="330">
        <v>344</v>
      </c>
      <c r="E521" s="330">
        <v>324</v>
      </c>
      <c r="F521" s="260">
        <f t="shared" si="88"/>
        <v>282.19852337981951</v>
      </c>
      <c r="G521" s="260">
        <f>IFERROR(ROUNDUP(F521*INVOICE!$O$6,2),0)</f>
        <v>4712.72</v>
      </c>
      <c r="H521" s="260">
        <f t="shared" si="89"/>
        <v>265.79163248564396</v>
      </c>
      <c r="I521" s="260">
        <f>IFERROR(ROUNDUP(H521*INVOICE!$O$6,2),0)</f>
        <v>4438.7300000000005</v>
      </c>
      <c r="J521" s="108" t="str">
        <f t="shared" si="79"/>
        <v/>
      </c>
      <c r="L521" s="108" t="str">
        <f t="shared" si="80"/>
        <v/>
      </c>
      <c r="N521" s="108">
        <v>531</v>
      </c>
      <c r="O521" s="108" t="str">
        <f>IF(INVOICE!$N$16="MANUAL",IF(B521&lt;&gt;"",C521,""),IF(INVOICE!$N$16="AUTOMATE",IF(A521&lt;&gt;"",C521,""),""))</f>
        <v/>
      </c>
      <c r="AO521" s="108">
        <f>IF(INVOICE!$N$16="MANUAL",IFERROR(AM521*B521,""),IF(INVOICE!$N$16="AUTOMATE",IFERROR(AM521*A521,""),""))</f>
        <v>0</v>
      </c>
      <c r="AV521" s="108">
        <f t="shared" si="85"/>
        <v>0</v>
      </c>
    </row>
    <row r="522" spans="1:48" ht="17">
      <c r="C522" s="352" t="s">
        <v>1748</v>
      </c>
      <c r="D522" s="330">
        <v>481.6</v>
      </c>
      <c r="E522" s="330">
        <v>453.6</v>
      </c>
      <c r="F522" s="260">
        <f t="shared" si="88"/>
        <v>395.07793273174735</v>
      </c>
      <c r="G522" s="260">
        <f>IFERROR(ROUNDUP(F522*INVOICE!$O$6,2),0)</f>
        <v>6597.81</v>
      </c>
      <c r="H522" s="260">
        <f t="shared" si="89"/>
        <v>372.10828547990155</v>
      </c>
      <c r="I522" s="260">
        <f>IFERROR(ROUNDUP(H522*INVOICE!$O$6,2),0)</f>
        <v>6214.21</v>
      </c>
      <c r="J522" s="108" t="str">
        <f t="shared" si="79"/>
        <v/>
      </c>
      <c r="L522" s="108" t="str">
        <f t="shared" si="80"/>
        <v/>
      </c>
      <c r="N522" s="108">
        <v>532</v>
      </c>
      <c r="O522" s="108" t="str">
        <f>IF(INVOICE!$N$16="MANUAL",IF(B522&lt;&gt;"",C522,""),IF(INVOICE!$N$16="AUTOMATE",IF(A522&lt;&gt;"",C522,""),""))</f>
        <v/>
      </c>
      <c r="AO522" s="108">
        <f>IF(INVOICE!$N$16="MANUAL",IFERROR(AM522*B522,""),IF(INVOICE!$N$16="AUTOMATE",IFERROR(AM522*A522,""),""))</f>
        <v>0</v>
      </c>
      <c r="AV522" s="108">
        <f t="shared" si="85"/>
        <v>0</v>
      </c>
    </row>
    <row r="523" spans="1:48">
      <c r="C523" s="258" t="s">
        <v>1749</v>
      </c>
      <c r="D523" s="330">
        <v>524.6</v>
      </c>
      <c r="E523" s="330">
        <v>494.1</v>
      </c>
      <c r="F523" s="260">
        <f t="shared" si="88"/>
        <v>430.35274815422474</v>
      </c>
      <c r="G523" s="260">
        <f>IFERROR(ROUNDUP(F523*INVOICE!$O$6,2),0)</f>
        <v>7186.9000000000005</v>
      </c>
      <c r="H523" s="260">
        <f t="shared" si="89"/>
        <v>405.33223954060702</v>
      </c>
      <c r="I523" s="260">
        <f>IFERROR(ROUNDUP(H523*INVOICE!$O$6,2),0)</f>
        <v>6769.05</v>
      </c>
      <c r="J523" s="108" t="str">
        <f t="shared" si="79"/>
        <v/>
      </c>
      <c r="L523" s="108" t="str">
        <f t="shared" si="80"/>
        <v/>
      </c>
      <c r="N523" s="108">
        <v>533</v>
      </c>
      <c r="O523" s="108" t="str">
        <f>IF(INVOICE!$N$16="MANUAL",IF(B523&lt;&gt;"",C523,""),IF(INVOICE!$N$16="AUTOMATE",IF(A523&lt;&gt;"",C523,""),""))</f>
        <v/>
      </c>
      <c r="AO523" s="108">
        <f>IF(INVOICE!$N$16="MANUAL",IFERROR(AM523*B523,""),IF(INVOICE!$N$16="AUTOMATE",IFERROR(AM523*A523,""),""))</f>
        <v>0</v>
      </c>
      <c r="AV523" s="108">
        <f t="shared" si="85"/>
        <v>0</v>
      </c>
    </row>
    <row r="524" spans="1:48">
      <c r="C524" s="258" t="s">
        <v>1750</v>
      </c>
      <c r="D524" s="330">
        <v>645</v>
      </c>
      <c r="E524" s="330">
        <v>607.5</v>
      </c>
      <c r="F524" s="260">
        <f t="shared" si="88"/>
        <v>529.12223133716157</v>
      </c>
      <c r="G524" s="260">
        <f>IFERROR(ROUNDUP(F524*INVOICE!$O$6,2),0)</f>
        <v>8836.35</v>
      </c>
      <c r="H524" s="260">
        <f t="shared" si="89"/>
        <v>498.35931091058239</v>
      </c>
      <c r="I524" s="260">
        <f>IFERROR(ROUNDUP(H524*INVOICE!$O$6,2),0)</f>
        <v>8322.61</v>
      </c>
      <c r="J524" s="108" t="str">
        <f t="shared" si="79"/>
        <v/>
      </c>
      <c r="L524" s="108" t="str">
        <f t="shared" si="80"/>
        <v/>
      </c>
      <c r="N524" s="108">
        <v>534</v>
      </c>
      <c r="O524" s="108" t="str">
        <f>IF(INVOICE!$N$16="MANUAL",IF(B524&lt;&gt;"",C524,""),IF(INVOICE!$N$16="AUTOMATE",IF(A524&lt;&gt;"",C524,""),""))</f>
        <v/>
      </c>
      <c r="AO524" s="108">
        <f>IF(INVOICE!$N$16="MANUAL",IFERROR(AM524*B524,""),IF(INVOICE!$N$16="AUTOMATE",IFERROR(AM524*A524,""),""))</f>
        <v>0</v>
      </c>
      <c r="AV524" s="108">
        <f t="shared" si="85"/>
        <v>0</v>
      </c>
    </row>
    <row r="525" spans="1:48" ht="17">
      <c r="C525" s="352" t="s">
        <v>1751</v>
      </c>
      <c r="D525" s="330">
        <v>722.4</v>
      </c>
      <c r="E525" s="330">
        <v>680.4</v>
      </c>
      <c r="F525" s="260">
        <f t="shared" si="88"/>
        <v>592.61689909762094</v>
      </c>
      <c r="G525" s="260">
        <f>IFERROR(ROUNDUP(F525*INVOICE!$O$6,2),0)</f>
        <v>9896.7100000000009</v>
      </c>
      <c r="H525" s="260">
        <f t="shared" si="89"/>
        <v>558.16242821985225</v>
      </c>
      <c r="I525" s="260">
        <f>IFERROR(ROUNDUP(H525*INVOICE!$O$6,2),0)</f>
        <v>9321.32</v>
      </c>
      <c r="J525" s="108" t="str">
        <f t="shared" si="79"/>
        <v/>
      </c>
      <c r="L525" s="108" t="str">
        <f t="shared" si="80"/>
        <v/>
      </c>
      <c r="N525" s="108">
        <v>535</v>
      </c>
      <c r="O525" s="108" t="str">
        <f>IF(INVOICE!$N$16="MANUAL",IF(B525&lt;&gt;"",C525,""),IF(INVOICE!$N$16="AUTOMATE",IF(A525&lt;&gt;"",C525,""),""))</f>
        <v/>
      </c>
      <c r="AO525" s="108">
        <f>IF(INVOICE!$N$16="MANUAL",IFERROR(AM525*B525,""),IF(INVOICE!$N$16="AUTOMATE",IFERROR(AM525*A525,""),""))</f>
        <v>0</v>
      </c>
      <c r="AV525" s="108">
        <f t="shared" si="85"/>
        <v>0</v>
      </c>
    </row>
    <row r="526" spans="1:48">
      <c r="D526" s="324"/>
      <c r="E526" s="324"/>
      <c r="F526" s="229">
        <f>$D526/1.219</f>
        <v>0</v>
      </c>
      <c r="G526" s="229">
        <f>IFERROR(ROUNDUP(F526*INVOICE!$O$6,2),0)</f>
        <v>0</v>
      </c>
      <c r="H526" s="229">
        <f>$E526/1.219</f>
        <v>0</v>
      </c>
      <c r="I526" s="229"/>
      <c r="J526" s="108" t="str">
        <f t="shared" si="79"/>
        <v/>
      </c>
      <c r="L526" s="108" t="str">
        <f t="shared" si="80"/>
        <v/>
      </c>
      <c r="N526" s="108">
        <v>536</v>
      </c>
      <c r="O526" s="108" t="str">
        <f>IF(INVOICE!$N$16="MANUAL",IF(B526&lt;&gt;"",C526,""),IF(INVOICE!$N$16="AUTOMATE",IF(A526&lt;&gt;"",C526,""),""))</f>
        <v/>
      </c>
      <c r="AO526" s="108">
        <f>IF(INVOICE!$N$16="MANUAL",IFERROR(AM526*B526,""),IF(INVOICE!$N$16="AUTOMATE",IFERROR(AM526*A526,""),""))</f>
        <v>0</v>
      </c>
      <c r="AV526" s="108">
        <f t="shared" si="85"/>
        <v>0</v>
      </c>
    </row>
    <row r="527" spans="1:48">
      <c r="C527" s="237" t="s">
        <v>1905</v>
      </c>
      <c r="D527" s="325"/>
      <c r="E527" s="325"/>
      <c r="F527" s="239"/>
      <c r="G527" s="239"/>
      <c r="H527" s="239"/>
      <c r="I527" s="239"/>
      <c r="J527" s="108" t="str">
        <f t="shared" si="79"/>
        <v/>
      </c>
      <c r="L527" s="108" t="str">
        <f t="shared" si="80"/>
        <v/>
      </c>
      <c r="N527" s="108">
        <v>537</v>
      </c>
      <c r="O527" s="108" t="str">
        <f>IF(INVOICE!$N$16="MANUAL",IF(B527&lt;&gt;"",C527,""),IF(INVOICE!$N$16="AUTOMATE",IF(A527&lt;&gt;"",C527,""),""))</f>
        <v/>
      </c>
      <c r="AO527" s="108">
        <f>IF(INVOICE!$N$16="MANUAL",IFERROR(AM527*B527,""),IF(INVOICE!$N$16="AUTOMATE",IFERROR(AM527*A527,""),""))</f>
        <v>0</v>
      </c>
      <c r="AV527" s="108">
        <f t="shared" si="85"/>
        <v>0</v>
      </c>
    </row>
    <row r="528" spans="1:48">
      <c r="A528" s="108" t="str">
        <f>IF(AND('Customer Base'!$D$19="12V Lead-Acid",SUM(Items!$A$205:$A$209,Items!$A$211:$A$236)&gt;0,SUM(Items!$A$205:$A$209,Items!$A$211:$A$236)&lt;=4),1,"")</f>
        <v/>
      </c>
      <c r="C528" s="270" t="s">
        <v>1320</v>
      </c>
      <c r="D528" s="337">
        <v>127.118644</v>
      </c>
      <c r="E528" s="337">
        <v>127.118644</v>
      </c>
      <c r="F528" s="271">
        <f t="shared" ref="F528:F537" si="90">$D528/1.219</f>
        <v>104.28108613617719</v>
      </c>
      <c r="G528" s="271">
        <f>IFERROR(ROUNDUP(F528*INVOICE!$O$6,2),0)</f>
        <v>1741.5</v>
      </c>
      <c r="H528" s="271">
        <f t="shared" ref="H528:H537" si="91">$E528/1.219</f>
        <v>104.28108613617719</v>
      </c>
      <c r="I528" s="271">
        <f>IFERROR(ROUNDUP(H528*INVOICE!$O$6,2),0)</f>
        <v>1741.5</v>
      </c>
      <c r="J528" s="108" t="str">
        <f t="shared" ref="J528:J558" si="92">IF(D528&lt;&gt;"",IF(D528&lt;E528,"lkdfjk",""),"")</f>
        <v/>
      </c>
      <c r="L528" s="108" t="str">
        <f t="shared" ref="L528:L557" si="93">IF(H528&gt;F528,"lkkajdfkj","")</f>
        <v/>
      </c>
      <c r="N528" s="108">
        <v>538</v>
      </c>
      <c r="O528" s="108" t="str">
        <f>IF(INVOICE!$N$16="MANUAL",IF(B528&lt;&gt;"",C528,""),IF(INVOICE!$N$16="AUTOMATE",IF(A528&lt;&gt;"",C528,""),""))</f>
        <v/>
      </c>
      <c r="AO528" s="108" t="str">
        <f>IF(INVOICE!$N$16="MANUAL",IFERROR(AM528*B528,""),IF(INVOICE!$N$16="AUTOMATE",IFERROR(AM528*A528,""),""))</f>
        <v/>
      </c>
      <c r="AV528" s="108">
        <f t="shared" si="85"/>
        <v>0</v>
      </c>
    </row>
    <row r="529" spans="1:48">
      <c r="A529" s="108" t="str">
        <f>IF(AND('Customer Base'!$D$19="12V Lead-Acid",SUM(Items!$A$205:$A$209,Items!$A$211:$A$236)&gt;4,SUM(Items!$A$205:$A$209,Items!$A$211:$A$236)&lt;=8),1,"")</f>
        <v/>
      </c>
      <c r="C529" s="270" t="s">
        <v>1321</v>
      </c>
      <c r="D529" s="337">
        <v>161.01694915249999</v>
      </c>
      <c r="E529" s="337">
        <v>161.01694915249999</v>
      </c>
      <c r="F529" s="271">
        <f t="shared" si="90"/>
        <v>132.08937584290399</v>
      </c>
      <c r="G529" s="271">
        <f>IFERROR(ROUNDUP(F529*INVOICE!$O$6,2),0)</f>
        <v>2205.9</v>
      </c>
      <c r="H529" s="271">
        <f t="shared" si="91"/>
        <v>132.08937584290399</v>
      </c>
      <c r="I529" s="271">
        <f>IFERROR(ROUNDUP(H529*INVOICE!$O$6,2),0)</f>
        <v>2205.9</v>
      </c>
      <c r="J529" s="108" t="str">
        <f t="shared" si="92"/>
        <v/>
      </c>
      <c r="L529" s="108" t="str">
        <f t="shared" si="93"/>
        <v/>
      </c>
      <c r="N529" s="108">
        <v>539</v>
      </c>
      <c r="O529" s="108" t="str">
        <f>IF(INVOICE!$N$16="MANUAL",IF(B529&lt;&gt;"",C529,""),IF(INVOICE!$N$16="AUTOMATE",IF(A529&lt;&gt;"",C529,""),""))</f>
        <v/>
      </c>
      <c r="AO529" s="108" t="str">
        <f>IF(INVOICE!$N$16="MANUAL",IFERROR(AM529*B529,""),IF(INVOICE!$N$16="AUTOMATE",IFERROR(AM529*A529,""),""))</f>
        <v/>
      </c>
      <c r="AV529" s="108">
        <f t="shared" si="85"/>
        <v>0</v>
      </c>
    </row>
    <row r="530" spans="1:48">
      <c r="A530" s="108" t="str">
        <f>IF(AND('Customer Base'!$D$19="12V Lead-Acid",SUM(Items!$A$205:$A$209,Items!$A$211:$A$236)&gt;8,SUM(Items!$A$205:$A$209,Items!$A$211:$A$236)&lt;=12),1,"")</f>
        <v/>
      </c>
      <c r="C530" s="270" t="s">
        <v>1322</v>
      </c>
      <c r="D530" s="337">
        <v>254.23728813549999</v>
      </c>
      <c r="E530" s="337">
        <v>254.23728813549999</v>
      </c>
      <c r="F530" s="271">
        <f t="shared" si="90"/>
        <v>208.56217238351107</v>
      </c>
      <c r="G530" s="271">
        <f>IFERROR(ROUNDUP(F530*INVOICE!$O$6,2),0)</f>
        <v>3482.9900000000002</v>
      </c>
      <c r="H530" s="271">
        <f t="shared" si="91"/>
        <v>208.56217238351107</v>
      </c>
      <c r="I530" s="271">
        <f>IFERROR(ROUNDUP(H530*INVOICE!$O$6,2),0)</f>
        <v>3482.9900000000002</v>
      </c>
      <c r="J530" s="108" t="str">
        <f t="shared" si="92"/>
        <v/>
      </c>
      <c r="L530" s="108" t="str">
        <f t="shared" si="93"/>
        <v/>
      </c>
      <c r="N530" s="108">
        <v>540</v>
      </c>
      <c r="O530" s="108" t="str">
        <f>IF(INVOICE!$N$16="MANUAL",IF(B530&lt;&gt;"",C530,""),IF(INVOICE!$N$16="AUTOMATE",IF(A530&lt;&gt;"",C530,""),""))</f>
        <v/>
      </c>
      <c r="AO530" s="108" t="str">
        <f>IF(INVOICE!$N$16="MANUAL",IFERROR(AM530*B530,""),IF(INVOICE!$N$16="AUTOMATE",IFERROR(AM530*A530,""),""))</f>
        <v/>
      </c>
      <c r="AV530" s="108">
        <f t="shared" si="85"/>
        <v>0</v>
      </c>
    </row>
    <row r="531" spans="1:48">
      <c r="A531" s="108" t="str">
        <f>IF(AND('Customer Base'!$D$19="12V Lead-Acid",SUM(Items!$A$205:$A$209,Items!$A$211:$A$236)&gt;12,SUM(Items!$A$205:$A$209,Items!$A$211:$A$236)&lt;=16),1,"")</f>
        <v/>
      </c>
      <c r="C531" s="270" t="s">
        <v>1323</v>
      </c>
      <c r="D531" s="337">
        <v>305.08474576269998</v>
      </c>
      <c r="E531" s="337">
        <v>305.08474576269998</v>
      </c>
      <c r="F531" s="271">
        <f t="shared" si="90"/>
        <v>250.27460686029528</v>
      </c>
      <c r="G531" s="271">
        <f>IFERROR(ROUNDUP(F531*INVOICE!$O$6,2),0)</f>
        <v>4179.59</v>
      </c>
      <c r="H531" s="271">
        <f t="shared" si="91"/>
        <v>250.27460686029528</v>
      </c>
      <c r="I531" s="271">
        <f>IFERROR(ROUNDUP(H531*INVOICE!$O$6,2),0)</f>
        <v>4179.59</v>
      </c>
      <c r="J531" s="108" t="str">
        <f t="shared" si="92"/>
        <v/>
      </c>
      <c r="L531" s="108" t="str">
        <f t="shared" si="93"/>
        <v/>
      </c>
      <c r="N531" s="108">
        <v>541</v>
      </c>
      <c r="O531" s="108" t="str">
        <f>IF(INVOICE!$N$16="MANUAL",IF(B531&lt;&gt;"",C531,""),IF(INVOICE!$N$16="AUTOMATE",IF(A531&lt;&gt;"",C531,""),""))</f>
        <v/>
      </c>
      <c r="AO531" s="108" t="str">
        <f>IF(INVOICE!$N$16="MANUAL",IFERROR(AM531*B531,""),IF(INVOICE!$N$16="AUTOMATE",IFERROR(AM531*A531,""),""))</f>
        <v/>
      </c>
      <c r="AV531" s="108">
        <f t="shared" si="85"/>
        <v>0</v>
      </c>
    </row>
    <row r="532" spans="1:48">
      <c r="C532" s="270"/>
      <c r="D532" s="337"/>
      <c r="E532" s="337"/>
      <c r="F532" s="271"/>
      <c r="G532" s="271"/>
      <c r="H532" s="271"/>
      <c r="I532" s="271"/>
      <c r="J532" s="108" t="str">
        <f t="shared" si="92"/>
        <v/>
      </c>
      <c r="L532" s="108" t="str">
        <f t="shared" si="93"/>
        <v/>
      </c>
      <c r="N532" s="108">
        <v>542</v>
      </c>
      <c r="O532" s="108" t="str">
        <f>IF(INVOICE!$N$16="MANUAL",IF(B532&lt;&gt;"",C532,""),IF(INVOICE!$N$16="AUTOMATE",IF(A532&lt;&gt;"",C532,""),""))</f>
        <v/>
      </c>
      <c r="AO532" s="108">
        <f>IF(INVOICE!$N$16="MANUAL",IFERROR(AM532*B532,""),IF(INVOICE!$N$16="AUTOMATE",IFERROR(AM532*A532,""),""))</f>
        <v>0</v>
      </c>
    </row>
    <row r="533" spans="1:48">
      <c r="A533" s="108" t="str">
        <f>IF(AND('Customer Base'!$D$19="LITHIUM",SUM(Items!$A$205:$A$209,Items!$A$211:$A$236)&gt;0,SUM(Items!$A$205:$A$209,Items!$A$211:$A$236)&lt;=2),1,"")</f>
        <v/>
      </c>
      <c r="C533" s="270" t="s">
        <v>2343</v>
      </c>
      <c r="D533" s="337">
        <v>60.95</v>
      </c>
      <c r="E533" s="337">
        <v>60.95</v>
      </c>
      <c r="F533" s="271">
        <f t="shared" si="90"/>
        <v>50</v>
      </c>
      <c r="G533" s="271">
        <f>IFERROR(ROUNDUP(F533*INVOICE!$O$6,2),0)</f>
        <v>835</v>
      </c>
      <c r="H533" s="271">
        <f t="shared" si="91"/>
        <v>50</v>
      </c>
      <c r="I533" s="271">
        <f>IFERROR(ROUNDUP(H533*INVOICE!$O$6,2),0)</f>
        <v>835</v>
      </c>
      <c r="J533" s="108" t="str">
        <f t="shared" si="92"/>
        <v/>
      </c>
      <c r="L533" s="108" t="str">
        <f t="shared" si="93"/>
        <v/>
      </c>
      <c r="N533" s="108">
        <v>543</v>
      </c>
      <c r="O533" s="108" t="str">
        <f>IF(INVOICE!$N$16="MANUAL",IF(B533&lt;&gt;"",C533,""),IF(INVOICE!$N$16="AUTOMATE",IF(A533&lt;&gt;"",C533,""),""))</f>
        <v/>
      </c>
      <c r="AO533" s="108" t="str">
        <f>IF(INVOICE!$N$16="MANUAL",IFERROR(AM533*B533,""),IF(INVOICE!$N$16="AUTOMATE",IFERROR(AM533*A533,""),""))</f>
        <v/>
      </c>
      <c r="AV533" s="108">
        <f t="shared" ref="AV533" si="94">IF(AU533&lt;&gt;"",AU533,AT533)</f>
        <v>0</v>
      </c>
    </row>
    <row r="534" spans="1:48">
      <c r="A534" s="108" t="str">
        <f>IF(AND('Customer Base'!$D$19="LITHIUM",SUM(Items!$A$205:$A$209,Items!$A$211:$A$236)&gt;2,SUM(Items!$A$205:$A$209,Items!$A$211:$A$236)&lt;=4),1,"")</f>
        <v/>
      </c>
      <c r="C534" s="270" t="s">
        <v>1316</v>
      </c>
      <c r="D534" s="337">
        <v>161.02000000000001</v>
      </c>
      <c r="E534" s="337">
        <v>161.02000000000001</v>
      </c>
      <c r="F534" s="271">
        <f t="shared" si="90"/>
        <v>132.09187858900739</v>
      </c>
      <c r="G534" s="271">
        <f>IFERROR(ROUNDUP(F534*INVOICE!$O$6,2),0)</f>
        <v>2205.94</v>
      </c>
      <c r="H534" s="271">
        <f t="shared" si="91"/>
        <v>132.09187858900739</v>
      </c>
      <c r="I534" s="271">
        <f>IFERROR(ROUNDUP(H534*INVOICE!$O$6,2),0)</f>
        <v>2205.94</v>
      </c>
      <c r="J534" s="108" t="str">
        <f t="shared" si="92"/>
        <v/>
      </c>
      <c r="L534" s="108" t="str">
        <f t="shared" si="93"/>
        <v/>
      </c>
      <c r="N534" s="108">
        <v>544</v>
      </c>
      <c r="O534" s="108" t="str">
        <f>IF(INVOICE!$N$16="MANUAL",IF(B534&lt;&gt;"",C534,""),IF(INVOICE!$N$16="AUTOMATE",IF(A534&lt;&gt;"",C534,""),""))</f>
        <v/>
      </c>
      <c r="AO534" s="108" t="str">
        <f>IF(INVOICE!$N$16="MANUAL",IFERROR(AM534*B534,""),IF(INVOICE!$N$16="AUTOMATE",IFERROR(AM534*A534,""),""))</f>
        <v/>
      </c>
      <c r="AV534" s="108">
        <f t="shared" si="85"/>
        <v>0</v>
      </c>
    </row>
    <row r="535" spans="1:48">
      <c r="A535" s="108" t="str">
        <f>IF(AND('Customer Base'!$D$19="LITHIUM",SUM(Items!$A$205:$A$209,Items!$A$211:$A$236)&gt;4,SUM(Items!$A$205:$A$209,Items!$A$211:$A$236)&lt;=8),1,"")</f>
        <v/>
      </c>
      <c r="C535" s="270" t="s">
        <v>1317</v>
      </c>
      <c r="D535" s="337">
        <v>254.24</v>
      </c>
      <c r="E535" s="337">
        <v>254.24</v>
      </c>
      <c r="F535" s="271">
        <f t="shared" si="90"/>
        <v>208.56439704675964</v>
      </c>
      <c r="G535" s="271">
        <f>IFERROR(ROUNDUP(F535*INVOICE!$O$6,2),0)</f>
        <v>3483.03</v>
      </c>
      <c r="H535" s="271">
        <f t="shared" si="91"/>
        <v>208.56439704675964</v>
      </c>
      <c r="I535" s="271">
        <f>IFERROR(ROUNDUP(H535*INVOICE!$O$6,2),0)</f>
        <v>3483.03</v>
      </c>
      <c r="J535" s="108" t="str">
        <f t="shared" si="92"/>
        <v/>
      </c>
      <c r="L535" s="108" t="str">
        <f t="shared" si="93"/>
        <v/>
      </c>
      <c r="N535" s="108">
        <v>545</v>
      </c>
      <c r="O535" s="108" t="str">
        <f>IF(INVOICE!$N$16="MANUAL",IF(B535&lt;&gt;"",C535,""),IF(INVOICE!$N$16="AUTOMATE",IF(A535&lt;&gt;"",C535,""),""))</f>
        <v/>
      </c>
      <c r="AO535" s="108" t="str">
        <f>IF(INVOICE!$N$16="MANUAL",IFERROR(AM535*B535,""),IF(INVOICE!$N$16="AUTOMATE",IFERROR(AM535*A535,""),""))</f>
        <v/>
      </c>
      <c r="AV535" s="108">
        <f t="shared" si="85"/>
        <v>0</v>
      </c>
    </row>
    <row r="536" spans="1:48">
      <c r="A536" s="108">
        <f>IF(AND('Customer Base'!$D$19="LITHIUM",SUM(Items!$A$205:$A$209,Items!$A$211:$A$236)&gt;8,SUM(Items!$A$205:$A$209,Items!$A$211:$A$236)&lt;=12),1,"")</f>
        <v>1</v>
      </c>
      <c r="C536" s="270" t="s">
        <v>1318</v>
      </c>
      <c r="D536" s="337">
        <v>305.08</v>
      </c>
      <c r="E536" s="337">
        <v>305.08</v>
      </c>
      <c r="F536" s="271">
        <f t="shared" si="90"/>
        <v>250.27071369975386</v>
      </c>
      <c r="G536" s="271">
        <f>IFERROR(ROUNDUP(F536*INVOICE!$O$6,2),0)</f>
        <v>4179.5300000000007</v>
      </c>
      <c r="H536" s="271">
        <f t="shared" si="91"/>
        <v>250.27071369975386</v>
      </c>
      <c r="I536" s="271">
        <f>IFERROR(ROUNDUP(H536*INVOICE!$O$6,2),0)</f>
        <v>4179.5300000000007</v>
      </c>
      <c r="J536" s="108" t="str">
        <f t="shared" si="92"/>
        <v/>
      </c>
      <c r="L536" s="108" t="str">
        <f t="shared" si="93"/>
        <v/>
      </c>
      <c r="N536" s="108">
        <v>546</v>
      </c>
      <c r="O536" s="108" t="str">
        <f>IF(INVOICE!$N$16="MANUAL",IF(B536&lt;&gt;"",C536,""),IF(INVOICE!$N$16="AUTOMATE",IF(A536&lt;&gt;"",C536,""),""))</f>
        <v>Battery Rack for up to 12 Batteries - Lithium Batteries</v>
      </c>
      <c r="AO536" s="108">
        <f>IF(INVOICE!$N$16="MANUAL",IFERROR(AM536*B536,""),IF(INVOICE!$N$16="AUTOMATE",IFERROR(AM536*A536,""),""))</f>
        <v>0</v>
      </c>
      <c r="AV536" s="108">
        <f t="shared" si="85"/>
        <v>0</v>
      </c>
    </row>
    <row r="537" spans="1:48">
      <c r="A537" s="108" t="str">
        <f>IF(AND('Customer Base'!$D$19="LITHIUM",SUM(Items!$A$205:$A$209,Items!$A$211:$A$236)&gt;12,SUM(Items!$A$205:$A$209,Items!$A$211:$A$236)&lt;=16),1,"")</f>
        <v/>
      </c>
      <c r="C537" s="270" t="s">
        <v>1319</v>
      </c>
      <c r="D537" s="337">
        <v>415.28</v>
      </c>
      <c r="E537" s="337">
        <v>415.28</v>
      </c>
      <c r="F537" s="271">
        <f t="shared" si="90"/>
        <v>340.67268252666116</v>
      </c>
      <c r="G537" s="271">
        <f>IFERROR(ROUNDUP(F537*INVOICE!$O$6,2),0)</f>
        <v>5689.24</v>
      </c>
      <c r="H537" s="271">
        <f t="shared" si="91"/>
        <v>340.67268252666116</v>
      </c>
      <c r="I537" s="271">
        <f>IFERROR(ROUNDUP(H537*INVOICE!$O$6,2),0)</f>
        <v>5689.24</v>
      </c>
      <c r="J537" s="108" t="str">
        <f t="shared" si="92"/>
        <v/>
      </c>
      <c r="L537" s="108" t="str">
        <f t="shared" si="93"/>
        <v/>
      </c>
      <c r="N537" s="108">
        <v>547</v>
      </c>
      <c r="O537" s="108" t="str">
        <f>IF(INVOICE!$N$16="MANUAL",IF(B537&lt;&gt;"",C537,""),IF(INVOICE!$N$16="AUTOMATE",IF(A537&lt;&gt;"",C537,""),""))</f>
        <v/>
      </c>
      <c r="AO537" s="108" t="str">
        <f>IF(INVOICE!$N$16="MANUAL",IFERROR(AM537*B537,""),IF(INVOICE!$N$16="AUTOMATE",IFERROR(AM537*A537,""),""))</f>
        <v/>
      </c>
      <c r="AV537" s="108">
        <f t="shared" si="85"/>
        <v>0</v>
      </c>
    </row>
    <row r="538" spans="1:48">
      <c r="D538" s="324"/>
      <c r="E538" s="324"/>
      <c r="I538" s="229"/>
      <c r="J538" s="108" t="str">
        <f t="shared" si="92"/>
        <v/>
      </c>
      <c r="L538" s="108" t="str">
        <f t="shared" si="93"/>
        <v/>
      </c>
      <c r="N538" s="108">
        <v>548</v>
      </c>
      <c r="O538" s="108" t="str">
        <f>IF(INVOICE!$N$16="MANUAL",IF(B538&lt;&gt;"",C538,""),IF(INVOICE!$N$16="AUTOMATE",IF(A538&lt;&gt;"",C538,""),""))</f>
        <v/>
      </c>
      <c r="AO538" s="108">
        <f>IF(INVOICE!$N$16="MANUAL",IFERROR(AM538*B538,""),IF(INVOICE!$N$16="AUTOMATE",IFERROR(AM538*A538,""),""))</f>
        <v>0</v>
      </c>
      <c r="AV538" s="108">
        <f t="shared" si="85"/>
        <v>0</v>
      </c>
    </row>
    <row r="539" spans="1:48">
      <c r="A539" s="108">
        <f ca="1">IF(SUM(A6:A538)&gt;0,1,"")</f>
        <v>1</v>
      </c>
      <c r="C539" s="270" t="s">
        <v>954</v>
      </c>
      <c r="D539" s="337">
        <f ca="1">IF(F539="",IF(G539&lt;&gt;"",ROUNDUP(G539*1.219/INVOICE!$O$6,1),""),ROUNDUP(F539*1.219,1))</f>
        <v>126.3</v>
      </c>
      <c r="E539" s="337" t="str">
        <f ca="1">IF(H539="",IF(I539&lt;&gt;"",ROUNDUP(I539*1.219/INVOICE!$O$6,1),""),ROUNDUP(H539*1.219,1))</f>
        <v/>
      </c>
      <c r="F539" s="271" t="str">
        <f ca="1">IF(INVOICE!$N$16="MANUAL",IF($B539="","",IF(AND(INVOICE!$L$16="USD",INVOICE!$N$18="Retail"),ROUNDUP(SUM(2.5%*SUMPRODUCT($B$242:$B$254,F$242:F$254),1%*SUMPRODUCT($B$1:$B$160,F$1:F$160)),0),"")),IF(INVOICE!$N$16="AUTOMATE",IF($A539="","",IF(AND(INVOICE!$L$16="USD",INVOICE!$N$18="Retail"),ROUNDUP(SUM(2.5%*SUMPRODUCT($A$242:$A$254,F$242:F$254),1%*SUMPRODUCT($A$1:$A$160,F$1:F$160)),0),"")),""))</f>
        <v/>
      </c>
      <c r="G539" s="271">
        <f ca="1">IF(INVOICE!$N$16="MANUAL",IF($B539="","",IF(AND(INVOICE!$L$16="GH₵",INVOICE!$N$18="Retail"),ROUNDUP(SUM(2.5%*SUMPRODUCT($B$242:$B$254,G$242:G$254),1%*SUMPRODUCT($B$1:$B$160,G$1:G$160)),-1),"")),IF(INVOICE!$N$16="AUTOMATE",IF($A539="","",IF(AND(INVOICE!$L$16="GH₵",INVOICE!$N$18="Retail"),ROUNDUP(SUM(2.5%*SUMPRODUCT($A$242:$A$254,G$242:G$254),1%*SUMPRODUCT($A$1:$A$160,G$1:G$160)),-1),"")),""))</f>
        <v>1730</v>
      </c>
      <c r="H539" s="271" t="str">
        <f ca="1">IF(INVOICE!$N$16="MANUAL",IF($B539="","",IF(AND(INVOICE!$L$16="USD",INVOICE!$N$18="Super Dealer"),ROUNDUP(SUM(2.5%*SUMPRODUCT($B$242:$B$254,H$242:H$254),1%*SUMPRODUCT($B$1:$B$160,H$1:H$160)),0),"")),IF(INVOICE!$N$16="AUTOMATE",IF($A539="","",IF(AND(INVOICE!$L$16="USD",INVOICE!$N$18="Super Dealer"),ROUNDUP(SUM(2.5%*SUMPRODUCT($A$242:$A$254,H$242:H$254),1%*SUMPRODUCT($A$1:$A$160,H$1:H$160)),0),"")),""))</f>
        <v/>
      </c>
      <c r="I539" s="271" t="str">
        <f ca="1">IF(INVOICE!$N$16="MANUAL",IF($B539="","",IF(AND(INVOICE!$L$16="GH₵",INVOICE!$N$18="Super Dealer"),ROUNDUP(SUM(2.5%*SUMPRODUCT($B$242:$B$254,I$242:I$254),1%*SUMPRODUCT($B$1:$B$160,I$1:I$160)),-1),"")),IF(INVOICE!$N$16="AUTOMATE",IF($A539="","",IF(AND(INVOICE!$L$16="GH₵",INVOICE!$N$18="Super Dealer"),ROUNDUP(SUM(2.5%*SUMPRODUCT($A$242:$A$254,I$242:I$254),1%*SUMPRODUCT($A$1:$A$160,I$1:I$160)),-1),"")),""))</f>
        <v/>
      </c>
      <c r="J539" s="108" t="str">
        <f t="shared" ca="1" si="92"/>
        <v>lkdfjk</v>
      </c>
      <c r="L539" s="108" t="str">
        <f t="shared" ca="1" si="93"/>
        <v/>
      </c>
      <c r="N539" s="108">
        <v>549</v>
      </c>
      <c r="O539" s="108" t="str">
        <f ca="1">IF(INVOICE!$N$16="MANUAL",IF(B539&lt;&gt;"",C539,""),IF(INVOICE!$N$16="AUTOMATE",IF(A539&lt;&gt;"",C539,""),""))</f>
        <v>PVC Pipes, Trunking, Cable Lugs and Assessories</v>
      </c>
      <c r="AO539" s="108">
        <f ca="1">IF(INVOICE!$N$16="MANUAL",IFERROR(AM539*B539,""),IF(INVOICE!$N$16="AUTOMATE",IFERROR(AM539*A539,""),""))</f>
        <v>0</v>
      </c>
      <c r="AV539" s="108">
        <f t="shared" si="85"/>
        <v>0</v>
      </c>
    </row>
    <row r="540" spans="1:48">
      <c r="C540" s="270" t="s">
        <v>953</v>
      </c>
      <c r="D540" s="337" t="str">
        <f>IF(F540="",IF(G540&lt;&gt;"",ROUNDUP(G540*1.219/INVOICE!$O$6,1),""),ROUNDUP(F540*1.219,1))</f>
        <v/>
      </c>
      <c r="E540" s="337" t="str">
        <f>IF(H540="",IF(I540&lt;&gt;"",ROUNDUP(I540*1.219/INVOICE!$O$6,1),""),ROUNDUP(H540*1.219,1))</f>
        <v/>
      </c>
      <c r="F540" s="271" t="str">
        <f>IF($B540="","",IF(AND(INVOICE!$L$16="USD",INVOICE!$N$18="Retail"),ROUNDUP(SUM(4%*SUMPRODUCT($B$242:$B$254,F$242:F$254),1%*SUMPRODUCT($B$1:$B$160,F$1:F$160)),-1),""))</f>
        <v/>
      </c>
      <c r="G540" s="271" t="str">
        <f>IF($B540="","",IF(AND(INVOICE!$L$16="GH₵",INVOICE!$N$18="Retail"),ROUNDUP(SUM(4%*SUMPRODUCT($B$242:$B$254,G$242:G$254),1%*SUMPRODUCT($B$1:$B$160,G$1:G$160)),-1),""))</f>
        <v/>
      </c>
      <c r="H540" s="271" t="str">
        <f>IF($B540="","",IF(AND(INVOICE!$L$16="USD",INVOICE!$N$18="Super Dealer"),ROUNDUP(SUM(4%*SUMPRODUCT($B$242:$B$254,H$242:H$254),1%*SUMPRODUCT($B$1:$B$160,H$1:H$160)),-1),""))</f>
        <v/>
      </c>
      <c r="I540" s="271" t="str">
        <f>IF($B540="","",IF(AND(INVOICE!$L$16="GH₵",INVOICE!$N$18="Super Dealer"),ROUNDUP(SUM(4%*SUMPRODUCT($B$242:$B$254,I$242:I$254),1%*SUMPRODUCT($B$1:$B$160,I$1:I$160)),-1),""))</f>
        <v/>
      </c>
      <c r="J540" s="108" t="str">
        <f t="shared" si="92"/>
        <v/>
      </c>
      <c r="L540" s="108" t="str">
        <f t="shared" si="93"/>
        <v/>
      </c>
      <c r="N540" s="108">
        <v>550</v>
      </c>
      <c r="O540" s="108" t="str">
        <f>IF(INVOICE!$N$16="MANUAL",IF(B540&lt;&gt;"",C540,""),IF(INVOICE!$N$16="AUTOMATE",IF(A540&lt;&gt;"",C540,""),""))</f>
        <v/>
      </c>
      <c r="AO540" s="108">
        <f>IF(INVOICE!$N$16="MANUAL",IFERROR(AM540*B540,""),IF(INVOICE!$N$16="AUTOMATE",IFERROR(AM540*A540,""),""))</f>
        <v>0</v>
      </c>
      <c r="AV540" s="108">
        <f t="shared" si="85"/>
        <v>0</v>
      </c>
    </row>
    <row r="541" spans="1:48">
      <c r="D541" s="324"/>
      <c r="E541" s="324"/>
      <c r="I541" s="229"/>
      <c r="J541" s="108" t="str">
        <f t="shared" si="92"/>
        <v/>
      </c>
      <c r="L541" s="108" t="str">
        <f t="shared" si="93"/>
        <v/>
      </c>
      <c r="N541" s="108">
        <v>551</v>
      </c>
      <c r="O541" s="108" t="str">
        <f>IF(INVOICE!$N$16="MANUAL",IF(B541&lt;&gt;"",C541,""),IF(INVOICE!$N$16="AUTOMATE",IF(A541&lt;&gt;"",C541,""),""))</f>
        <v/>
      </c>
      <c r="AO541" s="108">
        <f>IF(INVOICE!$N$16="MANUAL",IFERROR(AM541*B541,""),IF(INVOICE!$N$16="AUTOMATE",IFERROR(AM541*A541,""),""))</f>
        <v>0</v>
      </c>
      <c r="AV541" s="108">
        <f t="shared" si="85"/>
        <v>0</v>
      </c>
    </row>
    <row r="542" spans="1:48">
      <c r="C542" s="237" t="s">
        <v>1904</v>
      </c>
      <c r="D542" s="325"/>
      <c r="E542" s="325"/>
      <c r="F542" s="239">
        <f t="shared" ref="F542:F543" si="95">$D542/1.219</f>
        <v>0</v>
      </c>
      <c r="G542" s="239">
        <f>IFERROR(ROUNDUP(F542*INVOICE!$O$6,2),0)</f>
        <v>0</v>
      </c>
      <c r="H542" s="239">
        <f t="shared" ref="H542:H543" si="96">$E542/1.219</f>
        <v>0</v>
      </c>
      <c r="I542" s="239">
        <f>IFERROR(ROUNDUP(H542*INVOICE!$O$6,2),0)</f>
        <v>0</v>
      </c>
      <c r="J542" s="108" t="str">
        <f t="shared" si="92"/>
        <v/>
      </c>
      <c r="L542" s="108" t="str">
        <f t="shared" si="93"/>
        <v/>
      </c>
      <c r="N542" s="108">
        <v>552</v>
      </c>
      <c r="O542" s="108" t="str">
        <f>IF(INVOICE!$N$16="MANUAL",IF(B542&lt;&gt;"",C542,""),IF(INVOICE!$N$16="AUTOMATE",IF(A542&lt;&gt;"",C542,""),""))</f>
        <v/>
      </c>
      <c r="AO542" s="108">
        <f>IF(INVOICE!$N$16="MANUAL",IFERROR(AM542*B542,""),IF(INVOICE!$N$16="AUTOMATE",IFERROR(AM542*A542,""),""))</f>
        <v>0</v>
      </c>
      <c r="AV542" s="108">
        <f t="shared" si="85"/>
        <v>0</v>
      </c>
    </row>
    <row r="543" spans="1:48">
      <c r="C543" s="267" t="s">
        <v>1619</v>
      </c>
      <c r="D543" s="335">
        <f>ROUNDUP(INVOICE!O10*4,-2)</f>
        <v>100</v>
      </c>
      <c r="E543" s="335">
        <f>ROUNDUP(INVOICE!O10*4,-2)</f>
        <v>100</v>
      </c>
      <c r="F543" s="268">
        <f t="shared" si="95"/>
        <v>82.034454470877762</v>
      </c>
      <c r="G543" s="268">
        <f>IFERROR(ROUNDUP(F543*INVOICE!$O$6,2),0)</f>
        <v>1369.98</v>
      </c>
      <c r="H543" s="268">
        <f t="shared" si="96"/>
        <v>82.034454470877762</v>
      </c>
      <c r="I543" s="268">
        <f>IFERROR(ROUNDUP(H543*INVOICE!$O$6,2),0)</f>
        <v>1369.98</v>
      </c>
      <c r="J543" s="108" t="str">
        <f t="shared" si="92"/>
        <v/>
      </c>
      <c r="L543" s="108" t="str">
        <f t="shared" si="93"/>
        <v/>
      </c>
      <c r="N543" s="108">
        <v>553</v>
      </c>
      <c r="O543" s="108" t="str">
        <f>IF(INVOICE!$N$16="MANUAL",IF(B543&lt;&gt;"",C543,""),IF(INVOICE!$N$16="AUTOMATE",IF(A543&lt;&gt;"",C543,""),""))</f>
        <v/>
      </c>
      <c r="AO543" s="108">
        <f>IF(INVOICE!$N$16="MANUAL",IFERROR(AM543*B543,""),IF(INVOICE!$N$16="AUTOMATE",IFERROR(AM543*A543,""),""))</f>
        <v>0</v>
      </c>
      <c r="AV543" s="108">
        <f t="shared" ref="AV543:AV559" si="97">IF(AU543&lt;&gt;"",AU543,AT543)</f>
        <v>0</v>
      </c>
    </row>
    <row r="544" spans="1:48">
      <c r="D544" s="324"/>
      <c r="E544" s="324"/>
      <c r="G544" s="229">
        <f>IFERROR(ROUNDUP(F544*INVOICE!$O$6,2),0)</f>
        <v>0</v>
      </c>
      <c r="I544" s="229">
        <f>IFERROR(ROUNDUP(H544*INVOICE!$O$6,2),0)</f>
        <v>0</v>
      </c>
      <c r="J544" s="108" t="str">
        <f t="shared" si="92"/>
        <v/>
      </c>
      <c r="L544" s="108" t="str">
        <f t="shared" si="93"/>
        <v/>
      </c>
      <c r="N544" s="108">
        <v>554</v>
      </c>
      <c r="O544" s="108" t="str">
        <f>IF(INVOICE!$N$16="MANUAL",IF(B544&lt;&gt;"",C544,""),IF(INVOICE!$N$16="AUTOMATE",IF(A544&lt;&gt;"",C544,""),""))</f>
        <v/>
      </c>
      <c r="AO544" s="108">
        <f>IF(INVOICE!$N$16="MANUAL",IFERROR(AM544*B544,""),IF(INVOICE!$N$16="AUTOMATE",IFERROR(AM544*A544,""),""))</f>
        <v>0</v>
      </c>
      <c r="AV544" s="108">
        <f t="shared" si="97"/>
        <v>0</v>
      </c>
    </row>
    <row r="545" spans="1:48">
      <c r="C545" s="267" t="s">
        <v>1172</v>
      </c>
      <c r="D545" s="335">
        <v>20</v>
      </c>
      <c r="E545" s="335">
        <v>20</v>
      </c>
      <c r="F545" s="268">
        <f>$D545/1.219</f>
        <v>16.406890894175554</v>
      </c>
      <c r="G545" s="268">
        <f>IFERROR(ROUNDUP(F545*INVOICE!$O$6,2),0)</f>
        <v>274</v>
      </c>
      <c r="H545" s="268">
        <f>$E545/1.219</f>
        <v>16.406890894175554</v>
      </c>
      <c r="I545" s="268">
        <f>IFERROR(ROUNDUP(H545*INVOICE!$O$6,2),0)</f>
        <v>274</v>
      </c>
      <c r="J545" s="108" t="str">
        <f t="shared" si="92"/>
        <v/>
      </c>
      <c r="L545" s="108" t="str">
        <f t="shared" si="93"/>
        <v/>
      </c>
      <c r="N545" s="108">
        <v>555</v>
      </c>
      <c r="O545" s="108" t="str">
        <f>IF(INVOICE!$N$16="MANUAL",IF(B545&lt;&gt;"",C545,""),IF(INVOICE!$N$16="AUTOMATE",IF(A545&lt;&gt;"",C545,""),""))</f>
        <v/>
      </c>
      <c r="AO545" s="108">
        <f>IF(INVOICE!$N$16="MANUAL",IFERROR(AM545*B545,""),IF(INVOICE!$N$16="AUTOMATE",IFERROR(AM545*A545,""),""))</f>
        <v>0</v>
      </c>
      <c r="AV545" s="108">
        <f t="shared" si="97"/>
        <v>0</v>
      </c>
    </row>
    <row r="546" spans="1:48">
      <c r="C546" s="267" t="s">
        <v>1225</v>
      </c>
      <c r="D546" s="335">
        <v>43.75</v>
      </c>
      <c r="E546" s="335">
        <v>43.75</v>
      </c>
      <c r="F546" s="268">
        <f>$D546/1.219</f>
        <v>35.890073831009019</v>
      </c>
      <c r="G546" s="268">
        <f>IFERROR(ROUNDUP(F546*INVOICE!$O$6,2),0)</f>
        <v>599.37</v>
      </c>
      <c r="H546" s="268">
        <f>$E546/1.219</f>
        <v>35.890073831009019</v>
      </c>
      <c r="I546" s="268">
        <f>IFERROR(ROUNDUP(H546*INVOICE!$O$6,2),0)</f>
        <v>599.37</v>
      </c>
      <c r="J546" s="108" t="str">
        <f t="shared" si="92"/>
        <v/>
      </c>
      <c r="L546" s="108" t="str">
        <f t="shared" si="93"/>
        <v/>
      </c>
      <c r="N546" s="108">
        <v>556</v>
      </c>
      <c r="O546" s="108" t="str">
        <f>IF(INVOICE!$N$16="MANUAL",IF(B546&lt;&gt;"",C546,""),IF(INVOICE!$N$16="AUTOMATE",IF(A546&lt;&gt;"",C546,""),""))</f>
        <v/>
      </c>
      <c r="AO546" s="108">
        <f>IF(INVOICE!$N$16="MANUAL",IFERROR(AM546*B546,""),IF(INVOICE!$N$16="AUTOMATE",IFERROR(AM546*A546,""),""))</f>
        <v>0</v>
      </c>
      <c r="AV546" s="108">
        <f t="shared" si="97"/>
        <v>0</v>
      </c>
    </row>
    <row r="547" spans="1:48">
      <c r="D547" s="324"/>
      <c r="E547" s="324"/>
      <c r="I547" s="229"/>
      <c r="J547" s="108" t="str">
        <f t="shared" si="92"/>
        <v/>
      </c>
      <c r="L547" s="108" t="str">
        <f t="shared" si="93"/>
        <v/>
      </c>
      <c r="N547" s="108">
        <v>557</v>
      </c>
      <c r="O547" s="108" t="str">
        <f>IF(INVOICE!$N$16="MANUAL",IF(B547&lt;&gt;"",C547,""),IF(INVOICE!$N$16="AUTOMATE",IF(A547&lt;&gt;"",C547,""),""))</f>
        <v/>
      </c>
      <c r="AO547" s="108">
        <f>IF(INVOICE!$N$16="MANUAL",IFERROR(AM547*B547,""),IF(INVOICE!$N$16="AUTOMATE",IFERROR(AM547*A547,""),""))</f>
        <v>0</v>
      </c>
      <c r="AV547" s="108">
        <f t="shared" si="97"/>
        <v>0</v>
      </c>
    </row>
    <row r="548" spans="1:48">
      <c r="C548" s="237" t="s">
        <v>1903</v>
      </c>
      <c r="D548" s="327"/>
      <c r="E548" s="327"/>
      <c r="F548" s="257"/>
      <c r="G548" s="239">
        <f>IFERROR(ROUNDUP(F548*INVOICE!$O$6,2),0)</f>
        <v>0</v>
      </c>
      <c r="H548" s="257"/>
      <c r="I548" s="239">
        <f>IFERROR(ROUNDUP(H548*INVOICE!$O$6,2),0)</f>
        <v>0</v>
      </c>
      <c r="J548" s="108" t="str">
        <f t="shared" si="92"/>
        <v/>
      </c>
      <c r="L548" s="108" t="str">
        <f t="shared" si="93"/>
        <v/>
      </c>
      <c r="N548" s="108">
        <v>558</v>
      </c>
      <c r="O548" s="108" t="str">
        <f>IF(INVOICE!$N$16="MANUAL",IF(B548&lt;&gt;"",C548,""),IF(INVOICE!$N$16="AUTOMATE",IF(A548&lt;&gt;"",C548,""),""))</f>
        <v/>
      </c>
      <c r="AO548" s="108">
        <f>IF(INVOICE!$N$16="MANUAL",IFERROR(AM548*B548,""),IF(INVOICE!$N$16="AUTOMATE",IFERROR(AM548*A548,""),""))</f>
        <v>0</v>
      </c>
      <c r="AV548" s="108">
        <f t="shared" si="97"/>
        <v>0</v>
      </c>
    </row>
    <row r="549" spans="1:48">
      <c r="A549" s="108" t="str">
        <f>IF(INVOICE!C15&lt;&gt;"Accra",IF(SUM(A1:A548)&gt;0,1,""),"")</f>
        <v/>
      </c>
      <c r="C549" s="255" t="s">
        <v>1529</v>
      </c>
      <c r="D549" s="338">
        <f>F549*1.219</f>
        <v>55.098799999999997</v>
      </c>
      <c r="E549" s="338">
        <f>H549*1.219</f>
        <v>55.098799999999997</v>
      </c>
      <c r="F549" s="254">
        <f>(IF(ISNA(VLOOKUP(INVOICE!$C$15,Items!$K$6:$L$56,2,0)),0,ROUNDUP(VLOOKUP(INVOICE!$C$15,Items!$K$6:$L$56,2,0),0))+(0.25%*ROUNDUP(SUMPRODUCT($B$242:$B$254,F$242:F$254),-1)*INVOICE!O10/10))*(IF(INVOICE!O10&lt;10,1,INVOICE!O10/10))</f>
        <v>45.199999999999996</v>
      </c>
      <c r="G549" s="254">
        <f>IFERROR(ROUNDUP(F549*INVOICE!$O$6,0),0)</f>
        <v>755</v>
      </c>
      <c r="H549" s="254">
        <f>(IF(ISNA(VLOOKUP(INVOICE!$C$15,Items!$K$6:$L$56,2,0)),0,ROUNDUP(VLOOKUP(INVOICE!$C$15,Items!$K$6:$L$56,2,0),0))+(0.25%*ROUNDUP(SUMPRODUCT($B$242:$B$254,H$242:H$254),-1)*INVOICE!O10/10))*(IF(INVOICE!O10&lt;10,1,INVOICE!O10/10))</f>
        <v>45.199999999999996</v>
      </c>
      <c r="I549" s="254">
        <f>IFERROR(ROUNDUP(H549*INVOICE!$O$6,0),0)</f>
        <v>755</v>
      </c>
      <c r="J549" s="108" t="str">
        <f t="shared" si="92"/>
        <v/>
      </c>
      <c r="L549" s="108" t="str">
        <f t="shared" si="93"/>
        <v/>
      </c>
      <c r="N549" s="108">
        <v>559</v>
      </c>
      <c r="O549" s="108" t="str">
        <f>IF(INVOICE!$N$16="MANUAL",IF(B549&lt;&gt;"",C549,""),IF(INVOICE!$N$16="AUTOMATE",IF(A549&lt;&gt;"",C549,""),""))</f>
        <v/>
      </c>
      <c r="AO549" s="108" t="str">
        <f>IF(INVOICE!$N$16="MANUAL",IFERROR(AM549*B549,""),IF(INVOICE!$N$16="AUTOMATE",IFERROR(AM549*A549,""),""))</f>
        <v/>
      </c>
      <c r="AV549" s="108">
        <f t="shared" si="97"/>
        <v>0</v>
      </c>
    </row>
    <row r="550" spans="1:48">
      <c r="C550" s="255" t="s">
        <v>1305</v>
      </c>
      <c r="D550" s="338">
        <f>F550*1.219</f>
        <v>24.380000000000003</v>
      </c>
      <c r="E550" s="338">
        <f>H550*1.219</f>
        <v>24.380000000000003</v>
      </c>
      <c r="F550" s="254">
        <f>IF(ISNA(VLOOKUP(INVOICE!$C$15,Items!$K$6:$L$56,2,0)),0,ROUNDUP(VLOOKUP(INVOICE!$C$15,Items!$K$6:$L$56,2,0),0))+0.25%*ROUNDUP(SUMPRODUCT($B$242:$B$254,F$242:F$254),-1)*INVOICE!O10/10</f>
        <v>20</v>
      </c>
      <c r="G550" s="254">
        <f>IFERROR(ROUNDUP(F550*INVOICE!$O$6,0),0)</f>
        <v>334</v>
      </c>
      <c r="H550" s="254">
        <f>IF(ISNA(VLOOKUP(INVOICE!$C$15,Items!$K$6:$L$56,2,0)),0,ROUNDUP(VLOOKUP(INVOICE!$C$15,Items!$K$6:$L$56,2,0),0))+0.25%*ROUNDUP(SUMPRODUCT($B$242:$B$254,H$242:H$254),-1)*INVOICE!O10/10</f>
        <v>20</v>
      </c>
      <c r="I550" s="254">
        <f>IFERROR(ROUNDUP(H550*INVOICE!$O$6,0),0)</f>
        <v>334</v>
      </c>
      <c r="J550" s="108" t="str">
        <f t="shared" si="92"/>
        <v/>
      </c>
      <c r="L550" s="108" t="str">
        <f t="shared" si="93"/>
        <v/>
      </c>
      <c r="N550" s="108">
        <v>560</v>
      </c>
      <c r="O550" s="108" t="str">
        <f>IF(INVOICE!$N$16="MANUAL",IF(B550&lt;&gt;"",C550,""),IF(INVOICE!$N$16="AUTOMATE",IF(A550&lt;&gt;"",C550,""),""))</f>
        <v/>
      </c>
      <c r="AO550" s="108">
        <f>IF(INVOICE!$N$16="MANUAL",IFERROR(AM550*B550,""),IF(INVOICE!$N$16="AUTOMATE",IFERROR(AM550*A550,""),""))</f>
        <v>0</v>
      </c>
      <c r="AV550" s="108">
        <f t="shared" si="97"/>
        <v>0</v>
      </c>
    </row>
    <row r="551" spans="1:48">
      <c r="C551" s="255" t="s">
        <v>991</v>
      </c>
      <c r="D551" s="338">
        <f>F551*1.219</f>
        <v>0</v>
      </c>
      <c r="E551" s="338">
        <f>H551*1.219</f>
        <v>0</v>
      </c>
      <c r="F551" s="273">
        <f>$L$2/INVOICE!$O$6*INVOICE!$P$16*INVOICE!$P$18</f>
        <v>0</v>
      </c>
      <c r="G551" s="254">
        <f>IFERROR(ROUNDUP(F551*INVOICE!$O$6,2),0)</f>
        <v>0</v>
      </c>
      <c r="H551" s="273">
        <f>$L$2/INVOICE!$O$6*INVOICE!$P$16*INVOICE!$P$18</f>
        <v>0</v>
      </c>
      <c r="I551" s="254">
        <f>IFERROR(ROUNDUP(H551*INVOICE!$O$6,2),0)</f>
        <v>0</v>
      </c>
      <c r="J551" s="108" t="str">
        <f t="shared" si="92"/>
        <v/>
      </c>
      <c r="L551" s="108" t="str">
        <f t="shared" si="93"/>
        <v/>
      </c>
      <c r="N551" s="108">
        <v>561</v>
      </c>
      <c r="O551" s="108" t="str">
        <f>IF(INVOICE!$N$16="MANUAL",IF(B551&lt;&gt;"",C551,""),IF(INVOICE!$N$16="AUTOMATE",IF(A551&lt;&gt;"",C551,""),""))</f>
        <v/>
      </c>
      <c r="AO551" s="108">
        <f>IF(INVOICE!$N$16="MANUAL",IFERROR(AM551*B551,""),IF(INVOICE!$N$16="AUTOMATE",IFERROR(AM551*A551,""),""))</f>
        <v>0</v>
      </c>
      <c r="AV551" s="108">
        <f t="shared" si="97"/>
        <v>0</v>
      </c>
    </row>
    <row r="552" spans="1:48">
      <c r="C552" s="255" t="s">
        <v>989</v>
      </c>
      <c r="D552" s="338">
        <f>F552*1.219</f>
        <v>55.098799999999997</v>
      </c>
      <c r="E552" s="338">
        <f>H552*1.219</f>
        <v>55.098799999999997</v>
      </c>
      <c r="F552" s="273">
        <f>F549+F551</f>
        <v>45.199999999999996</v>
      </c>
      <c r="G552" s="254">
        <f>IFERROR(ROUNDUP(F552*INVOICE!$O$6,2),0)</f>
        <v>754.84</v>
      </c>
      <c r="H552" s="273">
        <f>H549+H551</f>
        <v>45.199999999999996</v>
      </c>
      <c r="I552" s="254">
        <f>IFERROR(ROUNDUP(H552*INVOICE!$O$6,2),0)</f>
        <v>754.84</v>
      </c>
      <c r="J552" s="108" t="str">
        <f t="shared" si="92"/>
        <v/>
      </c>
      <c r="L552" s="108" t="str">
        <f t="shared" si="93"/>
        <v/>
      </c>
      <c r="N552" s="108">
        <v>562</v>
      </c>
      <c r="O552" s="108" t="str">
        <f>IF(INVOICE!$N$16="MANUAL",IF(B552&lt;&gt;"",C552,""),IF(INVOICE!$N$16="AUTOMATE",IF(A552&lt;&gt;"",C552,""),""))</f>
        <v/>
      </c>
      <c r="AO552" s="108">
        <f>IF(INVOICE!$N$16="MANUAL",IFERROR(AM552*B552,""),IF(INVOICE!$N$16="AUTOMATE",IFERROR(AM552*A552,""),""))</f>
        <v>0</v>
      </c>
      <c r="AV552" s="108">
        <f t="shared" si="97"/>
        <v>0</v>
      </c>
    </row>
    <row r="553" spans="1:48">
      <c r="C553" s="255" t="s">
        <v>1598</v>
      </c>
      <c r="D553" s="326">
        <f>INVOICE!O10/35</f>
        <v>0.64571428571428569</v>
      </c>
      <c r="E553" s="326">
        <f>INVOICE!O10/35</f>
        <v>0.64571428571428569</v>
      </c>
      <c r="F553" s="254">
        <f t="shared" ref="F553" si="98">$D553/1.219</f>
        <v>0.52970819172623929</v>
      </c>
      <c r="G553" s="254">
        <f>IFERROR(ROUNDUP(F553*INVOICE!$O$6,2),0)</f>
        <v>8.85</v>
      </c>
      <c r="H553" s="254">
        <f t="shared" ref="H553" si="99">$E553/1.219</f>
        <v>0.52970819172623929</v>
      </c>
      <c r="I553" s="254">
        <f>IFERROR(ROUNDUP(H553*INVOICE!$O$6,2),0)</f>
        <v>8.85</v>
      </c>
      <c r="J553" s="108" t="str">
        <f t="shared" si="92"/>
        <v/>
      </c>
      <c r="L553" s="108" t="str">
        <f t="shared" si="93"/>
        <v/>
      </c>
      <c r="N553" s="108">
        <v>563</v>
      </c>
      <c r="O553" s="108" t="str">
        <f>IF(INVOICE!$N$16="MANUAL",IF(B553&lt;&gt;"",C553,""),IF(INVOICE!$N$16="AUTOMATE",IF(A553&lt;&gt;"",C553,""),""))</f>
        <v/>
      </c>
      <c r="AO553" s="108">
        <f>IF(INVOICE!$N$16="MANUAL",IFERROR(AM553*B553,""),IF(INVOICE!$N$16="AUTOMATE",IFERROR(AM553*A553,""),""))</f>
        <v>0</v>
      </c>
      <c r="AV553" s="108">
        <f t="shared" si="97"/>
        <v>0</v>
      </c>
    </row>
    <row r="554" spans="1:48">
      <c r="A554" s="108">
        <f ca="1">IF(INVOICE!C15="Accra",IF(SUM(A1:A553)&gt;0,1,""),"")</f>
        <v>1</v>
      </c>
      <c r="C554" s="255" t="s">
        <v>1071</v>
      </c>
      <c r="D554" s="326">
        <f ca="1">IF(F554="",IF(G554&lt;&gt;"",ROUNDUP(G554*1.219/INVOICE!$O$6,1),""),ROUNDUP(F554*1.219,1))</f>
        <v>405.90000000000003</v>
      </c>
      <c r="E554" s="326" t="str">
        <f ca="1">IF(H554="",IF(I554&lt;&gt;"",ROUNDUP(I554*1.219/INVOICE!$O$6,1),""),ROUNDUP(H554*1.219,1))</f>
        <v/>
      </c>
      <c r="F554" s="254" t="str">
        <f ca="1">IF(INVOICE!$N$16="MANUAL",IF($B554="","",IF(AND(INVOICE!$L$16="USD",INVOICE!$N$18="Retail"),ROUNDUP(3.5%*(SUMPRODUCT($B$1:$B$160,F$1:F$160)+SUMPRODUCT($B$242:$B$546,F$242:F$546)+F$549),0),"")),IF(INVOICE!$N$16="AUTOMATE",IF($A554="","",IF(AND(INVOICE!$L$16="USD",INVOICE!$N$18="Retail"),ROUNDUP(3.5%*(SUMPRODUCT($A$1:$A$160,F$1:F$160)+SUMPRODUCT($A$242:$A$546,F$242:F$546)+F$549),0),"")),""))</f>
        <v/>
      </c>
      <c r="G554" s="254">
        <f ca="1">IF(INVOICE!$N$16="MANUAL",IF($B554="","",IF(AND(INVOICE!$L$16="GH₵",INVOICE!$N$18="Retail"),ROUNDUP(3.5%*(SUMPRODUCT($B$1:$B$160,G$1:G$160)+SUMPRODUCT($B$242:$B$546,G$242:G$546)+G$549),-1),"")),IF(INVOICE!$N$16="AUTOMATE",IF($A554="","",IF(AND(INVOICE!$L$16="GH₵",INVOICE!$N$18="Retail"),ROUNDUP(3.5%*(SUMPRODUCT($A$1:$A$160,G$1:G$160)+SUMPRODUCT($A$242:$A$546,G$242:G$546)+G$549),-1),"")),""))</f>
        <v>5560</v>
      </c>
      <c r="H554" s="254" t="str">
        <f ca="1">IF(INVOICE!$N$16="MANUAL",IF($B554="","",IF(AND(INVOICE!$L$16="USD",INVOICE!$N$18="Super Dealer"),ROUNDUP(3.5%*(SUMPRODUCT($B$1:$B$160,H$1:H$160)+SUMPRODUCT($B$242:$B$546,H$242:H$546)+H$549),0),"")),IF(INVOICE!$N$16="AUTOMATE",IF($A554="","",IF(AND(INVOICE!$L$16="USD",INVOICE!$N$18="Super Dealer"),ROUNDUP(3.5%*(SUMPRODUCT($A$1:$A$160,H$1:H$160)+SUMPRODUCT($A$242:$A$546,H$242:H$546)+H$549),0),"")),""))</f>
        <v/>
      </c>
      <c r="I554" s="254" t="str">
        <f ca="1">IF(INVOICE!$N$16="MANUAL",IF($B554="","",IF(AND(INVOICE!$L$16="GH₵",INVOICE!$N$18="Super Dealer"),ROUNDUP(3.5%*(SUMPRODUCT($B$1:$B$160,I$1:I$160)+SUMPRODUCT($B$242:$B$546,I$242:I$546)+I$549),-1),"")),IF(INVOICE!$N$16="AUTOMATE",IF($A554="","",IF(AND(INVOICE!$L$16="GH₵",INVOICE!$N$18="Super Dealer"),ROUNDUP(3.5%*(SUMPRODUCT($A$1:$A$160,I$1:I$160)+SUMPRODUCT($A$242:$A$546,I$242:I$546)+I$549),-1),"")),""))</f>
        <v/>
      </c>
      <c r="J554" s="108" t="str">
        <f t="shared" ca="1" si="92"/>
        <v>lkdfjk</v>
      </c>
      <c r="L554" s="108" t="str">
        <f t="shared" ca="1" si="93"/>
        <v/>
      </c>
      <c r="N554" s="108">
        <v>564</v>
      </c>
      <c r="O554" s="108" t="str">
        <f ca="1">IF(INVOICE!$N$16="MANUAL",IF(B554&lt;&gt;"",C554,""),IF(INVOICE!$N$16="AUTOMATE",IF(A554&lt;&gt;"",C554,""),""))</f>
        <v>Engineering, Transportation and Installation Services</v>
      </c>
      <c r="AO554" s="108">
        <f ca="1">IF(INVOICE!$N$16="MANUAL",IFERROR(AM554*B554,""),IF(INVOICE!$N$16="AUTOMATE",IFERROR(AM554*A554,""),""))</f>
        <v>0</v>
      </c>
      <c r="AV554" s="108">
        <f t="shared" si="97"/>
        <v>0</v>
      </c>
    </row>
    <row r="555" spans="1:48">
      <c r="A555" s="108" t="str">
        <f>IF(INVOICE!C15&lt;&gt;"Accra",IF(SUM(A1:A548)&gt;0,1,""),"")</f>
        <v/>
      </c>
      <c r="C555" s="255" t="s">
        <v>1680</v>
      </c>
      <c r="D555" s="326" t="str">
        <f>IF(F555="",IF(G555&lt;&gt;"",ROUNDUP(G555*1.219/INVOICE!$O$6,1),""),ROUNDUP(F555*1.219,1))</f>
        <v/>
      </c>
      <c r="E555" s="326" t="str">
        <f>IF(H555="",IF(I555&lt;&gt;"",ROUNDUP(I555*1.219/INVOICE!$O$6,1),""),ROUNDUP(H555*1.219,1))</f>
        <v/>
      </c>
      <c r="F555" s="254" t="str">
        <f>IFERROR(IF(INVOICE!$N$16="MANUAL",IF($B555="","",IF(AND(INVOICE!$L$16="USD",INVOICE!$N$18="Retail"),ROUNDUP(3.5%*(SUMPRODUCT($B$1:$B$160,F$1:F$160)+SUMPRODUCT($B$242:$B$546,F$242:F$546))+F551,0),"")),IF(INVOICE!$N$16="AUTOMATE",IF($A555="","",IF(AND(INVOICE!$L$16="USD",INVOICE!$N$18="Retail"),ROUNDUP(3.5%*(SUMPRODUCT($A$1:$A$160,F$1:F$160)+SUMPRODUCT($A$242:$A$546,F$242:F$546))+F551,0),"")),"")),"")</f>
        <v/>
      </c>
      <c r="G555" s="254" t="str">
        <f>IFERROR(IF(INVOICE!$N$16="MANUAL",IF($B555="","",IF(AND(INVOICE!$L$16="GH₵",INVOICE!$N$18="Retail"),ROUNDUP(3.5%*(SUMPRODUCT($B$1:$B$160,G$1:G$160)+SUMPRODUCT($B$242:$B$546,G$242:G$546))+G551,-1),"")),IF(INVOICE!$N$16="AUTOMATE",IF($A555="","",IF(AND(INVOICE!$L$16="GH₵",INVOICE!$N$18="Retail"),ROUNDUP(3.5%*(SUMPRODUCT($A$1:$A$160,G$1:G$160)+SUMPRODUCT($A$242:$A$546,G$242:G$546))+G551,-1),"")),"")),"")</f>
        <v/>
      </c>
      <c r="H555" s="254" t="str">
        <f>IFERROR(IF(INVOICE!$N$16="MANUAL",IF($B555="","",IF(AND(INVOICE!$L$16="USD",INVOICE!$N$18="Super Dealer"),ROUNDUP(3.5%*(SUMPRODUCT($B$1:$B$160,H$1:H$160)+SUMPRODUCT($B$242:$B$546,H$242:H$546))+H551,0),"")),IF(INVOICE!$N$16="AUTOMATE",IF($A555="","",IF(AND(INVOICE!$L$16="USD",INVOICE!$N$18="Super Dealer"),ROUNDUP(3.5%*(SUMPRODUCT($A$1:$A$160,H$1:H$160)+SUMPRODUCT($A$242:$A$546,H$242:H$546))+H551,0),"")),"")),"")</f>
        <v/>
      </c>
      <c r="I555" s="254" t="str">
        <f>IFERROR(IF(INVOICE!$N$16="MANUAL",IF($B555="","",IF(AND(INVOICE!$L$16="GH₵",INVOICE!$N$18="Super Dealer"),ROUNDUP(3.5%*(SUMPRODUCT($B$1:$B$160,I$1:I$160)+SUMPRODUCT($B$242:$B$546,I$242:I$546))+I551,-1),"")),IF(INVOICE!$N$16="AUTOMATE",IF($A555="","",IF(AND(INVOICE!$L$16="GH₵",INVOICE!$N$18="Super Dealer"),ROUNDUP(3.5%*(SUMPRODUCT($A$1:$A$160,I$1:I$160)+SUMPRODUCT($A$242:$A$546,I$242:I$546))+I551,-1),"")),"")),"")</f>
        <v/>
      </c>
      <c r="J555" s="108" t="str">
        <f t="shared" si="92"/>
        <v/>
      </c>
      <c r="L555" s="108" t="str">
        <f t="shared" si="93"/>
        <v/>
      </c>
      <c r="N555" s="108">
        <v>565</v>
      </c>
      <c r="O555" s="108" t="str">
        <f>IF(INVOICE!$N$16="MANUAL",IF(B555&lt;&gt;"",C555,""),IF(INVOICE!$N$16="AUTOMATE",IF(A555&lt;&gt;"",C555,""),""))</f>
        <v/>
      </c>
      <c r="AO555" s="108" t="str">
        <f>IF(INVOICE!$N$16="MANUAL",IFERROR(AM555*B555,""),IF(INVOICE!$N$16="AUTOMATE",IFERROR(AM555*A555,""),""))</f>
        <v/>
      </c>
      <c r="AV555" s="108">
        <f t="shared" si="97"/>
        <v>0</v>
      </c>
    </row>
    <row r="556" spans="1:48">
      <c r="C556" s="255" t="s">
        <v>1530</v>
      </c>
      <c r="D556" s="326" t="str">
        <f>IF(F556="",IF(G556&lt;&gt;"",ROUNDUP(G556*1.219/INVOICE!$O$6,1),""),ROUNDUP(F556*1.219,1))</f>
        <v/>
      </c>
      <c r="E556" s="326" t="str">
        <f>IF(H556="",IF(I556&lt;&gt;"",ROUNDUP(I556*1.219/INVOICE!$O$6,1),""),ROUNDUP(H556*1.219,1))</f>
        <v/>
      </c>
      <c r="F556" s="254" t="str">
        <f>IF($B556="","",IF(AND(INVOICE!$L$16="USD",INVOICE!$N$18="Retail"),ROUNDUP(3.5%*SUMPRODUCT($B$1:$B$546,F$1:F$546),-1),""))</f>
        <v/>
      </c>
      <c r="G556" s="254" t="str">
        <f>IF($B556="","",IF(AND(INVOICE!$L$16="GH₵",INVOICE!$N$18="Retail"),ROUNDUP(3.5%*SUMPRODUCT($B$1:$B$546,G$1:G$546),-1),""))</f>
        <v/>
      </c>
      <c r="H556" s="254" t="str">
        <f>IF($B556="","",IF(AND(INVOICE!$L$16="USD",INVOICE!$N$18="Super Dealer"),ROUNDUP(3.5%*SUMPRODUCT($B$1:$B$546,H$1:H$546),-1),""))</f>
        <v/>
      </c>
      <c r="I556" s="254" t="str">
        <f>IF($B556="","",IF(AND(INVOICE!$L$16="GH₵",INVOICE!$N$18="Super Dealer"),ROUNDUP(3.5%*SUMPRODUCT($B$1:$B$546,I$1:I$546),-1),""))</f>
        <v/>
      </c>
      <c r="J556" s="108" t="str">
        <f t="shared" si="92"/>
        <v/>
      </c>
      <c r="L556" s="108" t="str">
        <f t="shared" si="93"/>
        <v/>
      </c>
      <c r="N556" s="108">
        <v>566</v>
      </c>
      <c r="O556" s="108" t="str">
        <f>IF(INVOICE!$N$16="MANUAL",IF(B556&lt;&gt;"",C556,""),IF(INVOICE!$N$16="AUTOMATE",IF(A556&lt;&gt;"",C556,""),""))</f>
        <v/>
      </c>
      <c r="AO556" s="108">
        <f>IF(INVOICE!$N$16="MANUAL",IFERROR(AM556*B556,""),IF(INVOICE!$N$16="AUTOMATE",IFERROR(AM556*A556,""),""))</f>
        <v>0</v>
      </c>
      <c r="AV556" s="108">
        <f t="shared" si="97"/>
        <v>0</v>
      </c>
    </row>
    <row r="557" spans="1:48">
      <c r="D557" s="324"/>
      <c r="E557" s="324"/>
      <c r="G557" s="229">
        <f>IFERROR(ROUNDUP(F557*INVOICE!$O$6,2),0)</f>
        <v>0</v>
      </c>
      <c r="I557" s="229">
        <f>IFERROR(ROUNDUP(H557*INVOICE!$O$6,2),0)</f>
        <v>0</v>
      </c>
      <c r="J557" s="108" t="str">
        <f t="shared" si="92"/>
        <v/>
      </c>
      <c r="L557" s="108" t="str">
        <f t="shared" si="93"/>
        <v/>
      </c>
      <c r="N557" s="108">
        <v>567</v>
      </c>
      <c r="O557" s="108" t="str">
        <f>IF(INVOICE!$N$16="MANUAL",IF(B557&lt;&gt;"",C557,""),IF(INVOICE!$N$16="AUTOMATE",IF(A557&lt;&gt;"",C557,""),""))</f>
        <v/>
      </c>
      <c r="AO557" s="108">
        <f>IF(INVOICE!$N$16="MANUAL",IFERROR(AM557*B557,""),IF(INVOICE!$N$16="AUTOMATE",IFERROR(AM557*A557,""),""))</f>
        <v>0</v>
      </c>
      <c r="AV557" s="108">
        <f t="shared" si="97"/>
        <v>0</v>
      </c>
    </row>
    <row r="558" spans="1:48">
      <c r="C558" s="237" t="s">
        <v>1742</v>
      </c>
      <c r="D558" s="325"/>
      <c r="E558" s="325"/>
      <c r="F558" s="239"/>
      <c r="G558" s="239"/>
      <c r="H558" s="239"/>
      <c r="I558" s="239"/>
      <c r="J558" s="108" t="str">
        <f t="shared" si="92"/>
        <v/>
      </c>
      <c r="L558" s="108" t="str">
        <f t="shared" ref="L558:L589" si="100">IF(H573&gt;F573,"lkkajdfkj","")</f>
        <v/>
      </c>
      <c r="N558" s="108">
        <v>568</v>
      </c>
      <c r="O558" s="108" t="str">
        <f>IF(INVOICE!$N$16="MANUAL",IF(B558&lt;&gt;"",C558,""),IF(INVOICE!$N$16="AUTOMATE",IF(A558&lt;&gt;"",C558,""),""))</f>
        <v/>
      </c>
      <c r="AO558" s="108">
        <f>IF(INVOICE!$N$16="MANUAL",IFERROR(AM558*B558,""),IF(INVOICE!$N$16="AUTOMATE",IFERROR(AM558*A558,""),""))</f>
        <v>0</v>
      </c>
      <c r="AV558" s="108">
        <f t="shared" si="97"/>
        <v>0</v>
      </c>
    </row>
    <row r="559" spans="1:48">
      <c r="A559" s="108" t="str">
        <f>IF(INVOICE!O$3&lt;&gt;"",1,"")</f>
        <v/>
      </c>
      <c r="C559" s="353" t="s">
        <v>1149</v>
      </c>
      <c r="D559" s="354">
        <f>-1*IF(INVOICE!$O$3="",INVOICE!$Q$3,INVOICE!$O$3%*IF(INVOICE!$N$16="MANUAL",SUMPRODUCT($B5:$B557,D5:D557),IF(INVOICE!$N$16="AUTOMATE",SUMPRODUCT($A5:$A557,D5:D557),0)))</f>
        <v>0</v>
      </c>
      <c r="E559" s="354">
        <f>-1*IF(INVOICE!$O$3="",INVOICE!$Q$3,INVOICE!$O$3%*IF(INVOICE!$N$16="MANUAL",SUMPRODUCT($B5:$B557,E5:E557),IF(INVOICE!$N$16="AUTOMATE",SUMPRODUCT($A5:$A557,E5:E557),0)))</f>
        <v>0</v>
      </c>
      <c r="F559" s="354">
        <f>-1*IF(INVOICE!$O$3="",INVOICE!$Q$3,INVOICE!$O$3%*IF(INVOICE!$N$16="MANUAL",SUMPRODUCT($B5:$B557,F5:F557),IF(INVOICE!$N$16="AUTOMATE",SUMPRODUCT($A5:$A557,F5:F557),0)))</f>
        <v>0</v>
      </c>
      <c r="G559" s="354">
        <f>-1*IF(INVOICE!$O$3="",INVOICE!$Q$3,INVOICE!$O$3%*IF(INVOICE!$N$16="MANUAL",SUMPRODUCT($B5:$B557,G5:G557),IF(INVOICE!$N$16="AUTOMATE",SUMPRODUCT($A5:$A557,G5:G557),0)))</f>
        <v>0</v>
      </c>
      <c r="H559" s="354">
        <f>-1*IF(INVOICE!$O$3="",INVOICE!$Q$3,INVOICE!$O$3%*IF(INVOICE!$N$16="MANUAL",SUMPRODUCT($B5:$B557,H5:H557),IF(INVOICE!$N$16="AUTOMATE",SUMPRODUCT($A5:$A557,H5:H557),0)))</f>
        <v>0</v>
      </c>
      <c r="I559" s="354">
        <f>-1*IF(INVOICE!$O$3="",INVOICE!$Q$3,INVOICE!$O$3%*IF(INVOICE!$N$16="MANUAL",SUMPRODUCT($B5:$B557,I5:I557),IF(INVOICE!$N$16="AUTOMATE",SUMPRODUCT($A5:$A557,I5:I557),0)))</f>
        <v>0</v>
      </c>
      <c r="L559" s="108" t="str">
        <f t="shared" si="100"/>
        <v/>
      </c>
      <c r="N559" s="108">
        <v>569</v>
      </c>
      <c r="O559" s="108" t="str">
        <f>IF(INVOICE!$N$16="MANUAL",IF(B559&lt;&gt;"",C559,""),IF(INVOICE!$N$16="AUTOMATE",IF(A559&lt;&gt;"",C559,""),""))</f>
        <v/>
      </c>
      <c r="AO559" s="108" t="str">
        <f>IF(INVOICE!$N$16="MANUAL",IFERROR(AM559*B559,""),IF(INVOICE!$N$16="AUTOMATE",IFERROR(AM559*A559,""),""))</f>
        <v/>
      </c>
      <c r="AV559" s="108">
        <f t="shared" si="97"/>
        <v>0</v>
      </c>
    </row>
    <row r="560" spans="1:48">
      <c r="E560" s="229">
        <f t="shared" ref="E560:E623" si="101">H560/1.219</f>
        <v>0</v>
      </c>
      <c r="G560" s="229">
        <f>IFERROR(ROUNDUP(F560*INVOICE!$O$6,2),0)</f>
        <v>0</v>
      </c>
      <c r="I560" s="229">
        <f>IFERROR(ROUNDUP(H560*INVOICE!$O$6,2),0)</f>
        <v>0</v>
      </c>
      <c r="L560" s="108" t="str">
        <f t="shared" si="100"/>
        <v/>
      </c>
      <c r="N560" s="108">
        <v>570</v>
      </c>
      <c r="O560" s="108" t="str">
        <f>IF(INVOICE!$N$16="MANUAL",IF(B560&lt;&gt;"",C560,""),IF(INVOICE!$N$16="AUTOMATE",IF(A560&lt;&gt;"",C560,""),""))</f>
        <v/>
      </c>
    </row>
    <row r="561" spans="5:15">
      <c r="E561" s="229">
        <f t="shared" si="101"/>
        <v>0</v>
      </c>
      <c r="G561" s="229">
        <f>IFERROR(ROUNDUP(F561*INVOICE!$O$6,2),0)</f>
        <v>0</v>
      </c>
      <c r="I561" s="229">
        <f>IFERROR(ROUNDUP(H561*INVOICE!$O$6,2),0)</f>
        <v>0</v>
      </c>
      <c r="L561" s="108" t="str">
        <f t="shared" si="100"/>
        <v/>
      </c>
      <c r="N561" s="108">
        <v>571</v>
      </c>
      <c r="O561" s="108" t="str">
        <f>IF(INVOICE!$N$16="MANUAL",IF(B561&lt;&gt;"",C561,""),IF(INVOICE!$N$16="AUTOMATE",IF(A561&lt;&gt;"",C561,""),""))</f>
        <v/>
      </c>
    </row>
    <row r="562" spans="5:15">
      <c r="E562" s="229">
        <f t="shared" si="101"/>
        <v>0</v>
      </c>
      <c r="G562" s="229">
        <f>IFERROR(ROUNDUP(F562*INVOICE!$O$6,2),0)</f>
        <v>0</v>
      </c>
      <c r="I562" s="229">
        <f>IFERROR(ROUNDUP(H562*INVOICE!$O$6,2),0)</f>
        <v>0</v>
      </c>
      <c r="L562" s="108" t="str">
        <f t="shared" si="100"/>
        <v/>
      </c>
      <c r="N562" s="108">
        <v>572</v>
      </c>
      <c r="O562" s="108" t="str">
        <f>IF(INVOICE!$N$16="MANUAL",IF(B562&lt;&gt;"",C562,""),IF(INVOICE!$N$16="AUTOMATE",IF(A562&lt;&gt;"",C562,""),""))</f>
        <v/>
      </c>
    </row>
    <row r="563" spans="5:15">
      <c r="E563" s="229">
        <f t="shared" si="101"/>
        <v>0</v>
      </c>
      <c r="G563" s="229">
        <f>IFERROR(ROUNDUP(F563*INVOICE!$O$6,2),0)</f>
        <v>0</v>
      </c>
      <c r="I563" s="229">
        <f>IFERROR(ROUNDUP(H563*INVOICE!$O$6,2),0)</f>
        <v>0</v>
      </c>
      <c r="L563" s="108" t="str">
        <f t="shared" si="100"/>
        <v/>
      </c>
      <c r="N563" s="108">
        <v>573</v>
      </c>
      <c r="O563" s="108" t="str">
        <f>IF(INVOICE!$N$16="MANUAL",IF(B563&lt;&gt;"",C563,""),IF(INVOICE!$N$16="AUTOMATE",IF(A563&lt;&gt;"",C563,""),""))</f>
        <v/>
      </c>
    </row>
    <row r="564" spans="5:15">
      <c r="E564" s="229">
        <f t="shared" si="101"/>
        <v>0</v>
      </c>
      <c r="G564" s="229">
        <f>IFERROR(ROUNDUP(F564*INVOICE!$O$6,2),0)</f>
        <v>0</v>
      </c>
      <c r="I564" s="229">
        <f>IFERROR(ROUNDUP(H564*INVOICE!$O$6,2),0)</f>
        <v>0</v>
      </c>
      <c r="L564" s="108" t="str">
        <f t="shared" si="100"/>
        <v/>
      </c>
      <c r="N564" s="108">
        <v>574</v>
      </c>
      <c r="O564" s="108" t="str">
        <f>IF(INVOICE!$N$16="MANUAL",IF(B564&lt;&gt;"",C564,""),IF(INVOICE!$N$16="AUTOMATE",IF(A564&lt;&gt;"",C564,""),""))</f>
        <v/>
      </c>
    </row>
    <row r="565" spans="5:15">
      <c r="E565" s="229">
        <f t="shared" si="101"/>
        <v>0</v>
      </c>
      <c r="G565" s="229">
        <f>IFERROR(ROUNDUP(F565*INVOICE!$O$6,2),0)</f>
        <v>0</v>
      </c>
      <c r="I565" s="229">
        <f>IFERROR(ROUNDUP(H565*INVOICE!$O$6,2),0)</f>
        <v>0</v>
      </c>
      <c r="L565" s="108" t="str">
        <f t="shared" si="100"/>
        <v/>
      </c>
      <c r="N565" s="108">
        <v>575</v>
      </c>
      <c r="O565" s="108" t="str">
        <f>IF(INVOICE!$N$16="MANUAL",IF(B565&lt;&gt;"",C565,""),IF(INVOICE!$N$16="AUTOMATE",IF(A565&lt;&gt;"",C565,""),""))</f>
        <v/>
      </c>
    </row>
    <row r="566" spans="5:15">
      <c r="E566" s="229">
        <f t="shared" si="101"/>
        <v>0</v>
      </c>
      <c r="G566" s="229">
        <f>IFERROR(ROUNDUP(F566*INVOICE!$O$6,2),0)</f>
        <v>0</v>
      </c>
      <c r="I566" s="229">
        <f>IFERROR(ROUNDUP(H566*INVOICE!$O$6,2),0)</f>
        <v>0</v>
      </c>
      <c r="L566" s="108" t="str">
        <f t="shared" si="100"/>
        <v/>
      </c>
      <c r="N566" s="108">
        <v>576</v>
      </c>
      <c r="O566" s="108" t="str">
        <f>IF(INVOICE!$N$16="MANUAL",IF(B566&lt;&gt;"",C566,""),IF(INVOICE!$N$16="AUTOMATE",IF(A566&lt;&gt;"",C566,""),""))</f>
        <v/>
      </c>
    </row>
    <row r="567" spans="5:15">
      <c r="E567" s="229">
        <f t="shared" si="101"/>
        <v>0</v>
      </c>
      <c r="G567" s="229">
        <f>IFERROR(ROUNDUP(F567*INVOICE!$O$6,2),0)</f>
        <v>0</v>
      </c>
      <c r="I567" s="229">
        <f>IFERROR(ROUNDUP(H567*INVOICE!$O$6,2),0)</f>
        <v>0</v>
      </c>
      <c r="L567" s="108" t="str">
        <f t="shared" si="100"/>
        <v/>
      </c>
      <c r="N567" s="108">
        <v>577</v>
      </c>
      <c r="O567" s="108" t="str">
        <f>IF(INVOICE!$N$16="MANUAL",IF(B567&lt;&gt;"",C567,""),IF(INVOICE!$N$16="AUTOMATE",IF(A567&lt;&gt;"",C567,""),""))</f>
        <v/>
      </c>
    </row>
    <row r="568" spans="5:15">
      <c r="E568" s="229">
        <f t="shared" si="101"/>
        <v>0</v>
      </c>
      <c r="G568" s="229">
        <f>IFERROR(ROUNDUP(F568*INVOICE!$O$6,2),0)</f>
        <v>0</v>
      </c>
      <c r="I568" s="229">
        <f>IFERROR(ROUNDUP(H568*INVOICE!$O$6,2),0)</f>
        <v>0</v>
      </c>
      <c r="L568" s="108" t="str">
        <f t="shared" si="100"/>
        <v/>
      </c>
      <c r="N568" s="108">
        <v>578</v>
      </c>
      <c r="O568" s="108" t="str">
        <f>IF(INVOICE!$N$16="MANUAL",IF(B568&lt;&gt;"",C568,""),IF(INVOICE!$N$16="AUTOMATE",IF(A568&lt;&gt;"",C568,""),""))</f>
        <v/>
      </c>
    </row>
    <row r="569" spans="5:15">
      <c r="E569" s="229">
        <f t="shared" si="101"/>
        <v>0</v>
      </c>
      <c r="G569" s="229">
        <f>IFERROR(ROUNDUP(F569*INVOICE!$O$6,2),0)</f>
        <v>0</v>
      </c>
      <c r="I569" s="229">
        <f>IFERROR(ROUNDUP(H569*INVOICE!$O$6,2),0)</f>
        <v>0</v>
      </c>
      <c r="L569" s="108" t="str">
        <f t="shared" si="100"/>
        <v/>
      </c>
      <c r="N569" s="108">
        <v>579</v>
      </c>
      <c r="O569" s="108" t="str">
        <f>IF(INVOICE!$N$16="MANUAL",IF(B569&lt;&gt;"",C569,""),IF(INVOICE!$N$16="AUTOMATE",IF(A569&lt;&gt;"",C569,""),""))</f>
        <v/>
      </c>
    </row>
    <row r="570" spans="5:15">
      <c r="E570" s="229">
        <f t="shared" si="101"/>
        <v>0</v>
      </c>
      <c r="G570" s="229">
        <f>IFERROR(ROUNDUP(F570*INVOICE!$O$6,2),0)</f>
        <v>0</v>
      </c>
      <c r="I570" s="229">
        <f>IFERROR(ROUNDUP(H570*INVOICE!$O$6,2),0)</f>
        <v>0</v>
      </c>
      <c r="L570" s="108" t="str">
        <f t="shared" si="100"/>
        <v/>
      </c>
      <c r="N570" s="108">
        <v>580</v>
      </c>
      <c r="O570" s="108" t="str">
        <f>IF(INVOICE!$N$16="MANUAL",IF(B570&lt;&gt;"",C570,""),IF(INVOICE!$N$16="AUTOMATE",IF(A570&lt;&gt;"",C570,""),""))</f>
        <v/>
      </c>
    </row>
    <row r="571" spans="5:15">
      <c r="E571" s="229">
        <f t="shared" si="101"/>
        <v>0</v>
      </c>
      <c r="G571" s="229">
        <f>IFERROR(ROUNDUP(F571*INVOICE!$O$6,2),0)</f>
        <v>0</v>
      </c>
      <c r="I571" s="229">
        <f>IFERROR(ROUNDUP(H571*INVOICE!$O$6,2),0)</f>
        <v>0</v>
      </c>
      <c r="L571" s="108" t="str">
        <f t="shared" si="100"/>
        <v/>
      </c>
      <c r="N571" s="108">
        <v>581</v>
      </c>
      <c r="O571" s="108" t="str">
        <f>IF(INVOICE!$N$16="MANUAL",IF(B571&lt;&gt;"",C571,""),IF(INVOICE!$N$16="AUTOMATE",IF(A571&lt;&gt;"",C571,""),""))</f>
        <v/>
      </c>
    </row>
    <row r="572" spans="5:15">
      <c r="E572" s="229">
        <f t="shared" si="101"/>
        <v>0</v>
      </c>
      <c r="G572" s="229">
        <f>IFERROR(ROUNDUP(F572*INVOICE!$O$6,2),0)</f>
        <v>0</v>
      </c>
      <c r="I572" s="229">
        <f>IFERROR(ROUNDUP(H572*INVOICE!$O$6,2),0)</f>
        <v>0</v>
      </c>
      <c r="L572" s="108" t="str">
        <f t="shared" si="100"/>
        <v/>
      </c>
      <c r="N572" s="108">
        <v>582</v>
      </c>
      <c r="O572" s="108" t="str">
        <f>IF(INVOICE!$N$16="MANUAL",IF(B572&lt;&gt;"",C572,""),IF(INVOICE!$N$16="AUTOMATE",IF(A572&lt;&gt;"",C572,""),""))</f>
        <v/>
      </c>
    </row>
    <row r="573" spans="5:15">
      <c r="E573" s="229">
        <f t="shared" si="101"/>
        <v>0</v>
      </c>
      <c r="G573" s="229">
        <f>IFERROR(ROUNDUP(F573*INVOICE!$O$6,2),0)</f>
        <v>0</v>
      </c>
      <c r="I573" s="229">
        <f>IFERROR(ROUNDUP(H573*INVOICE!$O$6,2),0)</f>
        <v>0</v>
      </c>
      <c r="L573" s="108" t="str">
        <f t="shared" si="100"/>
        <v/>
      </c>
      <c r="N573" s="108">
        <v>583</v>
      </c>
      <c r="O573" s="108" t="str">
        <f>IF(INVOICE!$N$16="MANUAL",IF(B573&lt;&gt;"",C573,""),IF(INVOICE!$N$16="AUTOMATE",IF(A573&lt;&gt;"",C573,""),""))</f>
        <v/>
      </c>
    </row>
    <row r="574" spans="5:15">
      <c r="E574" s="229">
        <f t="shared" si="101"/>
        <v>0</v>
      </c>
      <c r="G574" s="229">
        <f>IFERROR(ROUNDUP(F574*INVOICE!$O$6,2),0)</f>
        <v>0</v>
      </c>
      <c r="I574" s="229">
        <f>IFERROR(ROUNDUP(H574*INVOICE!$O$6,2),0)</f>
        <v>0</v>
      </c>
      <c r="L574" s="108" t="str">
        <f t="shared" si="100"/>
        <v/>
      </c>
      <c r="N574" s="108">
        <v>584</v>
      </c>
      <c r="O574" s="108" t="str">
        <f>IF(INVOICE!$N$16="MANUAL",IF(B574&lt;&gt;"",C574,""),IF(INVOICE!$N$16="AUTOMATE",IF(A574&lt;&gt;"",C574,""),""))</f>
        <v/>
      </c>
    </row>
    <row r="575" spans="5:15">
      <c r="E575" s="229">
        <f t="shared" si="101"/>
        <v>0</v>
      </c>
      <c r="G575" s="229">
        <f>IFERROR(ROUNDUP(F575*INVOICE!$O$6,2),0)</f>
        <v>0</v>
      </c>
      <c r="I575" s="229">
        <f>IFERROR(ROUNDUP(H575*INVOICE!$O$6,2),0)</f>
        <v>0</v>
      </c>
      <c r="L575" s="108" t="str">
        <f t="shared" si="100"/>
        <v/>
      </c>
      <c r="N575" s="108">
        <v>585</v>
      </c>
      <c r="O575" s="108" t="str">
        <f>IF(INVOICE!$N$16="MANUAL",IF(B575&lt;&gt;"",C575,""),IF(INVOICE!$N$16="AUTOMATE",IF(A575&lt;&gt;"",C575,""),""))</f>
        <v/>
      </c>
    </row>
    <row r="576" spans="5:15">
      <c r="E576" s="229">
        <f t="shared" si="101"/>
        <v>0</v>
      </c>
      <c r="G576" s="229">
        <f>IFERROR(ROUNDUP(F576*INVOICE!$O$6,2),0)</f>
        <v>0</v>
      </c>
      <c r="I576" s="229">
        <f>IFERROR(ROUNDUP(H576*INVOICE!$O$6,2),0)</f>
        <v>0</v>
      </c>
      <c r="L576" s="108" t="str">
        <f t="shared" si="100"/>
        <v/>
      </c>
      <c r="N576" s="108">
        <v>586</v>
      </c>
      <c r="O576" s="108" t="str">
        <f>IF(INVOICE!$N$16="MANUAL",IF(B576&lt;&gt;"",C576,""),IF(INVOICE!$N$16="AUTOMATE",IF(A576&lt;&gt;"",C576,""),""))</f>
        <v/>
      </c>
    </row>
    <row r="577" spans="5:15">
      <c r="E577" s="229">
        <f t="shared" si="101"/>
        <v>0</v>
      </c>
      <c r="G577" s="229">
        <f>IFERROR(ROUNDUP(F577*INVOICE!$O$6,2),0)</f>
        <v>0</v>
      </c>
      <c r="I577" s="229">
        <f>IFERROR(ROUNDUP(H577*INVOICE!$O$6,2),0)</f>
        <v>0</v>
      </c>
      <c r="L577" s="108" t="str">
        <f t="shared" si="100"/>
        <v/>
      </c>
      <c r="N577" s="108">
        <v>587</v>
      </c>
      <c r="O577" s="108" t="str">
        <f>IF(INVOICE!$N$16="MANUAL",IF(B577&lt;&gt;"",C577,""),IF(INVOICE!$N$16="AUTOMATE",IF(A577&lt;&gt;"",C577,""),""))</f>
        <v/>
      </c>
    </row>
    <row r="578" spans="5:15">
      <c r="E578" s="229">
        <f t="shared" si="101"/>
        <v>0</v>
      </c>
      <c r="G578" s="229">
        <f>IFERROR(ROUNDUP(F578*INVOICE!$O$6,2),0)</f>
        <v>0</v>
      </c>
      <c r="I578" s="229">
        <f>IFERROR(ROUNDUP(H578*INVOICE!$O$6,2),0)</f>
        <v>0</v>
      </c>
      <c r="L578" s="108" t="str">
        <f t="shared" si="100"/>
        <v/>
      </c>
      <c r="N578" s="108">
        <v>588</v>
      </c>
      <c r="O578" s="108" t="str">
        <f>IF(INVOICE!$N$16="MANUAL",IF(B578&lt;&gt;"",C578,""),IF(INVOICE!$N$16="AUTOMATE",IF(A578&lt;&gt;"",C578,""),""))</f>
        <v/>
      </c>
    </row>
    <row r="579" spans="5:15">
      <c r="E579" s="229">
        <f t="shared" si="101"/>
        <v>0</v>
      </c>
      <c r="G579" s="229">
        <f>IFERROR(ROUNDUP(F579*INVOICE!$O$6,2),0)</f>
        <v>0</v>
      </c>
      <c r="I579" s="229">
        <f>IFERROR(ROUNDUP(H579*INVOICE!$O$6,2),0)</f>
        <v>0</v>
      </c>
      <c r="L579" s="108" t="str">
        <f t="shared" si="100"/>
        <v/>
      </c>
      <c r="N579" s="108">
        <v>589</v>
      </c>
      <c r="O579" s="108" t="str">
        <f>IF(INVOICE!$N$16="MANUAL",IF(B579&lt;&gt;"",C579,""),IF(INVOICE!$N$16="AUTOMATE",IF(A579&lt;&gt;"",C579,""),""))</f>
        <v/>
      </c>
    </row>
    <row r="580" spans="5:15">
      <c r="E580" s="229">
        <f t="shared" si="101"/>
        <v>0</v>
      </c>
      <c r="G580" s="229">
        <f>IFERROR(ROUNDUP(F580*INVOICE!$O$6,2),0)</f>
        <v>0</v>
      </c>
      <c r="I580" s="229">
        <f>IFERROR(ROUNDUP(H580*INVOICE!$O$6,2),0)</f>
        <v>0</v>
      </c>
      <c r="L580" s="108" t="str">
        <f t="shared" si="100"/>
        <v/>
      </c>
      <c r="N580" s="108">
        <v>590</v>
      </c>
      <c r="O580" s="108" t="str">
        <f>IF(INVOICE!$N$16="MANUAL",IF(B580&lt;&gt;"",C580,""),IF(INVOICE!$N$16="AUTOMATE",IF(A580&lt;&gt;"",C580,""),""))</f>
        <v/>
      </c>
    </row>
    <row r="581" spans="5:15">
      <c r="E581" s="229">
        <f t="shared" si="101"/>
        <v>0</v>
      </c>
      <c r="G581" s="229">
        <f>IFERROR(ROUNDUP(F581*INVOICE!$O$6,2),0)</f>
        <v>0</v>
      </c>
      <c r="I581" s="229">
        <f>IFERROR(ROUNDUP(H581*INVOICE!$O$6,2),0)</f>
        <v>0</v>
      </c>
      <c r="L581" s="108" t="str">
        <f t="shared" si="100"/>
        <v/>
      </c>
      <c r="N581" s="108">
        <v>591</v>
      </c>
      <c r="O581" s="108" t="str">
        <f>IF(INVOICE!$N$16="MANUAL",IF(B581&lt;&gt;"",C581,""),IF(INVOICE!$N$16="AUTOMATE",IF(A581&lt;&gt;"",C581,""),""))</f>
        <v/>
      </c>
    </row>
    <row r="582" spans="5:15">
      <c r="E582" s="229">
        <f t="shared" si="101"/>
        <v>0</v>
      </c>
      <c r="G582" s="229">
        <f>IFERROR(ROUNDUP(F582*INVOICE!$O$6,2),0)</f>
        <v>0</v>
      </c>
      <c r="I582" s="229">
        <f>IFERROR(ROUNDUP(H582*INVOICE!$O$6,2),0)</f>
        <v>0</v>
      </c>
      <c r="L582" s="108" t="str">
        <f t="shared" si="100"/>
        <v/>
      </c>
      <c r="N582" s="108">
        <v>592</v>
      </c>
      <c r="O582" s="108" t="str">
        <f>IF(INVOICE!$N$16="MANUAL",IF(B582&lt;&gt;"",C582,""),IF(INVOICE!$N$16="AUTOMATE",IF(A582&lt;&gt;"",C582,""),""))</f>
        <v/>
      </c>
    </row>
    <row r="583" spans="5:15">
      <c r="E583" s="229">
        <f t="shared" si="101"/>
        <v>0</v>
      </c>
      <c r="G583" s="229">
        <f>IFERROR(ROUNDUP(F583*INVOICE!$O$6,2),0)</f>
        <v>0</v>
      </c>
      <c r="I583" s="229">
        <f>IFERROR(ROUNDUP(H583*INVOICE!$O$6,2),0)</f>
        <v>0</v>
      </c>
      <c r="L583" s="108" t="str">
        <f t="shared" si="100"/>
        <v/>
      </c>
      <c r="N583" s="108">
        <v>593</v>
      </c>
      <c r="O583" s="108" t="str">
        <f>IF(INVOICE!$N$16="MANUAL",IF(B583&lt;&gt;"",C583,""),IF(INVOICE!$N$16="AUTOMATE",IF(A583&lt;&gt;"",C583,""),""))</f>
        <v/>
      </c>
    </row>
    <row r="584" spans="5:15">
      <c r="E584" s="229">
        <f t="shared" si="101"/>
        <v>0</v>
      </c>
      <c r="G584" s="229">
        <f>IFERROR(ROUNDUP(F584*INVOICE!$O$6,2),0)</f>
        <v>0</v>
      </c>
      <c r="I584" s="229">
        <f>IFERROR(ROUNDUP(H584*INVOICE!$O$6,2),0)</f>
        <v>0</v>
      </c>
      <c r="L584" s="108" t="str">
        <f t="shared" si="100"/>
        <v/>
      </c>
      <c r="N584" s="108">
        <v>594</v>
      </c>
      <c r="O584" s="108" t="str">
        <f>IF(INVOICE!$N$16="MANUAL",IF(B584&lt;&gt;"",C584,""),IF(INVOICE!$N$16="AUTOMATE",IF(A584&lt;&gt;"",C584,""),""))</f>
        <v/>
      </c>
    </row>
    <row r="585" spans="5:15">
      <c r="E585" s="229">
        <f t="shared" si="101"/>
        <v>0</v>
      </c>
      <c r="G585" s="229">
        <f>IFERROR(ROUNDUP(F585*INVOICE!$O$6,2),0)</f>
        <v>0</v>
      </c>
      <c r="I585" s="229">
        <f>IFERROR(ROUNDUP(H585*INVOICE!$O$6,2),0)</f>
        <v>0</v>
      </c>
      <c r="L585" s="108" t="str">
        <f t="shared" si="100"/>
        <v/>
      </c>
      <c r="N585" s="108">
        <v>595</v>
      </c>
      <c r="O585" s="108" t="str">
        <f>IF(INVOICE!$N$16="MANUAL",IF(B585&lt;&gt;"",C585,""),IF(INVOICE!$N$16="AUTOMATE",IF(A585&lt;&gt;"",C585,""),""))</f>
        <v/>
      </c>
    </row>
    <row r="586" spans="5:15">
      <c r="E586" s="229">
        <f t="shared" si="101"/>
        <v>0</v>
      </c>
      <c r="G586" s="229">
        <f>IFERROR(ROUNDUP(F586*INVOICE!$O$6,2),0)</f>
        <v>0</v>
      </c>
      <c r="I586" s="229">
        <f>IFERROR(ROUNDUP(H586*INVOICE!$O$6,2),0)</f>
        <v>0</v>
      </c>
      <c r="L586" s="108" t="str">
        <f t="shared" si="100"/>
        <v/>
      </c>
      <c r="N586" s="108">
        <v>596</v>
      </c>
      <c r="O586" s="108" t="str">
        <f>IF(INVOICE!$N$16="MANUAL",IF(B586&lt;&gt;"",C586,""),IF(INVOICE!$N$16="AUTOMATE",IF(A586&lt;&gt;"",C586,""),""))</f>
        <v/>
      </c>
    </row>
    <row r="587" spans="5:15">
      <c r="E587" s="229">
        <f t="shared" si="101"/>
        <v>0</v>
      </c>
      <c r="G587" s="229">
        <f>IFERROR(ROUNDUP(F587*INVOICE!$O$6,2),0)</f>
        <v>0</v>
      </c>
      <c r="I587" s="229">
        <f>IFERROR(ROUNDUP(H587*INVOICE!$O$6,2),0)</f>
        <v>0</v>
      </c>
      <c r="L587" s="108" t="str">
        <f t="shared" si="100"/>
        <v/>
      </c>
      <c r="N587" s="108">
        <v>597</v>
      </c>
      <c r="O587" s="108" t="str">
        <f>IF(INVOICE!$N$16="MANUAL",IF(B587&lt;&gt;"",C587,""),IF(INVOICE!$N$16="AUTOMATE",IF(A587&lt;&gt;"",C587,""),""))</f>
        <v/>
      </c>
    </row>
    <row r="588" spans="5:15">
      <c r="E588" s="229">
        <f t="shared" si="101"/>
        <v>0</v>
      </c>
      <c r="G588" s="229">
        <f>IFERROR(ROUNDUP(F588*INVOICE!$O$6,2),0)</f>
        <v>0</v>
      </c>
      <c r="I588" s="229">
        <f>IFERROR(ROUNDUP(H588*INVOICE!$O$6,2),0)</f>
        <v>0</v>
      </c>
      <c r="L588" s="108" t="str">
        <f t="shared" si="100"/>
        <v/>
      </c>
      <c r="N588" s="108">
        <v>598</v>
      </c>
      <c r="O588" s="108" t="str">
        <f>IF(INVOICE!$N$16="MANUAL",IF(B588&lt;&gt;"",C588,""),IF(INVOICE!$N$16="AUTOMATE",IF(A588&lt;&gt;"",C588,""),""))</f>
        <v/>
      </c>
    </row>
    <row r="589" spans="5:15">
      <c r="E589" s="229">
        <f t="shared" si="101"/>
        <v>0</v>
      </c>
      <c r="G589" s="229">
        <f>IFERROR(ROUNDUP(F589*INVOICE!$O$6,2),0)</f>
        <v>0</v>
      </c>
      <c r="I589" s="229">
        <f>IFERROR(ROUNDUP(H589*INVOICE!$O$6,2),0)</f>
        <v>0</v>
      </c>
      <c r="L589" s="108" t="str">
        <f t="shared" si="100"/>
        <v/>
      </c>
      <c r="N589" s="108">
        <v>599</v>
      </c>
      <c r="O589" s="108" t="str">
        <f>IF(INVOICE!$N$16="MANUAL",IF(B589&lt;&gt;"",C589,""),IF(INVOICE!$N$16="AUTOMATE",IF(A589&lt;&gt;"",C589,""),""))</f>
        <v/>
      </c>
    </row>
    <row r="590" spans="5:15">
      <c r="E590" s="229">
        <f t="shared" si="101"/>
        <v>0</v>
      </c>
      <c r="G590" s="229">
        <f>IFERROR(ROUNDUP(F590*INVOICE!$O$6,2),0)</f>
        <v>0</v>
      </c>
      <c r="I590" s="229">
        <f>IFERROR(ROUNDUP(H590*INVOICE!$O$6,2),0)</f>
        <v>0</v>
      </c>
      <c r="L590" s="108" t="str">
        <f t="shared" ref="L590:L621" si="102">IF(H605&gt;F605,"lkkajdfkj","")</f>
        <v/>
      </c>
      <c r="N590" s="108">
        <v>600</v>
      </c>
      <c r="O590" s="108" t="str">
        <f>IF(INVOICE!$N$16="MANUAL",IF(B590&lt;&gt;"",C590,""),IF(INVOICE!$N$16="AUTOMATE",IF(A590&lt;&gt;"",C590,""),""))</f>
        <v/>
      </c>
    </row>
    <row r="591" spans="5:15">
      <c r="E591" s="229">
        <f t="shared" si="101"/>
        <v>0</v>
      </c>
      <c r="G591" s="229">
        <f>IFERROR(ROUNDUP(F591*INVOICE!$O$6,2),0)</f>
        <v>0</v>
      </c>
      <c r="I591" s="229">
        <f>IFERROR(ROUNDUP(H591*INVOICE!$O$6,2),0)</f>
        <v>0</v>
      </c>
      <c r="L591" s="108" t="str">
        <f t="shared" si="102"/>
        <v/>
      </c>
      <c r="N591" s="108">
        <v>601</v>
      </c>
      <c r="O591" s="108" t="str">
        <f>IF(INVOICE!$N$16="MANUAL",IF(B591&lt;&gt;"",C591,""),IF(INVOICE!$N$16="AUTOMATE",IF(A591&lt;&gt;"",C591,""),""))</f>
        <v/>
      </c>
    </row>
    <row r="592" spans="5:15">
      <c r="E592" s="229">
        <f t="shared" si="101"/>
        <v>0</v>
      </c>
      <c r="G592" s="229">
        <f>IFERROR(ROUNDUP(F592*INVOICE!$O$6,2),0)</f>
        <v>0</v>
      </c>
      <c r="I592" s="229">
        <f>IFERROR(ROUNDUP(H592*INVOICE!$O$6,2),0)</f>
        <v>0</v>
      </c>
      <c r="L592" s="108" t="str">
        <f t="shared" si="102"/>
        <v/>
      </c>
      <c r="N592" s="108">
        <v>602</v>
      </c>
      <c r="O592" s="108" t="str">
        <f>IF(INVOICE!$N$16="MANUAL",IF(B592&lt;&gt;"",C592,""),IF(INVOICE!$N$16="AUTOMATE",IF(A592&lt;&gt;"",C592,""),""))</f>
        <v/>
      </c>
    </row>
    <row r="593" spans="5:15">
      <c r="E593" s="229">
        <f t="shared" si="101"/>
        <v>0</v>
      </c>
      <c r="G593" s="229">
        <f>IFERROR(ROUNDUP(F593*INVOICE!$O$6,2),0)</f>
        <v>0</v>
      </c>
      <c r="I593" s="229">
        <f>IFERROR(ROUNDUP(H593*INVOICE!$O$6,2),0)</f>
        <v>0</v>
      </c>
      <c r="L593" s="108" t="str">
        <f t="shared" si="102"/>
        <v/>
      </c>
      <c r="N593" s="108">
        <v>603</v>
      </c>
      <c r="O593" s="108" t="str">
        <f>IF(INVOICE!$N$16="MANUAL",IF(B593&lt;&gt;"",C593,""),IF(INVOICE!$N$16="AUTOMATE",IF(A593&lt;&gt;"",C593,""),""))</f>
        <v/>
      </c>
    </row>
    <row r="594" spans="5:15">
      <c r="E594" s="229">
        <f t="shared" si="101"/>
        <v>0</v>
      </c>
      <c r="G594" s="229">
        <f>IFERROR(ROUNDUP(F594*INVOICE!$O$6,2),0)</f>
        <v>0</v>
      </c>
      <c r="I594" s="229">
        <f>IFERROR(ROUNDUP(H594*INVOICE!$O$6,2),0)</f>
        <v>0</v>
      </c>
      <c r="L594" s="108" t="str">
        <f t="shared" si="102"/>
        <v/>
      </c>
      <c r="N594" s="108">
        <v>604</v>
      </c>
      <c r="O594" s="108" t="str">
        <f>IF(INVOICE!$N$16="MANUAL",IF(B594&lt;&gt;"",C594,""),IF(INVOICE!$N$16="AUTOMATE",IF(A594&lt;&gt;"",C594,""),""))</f>
        <v/>
      </c>
    </row>
    <row r="595" spans="5:15">
      <c r="E595" s="229">
        <f t="shared" si="101"/>
        <v>0</v>
      </c>
      <c r="G595" s="229">
        <f>IFERROR(ROUNDUP(F595*INVOICE!$O$6,2),0)</f>
        <v>0</v>
      </c>
      <c r="I595" s="229">
        <f>IFERROR(ROUNDUP(H595*INVOICE!$O$6,2),0)</f>
        <v>0</v>
      </c>
      <c r="L595" s="108" t="str">
        <f t="shared" si="102"/>
        <v/>
      </c>
      <c r="N595" s="108">
        <v>605</v>
      </c>
      <c r="O595" s="108" t="str">
        <f>IF(INVOICE!$N$16="MANUAL",IF(B595&lt;&gt;"",C595,""),IF(INVOICE!$N$16="AUTOMATE",IF(A595&lt;&gt;"",C595,""),""))</f>
        <v/>
      </c>
    </row>
    <row r="596" spans="5:15">
      <c r="E596" s="229">
        <f t="shared" si="101"/>
        <v>0</v>
      </c>
      <c r="G596" s="229">
        <f>IFERROR(ROUNDUP(F596*INVOICE!$O$6,2),0)</f>
        <v>0</v>
      </c>
      <c r="I596" s="229">
        <f>IFERROR(ROUNDUP(H596*INVOICE!$O$6,2),0)</f>
        <v>0</v>
      </c>
      <c r="L596" s="108" t="str">
        <f t="shared" si="102"/>
        <v/>
      </c>
      <c r="N596" s="108">
        <v>606</v>
      </c>
      <c r="O596" s="108" t="str">
        <f>IF(INVOICE!$N$16="MANUAL",IF(B596&lt;&gt;"",C596,""),IF(INVOICE!$N$16="AUTOMATE",IF(A596&lt;&gt;"",C596,""),""))</f>
        <v/>
      </c>
    </row>
    <row r="597" spans="5:15">
      <c r="E597" s="229">
        <f t="shared" si="101"/>
        <v>0</v>
      </c>
      <c r="G597" s="229">
        <f>IFERROR(ROUNDUP(F597*INVOICE!$O$6,2),0)</f>
        <v>0</v>
      </c>
      <c r="I597" s="229">
        <f>IFERROR(ROUNDUP(H597*INVOICE!$O$6,2),0)</f>
        <v>0</v>
      </c>
      <c r="L597" s="108" t="str">
        <f t="shared" si="102"/>
        <v/>
      </c>
      <c r="N597" s="108">
        <v>607</v>
      </c>
      <c r="O597" s="108" t="str">
        <f>IF(INVOICE!$N$16="MANUAL",IF(B597&lt;&gt;"",C597,""),IF(INVOICE!$N$16="AUTOMATE",IF(A597&lt;&gt;"",C597,""),""))</f>
        <v/>
      </c>
    </row>
    <row r="598" spans="5:15">
      <c r="E598" s="229">
        <f t="shared" si="101"/>
        <v>0</v>
      </c>
      <c r="G598" s="229">
        <f>IFERROR(ROUNDUP(F598*INVOICE!$O$6,2),0)</f>
        <v>0</v>
      </c>
      <c r="I598" s="229">
        <f>IFERROR(ROUNDUP(H598*INVOICE!$O$6,2),0)</f>
        <v>0</v>
      </c>
      <c r="L598" s="108" t="str">
        <f t="shared" si="102"/>
        <v/>
      </c>
      <c r="N598" s="108">
        <v>608</v>
      </c>
      <c r="O598" s="108" t="str">
        <f>IF(INVOICE!$N$16="MANUAL",IF(B598&lt;&gt;"",C598,""),IF(INVOICE!$N$16="AUTOMATE",IF(A598&lt;&gt;"",C598,""),""))</f>
        <v/>
      </c>
    </row>
    <row r="599" spans="5:15">
      <c r="E599" s="229">
        <f t="shared" si="101"/>
        <v>0</v>
      </c>
      <c r="G599" s="229">
        <f>IFERROR(ROUNDUP(F599*INVOICE!$O$6,2),0)</f>
        <v>0</v>
      </c>
      <c r="I599" s="229">
        <f>IFERROR(ROUNDUP(H599*INVOICE!$O$6,2),0)</f>
        <v>0</v>
      </c>
      <c r="L599" s="108" t="str">
        <f t="shared" si="102"/>
        <v/>
      </c>
      <c r="N599" s="108">
        <v>609</v>
      </c>
      <c r="O599" s="108" t="str">
        <f>IF(INVOICE!$N$16="MANUAL",IF(B599&lt;&gt;"",C599,""),IF(INVOICE!$N$16="AUTOMATE",IF(A599&lt;&gt;"",C599,""),""))</f>
        <v/>
      </c>
    </row>
    <row r="600" spans="5:15">
      <c r="E600" s="229">
        <f t="shared" si="101"/>
        <v>0</v>
      </c>
      <c r="G600" s="229">
        <f>IFERROR(ROUNDUP(F600*INVOICE!$O$6,2),0)</f>
        <v>0</v>
      </c>
      <c r="I600" s="229">
        <f>IFERROR(ROUNDUP(H600*INVOICE!$O$6,2),0)</f>
        <v>0</v>
      </c>
      <c r="L600" s="108" t="str">
        <f t="shared" si="102"/>
        <v/>
      </c>
      <c r="N600" s="108">
        <v>610</v>
      </c>
      <c r="O600" s="108" t="str">
        <f>IF(INVOICE!$N$16="MANUAL",IF(B600&lt;&gt;"",C600,""),IF(INVOICE!$N$16="AUTOMATE",IF(A600&lt;&gt;"",C600,""),""))</f>
        <v/>
      </c>
    </row>
    <row r="601" spans="5:15">
      <c r="E601" s="229">
        <f t="shared" si="101"/>
        <v>0</v>
      </c>
      <c r="G601" s="229">
        <f>IFERROR(ROUNDUP(F601*INVOICE!$O$6,2),0)</f>
        <v>0</v>
      </c>
      <c r="I601" s="229">
        <f>IFERROR(ROUNDUP(H601*INVOICE!$O$6,2),0)</f>
        <v>0</v>
      </c>
      <c r="L601" s="108" t="str">
        <f t="shared" si="102"/>
        <v/>
      </c>
      <c r="N601" s="108">
        <v>611</v>
      </c>
      <c r="O601" s="108" t="str">
        <f>IF(INVOICE!$N$16="MANUAL",IF(B601&lt;&gt;"",C601,""),IF(INVOICE!$N$16="AUTOMATE",IF(A601&lt;&gt;"",C601,""),""))</f>
        <v/>
      </c>
    </row>
    <row r="602" spans="5:15">
      <c r="E602" s="229">
        <f t="shared" si="101"/>
        <v>0</v>
      </c>
      <c r="G602" s="229">
        <f>IFERROR(ROUNDUP(F602*INVOICE!$O$6,2),0)</f>
        <v>0</v>
      </c>
      <c r="I602" s="229">
        <f>IFERROR(ROUNDUP(H602*INVOICE!$O$6,2),0)</f>
        <v>0</v>
      </c>
      <c r="L602" s="108" t="str">
        <f t="shared" si="102"/>
        <v/>
      </c>
      <c r="N602" s="108">
        <v>612</v>
      </c>
      <c r="O602" s="108" t="str">
        <f>IF(INVOICE!$N$16="MANUAL",IF(B602&lt;&gt;"",C602,""),IF(INVOICE!$N$16="AUTOMATE",IF(A602&lt;&gt;"",C602,""),""))</f>
        <v/>
      </c>
    </row>
    <row r="603" spans="5:15">
      <c r="E603" s="229">
        <f t="shared" si="101"/>
        <v>0</v>
      </c>
      <c r="G603" s="229">
        <f>IFERROR(ROUNDUP(F603*INVOICE!$O$6,2),0)</f>
        <v>0</v>
      </c>
      <c r="I603" s="229">
        <f>IFERROR(ROUNDUP(H603*INVOICE!$O$6,2),0)</f>
        <v>0</v>
      </c>
      <c r="L603" s="108" t="str">
        <f t="shared" si="102"/>
        <v/>
      </c>
      <c r="N603" s="108">
        <v>613</v>
      </c>
      <c r="O603" s="108" t="str">
        <f>IF(INVOICE!$N$16="MANUAL",IF(B603&lt;&gt;"",C603,""),IF(INVOICE!$N$16="AUTOMATE",IF(A603&lt;&gt;"",C603,""),""))</f>
        <v/>
      </c>
    </row>
    <row r="604" spans="5:15">
      <c r="E604" s="229">
        <f t="shared" si="101"/>
        <v>0</v>
      </c>
      <c r="G604" s="229">
        <f>IFERROR(ROUNDUP(F604*INVOICE!$O$6,2),0)</f>
        <v>0</v>
      </c>
      <c r="I604" s="229">
        <f>IFERROR(ROUNDUP(H604*INVOICE!$O$6,2),0)</f>
        <v>0</v>
      </c>
      <c r="L604" s="108" t="str">
        <f t="shared" si="102"/>
        <v/>
      </c>
      <c r="N604" s="108">
        <v>614</v>
      </c>
      <c r="O604" s="108" t="str">
        <f>IF(INVOICE!$N$16="MANUAL",IF(B604&lt;&gt;"",C604,""),IF(INVOICE!$N$16="AUTOMATE",IF(A604&lt;&gt;"",C604,""),""))</f>
        <v/>
      </c>
    </row>
    <row r="605" spans="5:15">
      <c r="E605" s="229">
        <f t="shared" si="101"/>
        <v>0</v>
      </c>
      <c r="G605" s="229">
        <f>IFERROR(ROUNDUP(F605*INVOICE!$O$6,2),0)</f>
        <v>0</v>
      </c>
      <c r="I605" s="229">
        <f>IFERROR(ROUNDUP(H605*INVOICE!$O$6,2),0)</f>
        <v>0</v>
      </c>
      <c r="L605" s="108" t="str">
        <f t="shared" si="102"/>
        <v/>
      </c>
      <c r="N605" s="108">
        <v>615</v>
      </c>
      <c r="O605" s="108" t="str">
        <f>IF(INVOICE!$N$16="MANUAL",IF(B605&lt;&gt;"",C605,""),IF(INVOICE!$N$16="AUTOMATE",IF(A605&lt;&gt;"",C605,""),""))</f>
        <v/>
      </c>
    </row>
    <row r="606" spans="5:15">
      <c r="E606" s="229">
        <f t="shared" si="101"/>
        <v>0</v>
      </c>
      <c r="G606" s="229">
        <f>IFERROR(ROUNDUP(F606*INVOICE!$O$6,2),0)</f>
        <v>0</v>
      </c>
      <c r="I606" s="229">
        <f>IFERROR(ROUNDUP(H606*INVOICE!$O$6,2),0)</f>
        <v>0</v>
      </c>
      <c r="L606" s="108" t="str">
        <f t="shared" si="102"/>
        <v/>
      </c>
      <c r="N606" s="108">
        <v>616</v>
      </c>
      <c r="O606" s="108" t="str">
        <f>IF(INVOICE!$N$16="MANUAL",IF(B606&lt;&gt;"",C606,""),IF(INVOICE!$N$16="AUTOMATE",IF(A606&lt;&gt;"",C606,""),""))</f>
        <v/>
      </c>
    </row>
    <row r="607" spans="5:15">
      <c r="E607" s="229">
        <f t="shared" si="101"/>
        <v>0</v>
      </c>
      <c r="G607" s="229">
        <f>IFERROR(ROUNDUP(F607*INVOICE!$O$6,2),0)</f>
        <v>0</v>
      </c>
      <c r="I607" s="229">
        <f>IFERROR(ROUNDUP(H607*INVOICE!$O$6,2),0)</f>
        <v>0</v>
      </c>
      <c r="L607" s="108" t="str">
        <f t="shared" si="102"/>
        <v/>
      </c>
      <c r="N607" s="108">
        <v>617</v>
      </c>
      <c r="O607" s="108" t="str">
        <f>IF(INVOICE!$N$16="MANUAL",IF(B607&lt;&gt;"",C607,""),IF(INVOICE!$N$16="AUTOMATE",IF(A607&lt;&gt;"",C607,""),""))</f>
        <v/>
      </c>
    </row>
    <row r="608" spans="5:15">
      <c r="E608" s="229">
        <f t="shared" si="101"/>
        <v>0</v>
      </c>
      <c r="G608" s="229">
        <f>IFERROR(ROUNDUP(F608*INVOICE!$O$6,2),0)</f>
        <v>0</v>
      </c>
      <c r="I608" s="229">
        <f>IFERROR(ROUNDUP(H608*INVOICE!$O$6,2),0)</f>
        <v>0</v>
      </c>
      <c r="L608" s="108" t="str">
        <f t="shared" si="102"/>
        <v/>
      </c>
      <c r="N608" s="108">
        <v>618</v>
      </c>
      <c r="O608" s="108" t="str">
        <f>IF(INVOICE!$N$16="MANUAL",IF(B608&lt;&gt;"",C608,""),IF(INVOICE!$N$16="AUTOMATE",IF(A608&lt;&gt;"",C608,""),""))</f>
        <v/>
      </c>
    </row>
    <row r="609" spans="5:15">
      <c r="E609" s="229">
        <f t="shared" si="101"/>
        <v>0</v>
      </c>
      <c r="G609" s="229">
        <f>IFERROR(ROUNDUP(F609*INVOICE!$O$6,2),0)</f>
        <v>0</v>
      </c>
      <c r="I609" s="229">
        <f>IFERROR(ROUNDUP(H609*INVOICE!$O$6,2),0)</f>
        <v>0</v>
      </c>
      <c r="L609" s="108" t="str">
        <f t="shared" si="102"/>
        <v/>
      </c>
      <c r="N609" s="108">
        <v>619</v>
      </c>
      <c r="O609" s="108" t="str">
        <f>IF(INVOICE!$N$16="MANUAL",IF(B609&lt;&gt;"",C609,""),IF(INVOICE!$N$16="AUTOMATE",IF(A609&lt;&gt;"",C609,""),""))</f>
        <v/>
      </c>
    </row>
    <row r="610" spans="5:15">
      <c r="E610" s="229">
        <f t="shared" si="101"/>
        <v>0</v>
      </c>
      <c r="G610" s="229">
        <f>IFERROR(ROUNDUP(F610*INVOICE!$O$6,2),0)</f>
        <v>0</v>
      </c>
      <c r="I610" s="229">
        <f>IFERROR(ROUNDUP(H610*INVOICE!$O$6,2),0)</f>
        <v>0</v>
      </c>
      <c r="L610" s="108" t="str">
        <f t="shared" si="102"/>
        <v/>
      </c>
      <c r="N610" s="108">
        <v>620</v>
      </c>
      <c r="O610" s="108" t="str">
        <f>IF(INVOICE!$N$16="MANUAL",IF(B610&lt;&gt;"",C610,""),IF(INVOICE!$N$16="AUTOMATE",IF(A610&lt;&gt;"",C610,""),""))</f>
        <v/>
      </c>
    </row>
    <row r="611" spans="5:15">
      <c r="E611" s="229">
        <f t="shared" si="101"/>
        <v>0</v>
      </c>
      <c r="G611" s="229">
        <f>IFERROR(ROUNDUP(F611*INVOICE!$O$6,2),0)</f>
        <v>0</v>
      </c>
      <c r="I611" s="229">
        <f>IFERROR(ROUNDUP(H611*INVOICE!$O$6,2),0)</f>
        <v>0</v>
      </c>
      <c r="L611" s="108" t="str">
        <f t="shared" si="102"/>
        <v/>
      </c>
      <c r="N611" s="108">
        <v>621</v>
      </c>
      <c r="O611" s="108" t="str">
        <f>IF(INVOICE!$N$16="MANUAL",IF(B611&lt;&gt;"",C611,""),IF(INVOICE!$N$16="AUTOMATE",IF(A611&lt;&gt;"",C611,""),""))</f>
        <v/>
      </c>
    </row>
    <row r="612" spans="5:15">
      <c r="E612" s="229">
        <f t="shared" si="101"/>
        <v>0</v>
      </c>
      <c r="G612" s="229">
        <f>IFERROR(ROUNDUP(F612*INVOICE!$O$6,2),0)</f>
        <v>0</v>
      </c>
      <c r="I612" s="229">
        <f>IFERROR(ROUNDUP(H612*INVOICE!$O$6,2),0)</f>
        <v>0</v>
      </c>
      <c r="L612" s="108" t="str">
        <f t="shared" si="102"/>
        <v/>
      </c>
      <c r="N612" s="108">
        <v>622</v>
      </c>
      <c r="O612" s="108" t="str">
        <f>IF(INVOICE!$N$16="MANUAL",IF(B612&lt;&gt;"",C612,""),IF(INVOICE!$N$16="AUTOMATE",IF(A612&lt;&gt;"",C612,""),""))</f>
        <v/>
      </c>
    </row>
    <row r="613" spans="5:15">
      <c r="E613" s="229">
        <f t="shared" si="101"/>
        <v>0</v>
      </c>
      <c r="G613" s="229">
        <f>IFERROR(ROUNDUP(F613*INVOICE!$O$6,2),0)</f>
        <v>0</v>
      </c>
      <c r="I613" s="229">
        <f>IFERROR(ROUNDUP(H613*INVOICE!$O$6,2),0)</f>
        <v>0</v>
      </c>
      <c r="L613" s="108" t="str">
        <f t="shared" si="102"/>
        <v/>
      </c>
      <c r="N613" s="108">
        <v>623</v>
      </c>
      <c r="O613" s="108" t="str">
        <f>IF(INVOICE!$N$16="MANUAL",IF(B613&lt;&gt;"",C613,""),IF(INVOICE!$N$16="AUTOMATE",IF(A613&lt;&gt;"",C613,""),""))</f>
        <v/>
      </c>
    </row>
    <row r="614" spans="5:15">
      <c r="E614" s="229">
        <f t="shared" si="101"/>
        <v>0</v>
      </c>
      <c r="G614" s="229">
        <f>IFERROR(ROUNDUP(F614*INVOICE!$O$6,2),0)</f>
        <v>0</v>
      </c>
      <c r="I614" s="229">
        <f>IFERROR(ROUNDUP(H614*INVOICE!$O$6,2),0)</f>
        <v>0</v>
      </c>
      <c r="L614" s="108" t="str">
        <f t="shared" si="102"/>
        <v/>
      </c>
      <c r="N614" s="108">
        <v>624</v>
      </c>
      <c r="O614" s="108" t="str">
        <f>IF(INVOICE!$N$16="MANUAL",IF(B614&lt;&gt;"",C614,""),IF(INVOICE!$N$16="AUTOMATE",IF(A614&lt;&gt;"",C614,""),""))</f>
        <v/>
      </c>
    </row>
    <row r="615" spans="5:15">
      <c r="E615" s="229">
        <f t="shared" si="101"/>
        <v>0</v>
      </c>
      <c r="G615" s="229">
        <f>IFERROR(ROUNDUP(F615*INVOICE!$O$6,2),0)</f>
        <v>0</v>
      </c>
      <c r="I615" s="229">
        <f>IFERROR(ROUNDUP(H615*INVOICE!$O$6,2),0)</f>
        <v>0</v>
      </c>
      <c r="L615" s="108" t="str">
        <f t="shared" si="102"/>
        <v/>
      </c>
      <c r="N615" s="108">
        <v>625</v>
      </c>
      <c r="O615" s="108" t="str">
        <f>IF(INVOICE!$N$16="MANUAL",IF(B615&lt;&gt;"",C615,""),IF(INVOICE!$N$16="AUTOMATE",IF(A615&lt;&gt;"",C615,""),""))</f>
        <v/>
      </c>
    </row>
    <row r="616" spans="5:15">
      <c r="E616" s="229">
        <f t="shared" si="101"/>
        <v>0</v>
      </c>
      <c r="G616" s="229">
        <f>IFERROR(ROUNDUP(F616*INVOICE!$O$6,2),0)</f>
        <v>0</v>
      </c>
      <c r="I616" s="229">
        <f>IFERROR(ROUNDUP(H616*INVOICE!$O$6,2),0)</f>
        <v>0</v>
      </c>
      <c r="L616" s="108" t="str">
        <f t="shared" si="102"/>
        <v/>
      </c>
      <c r="N616" s="108">
        <v>626</v>
      </c>
      <c r="O616" s="108" t="str">
        <f>IF(INVOICE!$N$16="MANUAL",IF(B616&lt;&gt;"",C616,""),IF(INVOICE!$N$16="AUTOMATE",IF(A616&lt;&gt;"",C616,""),""))</f>
        <v/>
      </c>
    </row>
    <row r="617" spans="5:15">
      <c r="E617" s="229">
        <f t="shared" si="101"/>
        <v>0</v>
      </c>
      <c r="G617" s="229">
        <f>IFERROR(ROUNDUP(F617*INVOICE!$O$6,2),0)</f>
        <v>0</v>
      </c>
      <c r="I617" s="229">
        <f>IFERROR(ROUNDUP(H617*INVOICE!$O$6,2),0)</f>
        <v>0</v>
      </c>
      <c r="L617" s="108" t="str">
        <f t="shared" si="102"/>
        <v/>
      </c>
      <c r="N617" s="108">
        <v>627</v>
      </c>
      <c r="O617" s="108" t="str">
        <f>IF(INVOICE!$N$16="MANUAL",IF(B617&lt;&gt;"",C617,""),IF(INVOICE!$N$16="AUTOMATE",IF(A617&lt;&gt;"",C617,""),""))</f>
        <v/>
      </c>
    </row>
    <row r="618" spans="5:15">
      <c r="E618" s="229">
        <f t="shared" si="101"/>
        <v>0</v>
      </c>
      <c r="G618" s="229">
        <f>IFERROR(ROUNDUP(F618*INVOICE!$O$6,2),0)</f>
        <v>0</v>
      </c>
      <c r="I618" s="229">
        <f>IFERROR(ROUNDUP(H618*INVOICE!$O$6,2),0)</f>
        <v>0</v>
      </c>
      <c r="L618" s="108" t="str">
        <f t="shared" si="102"/>
        <v/>
      </c>
      <c r="N618" s="108">
        <v>628</v>
      </c>
      <c r="O618" s="108" t="str">
        <f>IF(INVOICE!$N$16="MANUAL",IF(B618&lt;&gt;"",C618,""),IF(INVOICE!$N$16="AUTOMATE",IF(A618&lt;&gt;"",C618,""),""))</f>
        <v/>
      </c>
    </row>
    <row r="619" spans="5:15">
      <c r="E619" s="229">
        <f t="shared" si="101"/>
        <v>0</v>
      </c>
      <c r="G619" s="229">
        <f>IFERROR(ROUNDUP(F619*INVOICE!$O$6,2),0)</f>
        <v>0</v>
      </c>
      <c r="I619" s="229">
        <f>IFERROR(ROUNDUP(H619*INVOICE!$O$6,2),0)</f>
        <v>0</v>
      </c>
      <c r="L619" s="108" t="str">
        <f t="shared" si="102"/>
        <v/>
      </c>
      <c r="N619" s="108">
        <v>629</v>
      </c>
      <c r="O619" s="108" t="str">
        <f>IF(INVOICE!$N$16="MANUAL",IF(B619&lt;&gt;"",C619,""),IF(INVOICE!$N$16="AUTOMATE",IF(A619&lt;&gt;"",C619,""),""))</f>
        <v/>
      </c>
    </row>
    <row r="620" spans="5:15">
      <c r="E620" s="229">
        <f t="shared" si="101"/>
        <v>0</v>
      </c>
      <c r="G620" s="229">
        <f>IFERROR(ROUNDUP(F620*INVOICE!$O$6,2),0)</f>
        <v>0</v>
      </c>
      <c r="I620" s="229">
        <f>IFERROR(ROUNDUP(H620*INVOICE!$O$6,2),0)</f>
        <v>0</v>
      </c>
      <c r="L620" s="108" t="str">
        <f t="shared" si="102"/>
        <v/>
      </c>
      <c r="N620" s="108">
        <v>630</v>
      </c>
      <c r="O620" s="108" t="str">
        <f>IF(INVOICE!$N$16="MANUAL",IF(B620&lt;&gt;"",C620,""),IF(INVOICE!$N$16="AUTOMATE",IF(A620&lt;&gt;"",C620,""),""))</f>
        <v/>
      </c>
    </row>
    <row r="621" spans="5:15">
      <c r="E621" s="229">
        <f t="shared" si="101"/>
        <v>0</v>
      </c>
      <c r="G621" s="229">
        <f>IFERROR(ROUNDUP(F621*INVOICE!$O$6,2),0)</f>
        <v>0</v>
      </c>
      <c r="I621" s="229">
        <f>IFERROR(ROUNDUP(H621*INVOICE!$O$6,2),0)</f>
        <v>0</v>
      </c>
      <c r="L621" s="108" t="str">
        <f t="shared" si="102"/>
        <v/>
      </c>
      <c r="N621" s="108">
        <v>631</v>
      </c>
      <c r="O621" s="108" t="str">
        <f>IF(INVOICE!$N$16="MANUAL",IF(B621&lt;&gt;"",C621,""),IF(INVOICE!$N$16="AUTOMATE",IF(A621&lt;&gt;"",C621,""),""))</f>
        <v/>
      </c>
    </row>
    <row r="622" spans="5:15">
      <c r="E622" s="229">
        <f t="shared" si="101"/>
        <v>0</v>
      </c>
      <c r="G622" s="229">
        <f>IFERROR(ROUNDUP(F622*INVOICE!$O$6,2),0)</f>
        <v>0</v>
      </c>
      <c r="I622" s="229">
        <f>IFERROR(ROUNDUP(H622*INVOICE!$O$6,2),0)</f>
        <v>0</v>
      </c>
      <c r="L622" s="108" t="str">
        <f t="shared" ref="L622:L653" si="103">IF(H637&gt;F637,"lkkajdfkj","")</f>
        <v/>
      </c>
      <c r="N622" s="108">
        <v>632</v>
      </c>
      <c r="O622" s="108" t="str">
        <f>IF(INVOICE!$N$16="MANUAL",IF(B622&lt;&gt;"",C622,""),IF(INVOICE!$N$16="AUTOMATE",IF(A622&lt;&gt;"",C622,""),""))</f>
        <v/>
      </c>
    </row>
    <row r="623" spans="5:15">
      <c r="E623" s="229">
        <f t="shared" si="101"/>
        <v>0</v>
      </c>
      <c r="G623" s="229">
        <f>IFERROR(ROUNDUP(F623*INVOICE!$O$6,2),0)</f>
        <v>0</v>
      </c>
      <c r="I623" s="229">
        <f>IFERROR(ROUNDUP(H623*INVOICE!$O$6,2),0)</f>
        <v>0</v>
      </c>
      <c r="L623" s="108" t="str">
        <f t="shared" si="103"/>
        <v/>
      </c>
      <c r="N623" s="108">
        <v>633</v>
      </c>
      <c r="O623" s="108" t="str">
        <f>IF(INVOICE!$N$16="MANUAL",IF(B623&lt;&gt;"",C623,""),IF(INVOICE!$N$16="AUTOMATE",IF(A623&lt;&gt;"",C623,""),""))</f>
        <v/>
      </c>
    </row>
    <row r="624" spans="5:15">
      <c r="E624" s="229">
        <f t="shared" ref="E624:E683" si="104">H624/1.219</f>
        <v>0</v>
      </c>
      <c r="G624" s="229">
        <f>IFERROR(ROUNDUP(F624*INVOICE!$O$6,2),0)</f>
        <v>0</v>
      </c>
      <c r="I624" s="229">
        <f>IFERROR(ROUNDUP(H624*INVOICE!$O$6,2),0)</f>
        <v>0</v>
      </c>
      <c r="L624" s="108" t="str">
        <f t="shared" si="103"/>
        <v/>
      </c>
      <c r="N624" s="108">
        <v>634</v>
      </c>
      <c r="O624" s="108" t="str">
        <f>IF(INVOICE!$N$16="MANUAL",IF(B624&lt;&gt;"",C624,""),IF(INVOICE!$N$16="AUTOMATE",IF(A624&lt;&gt;"",C624,""),""))</f>
        <v/>
      </c>
    </row>
    <row r="625" spans="5:15">
      <c r="E625" s="229">
        <f t="shared" si="104"/>
        <v>0</v>
      </c>
      <c r="G625" s="229">
        <f>IFERROR(ROUNDUP(F625*INVOICE!$O$6,2),0)</f>
        <v>0</v>
      </c>
      <c r="I625" s="229">
        <f>IFERROR(ROUNDUP(H625*INVOICE!$O$6,2),0)</f>
        <v>0</v>
      </c>
      <c r="L625" s="108" t="str">
        <f t="shared" si="103"/>
        <v/>
      </c>
      <c r="N625" s="108">
        <v>635</v>
      </c>
      <c r="O625" s="108" t="str">
        <f>IF(INVOICE!$N$16="MANUAL",IF(B625&lt;&gt;"",C625,""),IF(INVOICE!$N$16="AUTOMATE",IF(A625&lt;&gt;"",C625,""),""))</f>
        <v/>
      </c>
    </row>
    <row r="626" spans="5:15">
      <c r="E626" s="229">
        <f t="shared" si="104"/>
        <v>0</v>
      </c>
      <c r="G626" s="229">
        <f>IFERROR(ROUNDUP(F626*INVOICE!$O$6,2),0)</f>
        <v>0</v>
      </c>
      <c r="I626" s="229">
        <f>IFERROR(ROUNDUP(H626*INVOICE!$O$6,2),0)</f>
        <v>0</v>
      </c>
      <c r="L626" s="108" t="str">
        <f t="shared" si="103"/>
        <v/>
      </c>
      <c r="N626" s="108">
        <v>636</v>
      </c>
      <c r="O626" s="108" t="str">
        <f>IF(INVOICE!$N$16="MANUAL",IF(B626&lt;&gt;"",C626,""),IF(INVOICE!$N$16="AUTOMATE",IF(A626&lt;&gt;"",C626,""),""))</f>
        <v/>
      </c>
    </row>
    <row r="627" spans="5:15">
      <c r="E627" s="229">
        <f t="shared" si="104"/>
        <v>0</v>
      </c>
      <c r="G627" s="229">
        <f>IFERROR(ROUNDUP(F627*INVOICE!$O$6,2),0)</f>
        <v>0</v>
      </c>
      <c r="I627" s="229">
        <f>IFERROR(ROUNDUP(H627*INVOICE!$O$6,2),0)</f>
        <v>0</v>
      </c>
      <c r="L627" s="108" t="str">
        <f t="shared" si="103"/>
        <v/>
      </c>
      <c r="N627" s="108">
        <v>637</v>
      </c>
      <c r="O627" s="108" t="str">
        <f>IF(INVOICE!$N$16="MANUAL",IF(B627&lt;&gt;"",C627,""),IF(INVOICE!$N$16="AUTOMATE",IF(A627&lt;&gt;"",C627,""),""))</f>
        <v/>
      </c>
    </row>
    <row r="628" spans="5:15">
      <c r="E628" s="229">
        <f t="shared" si="104"/>
        <v>0</v>
      </c>
      <c r="G628" s="229">
        <f>IFERROR(ROUNDUP(F628*INVOICE!$O$6,2),0)</f>
        <v>0</v>
      </c>
      <c r="I628" s="229">
        <f>IFERROR(ROUNDUP(H628*INVOICE!$O$6,2),0)</f>
        <v>0</v>
      </c>
      <c r="L628" s="108" t="str">
        <f t="shared" si="103"/>
        <v/>
      </c>
      <c r="N628" s="108">
        <v>638</v>
      </c>
      <c r="O628" s="108" t="str">
        <f>IF(INVOICE!$N$16="MANUAL",IF(B628&lt;&gt;"",C628,""),IF(INVOICE!$N$16="AUTOMATE",IF(A628&lt;&gt;"",C628,""),""))</f>
        <v/>
      </c>
    </row>
    <row r="629" spans="5:15">
      <c r="E629" s="229">
        <f t="shared" si="104"/>
        <v>0</v>
      </c>
      <c r="G629" s="229">
        <f>IFERROR(ROUNDUP(F629*INVOICE!$O$6,2),0)</f>
        <v>0</v>
      </c>
      <c r="I629" s="229">
        <f>IFERROR(ROUNDUP(H629*INVOICE!$O$6,2),0)</f>
        <v>0</v>
      </c>
      <c r="L629" s="108" t="str">
        <f t="shared" si="103"/>
        <v/>
      </c>
      <c r="N629" s="108">
        <v>639</v>
      </c>
      <c r="O629" s="108" t="str">
        <f>IF(INVOICE!$N$16="MANUAL",IF(B629&lt;&gt;"",C629,""),IF(INVOICE!$N$16="AUTOMATE",IF(A629&lt;&gt;"",C629,""),""))</f>
        <v/>
      </c>
    </row>
    <row r="630" spans="5:15">
      <c r="E630" s="229">
        <f t="shared" si="104"/>
        <v>0</v>
      </c>
      <c r="G630" s="229">
        <f>IFERROR(ROUNDUP(F630*INVOICE!$O$6,2),0)</f>
        <v>0</v>
      </c>
      <c r="I630" s="229">
        <f>IFERROR(ROUNDUP(H630*INVOICE!$O$6,2),0)</f>
        <v>0</v>
      </c>
      <c r="L630" s="108" t="str">
        <f t="shared" si="103"/>
        <v/>
      </c>
      <c r="N630" s="108">
        <v>640</v>
      </c>
      <c r="O630" s="108" t="str">
        <f>IF(INVOICE!$N$16="MANUAL",IF(B630&lt;&gt;"",C630,""),IF(INVOICE!$N$16="AUTOMATE",IF(A630&lt;&gt;"",C630,""),""))</f>
        <v/>
      </c>
    </row>
    <row r="631" spans="5:15">
      <c r="E631" s="229">
        <f t="shared" si="104"/>
        <v>0</v>
      </c>
      <c r="G631" s="229">
        <f>IFERROR(ROUNDUP(F631*INVOICE!$O$6,2),0)</f>
        <v>0</v>
      </c>
      <c r="I631" s="229">
        <f>IFERROR(ROUNDUP(H631*INVOICE!$O$6,2),0)</f>
        <v>0</v>
      </c>
      <c r="L631" s="108" t="str">
        <f t="shared" si="103"/>
        <v/>
      </c>
      <c r="N631" s="108">
        <v>641</v>
      </c>
      <c r="O631" s="108" t="str">
        <f>IF(INVOICE!$N$16="MANUAL",IF(B631&lt;&gt;"",C631,""),IF(INVOICE!$N$16="AUTOMATE",IF(A631&lt;&gt;"",C631,""),""))</f>
        <v/>
      </c>
    </row>
    <row r="632" spans="5:15">
      <c r="E632" s="229">
        <f t="shared" si="104"/>
        <v>0</v>
      </c>
      <c r="G632" s="229">
        <f>IFERROR(ROUNDUP(F632*INVOICE!$O$6,2),0)</f>
        <v>0</v>
      </c>
      <c r="I632" s="229"/>
      <c r="L632" s="108" t="str">
        <f t="shared" si="103"/>
        <v/>
      </c>
      <c r="N632" s="108">
        <v>642</v>
      </c>
      <c r="O632" s="108" t="str">
        <f>IF(INVOICE!$N$16="MANUAL",IF(B632&lt;&gt;"",C632,""),IF(INVOICE!$N$16="AUTOMATE",IF(A632&lt;&gt;"",C632,""),""))</f>
        <v/>
      </c>
    </row>
    <row r="633" spans="5:15">
      <c r="E633" s="229">
        <f t="shared" si="104"/>
        <v>0</v>
      </c>
      <c r="G633" s="229">
        <f>IFERROR(ROUNDUP(F633*INVOICE!$O$6,2),0)</f>
        <v>0</v>
      </c>
      <c r="L633" s="108" t="str">
        <f t="shared" si="103"/>
        <v/>
      </c>
      <c r="N633" s="108">
        <v>643</v>
      </c>
      <c r="O633" s="108" t="str">
        <f>IF(INVOICE!$N$16="MANUAL",IF(B633&lt;&gt;"",C633,""),IF(INVOICE!$N$16="AUTOMATE",IF(A633&lt;&gt;"",C633,""),""))</f>
        <v/>
      </c>
    </row>
    <row r="634" spans="5:15">
      <c r="E634" s="229">
        <f t="shared" si="104"/>
        <v>0</v>
      </c>
      <c r="G634" s="229">
        <f>IFERROR(ROUNDUP(F634*INVOICE!$O$6,2),0)</f>
        <v>0</v>
      </c>
      <c r="L634" s="108" t="str">
        <f t="shared" si="103"/>
        <v/>
      </c>
      <c r="N634" s="108">
        <v>644</v>
      </c>
      <c r="O634" s="108" t="str">
        <f>IF(INVOICE!$N$16="MANUAL",IF(B634&lt;&gt;"",C634,""),IF(INVOICE!$N$16="AUTOMATE",IF(A634&lt;&gt;"",C634,""),""))</f>
        <v/>
      </c>
    </row>
    <row r="635" spans="5:15">
      <c r="E635" s="229">
        <f t="shared" si="104"/>
        <v>0</v>
      </c>
      <c r="G635" s="229">
        <f>IFERROR(ROUNDUP(F635*INVOICE!$O$6,2),0)</f>
        <v>0</v>
      </c>
      <c r="L635" s="108" t="str">
        <f t="shared" si="103"/>
        <v/>
      </c>
      <c r="N635" s="108">
        <v>645</v>
      </c>
      <c r="O635" s="108" t="str">
        <f>IF(INVOICE!$N$16="MANUAL",IF(B635&lt;&gt;"",C635,""),IF(INVOICE!$N$16="AUTOMATE",IF(A635&lt;&gt;"",C635,""),""))</f>
        <v/>
      </c>
    </row>
    <row r="636" spans="5:15">
      <c r="E636" s="229">
        <f t="shared" si="104"/>
        <v>0</v>
      </c>
      <c r="G636" s="229">
        <f>IFERROR(ROUNDUP(F636*INVOICE!$O$6,2),0)</f>
        <v>0</v>
      </c>
      <c r="L636" s="108" t="str">
        <f t="shared" si="103"/>
        <v/>
      </c>
      <c r="N636" s="108">
        <v>646</v>
      </c>
      <c r="O636" s="108" t="str">
        <f>IF(INVOICE!$N$16="MANUAL",IF(B636&lt;&gt;"",C636,""),IF(INVOICE!$N$16="AUTOMATE",IF(A636&lt;&gt;"",C636,""),""))</f>
        <v/>
      </c>
    </row>
    <row r="637" spans="5:15">
      <c r="E637" s="229">
        <f t="shared" si="104"/>
        <v>0</v>
      </c>
      <c r="G637" s="229">
        <f>IFERROR(ROUNDUP(F637*INVOICE!$O$6,2),0)</f>
        <v>0</v>
      </c>
      <c r="L637" s="108" t="str">
        <f t="shared" si="103"/>
        <v/>
      </c>
      <c r="N637" s="108">
        <v>647</v>
      </c>
      <c r="O637" s="108" t="str">
        <f>IF(INVOICE!$N$16="MANUAL",IF(B637&lt;&gt;"",C637,""),IF(INVOICE!$N$16="AUTOMATE",IF(A637&lt;&gt;"",C637,""),""))</f>
        <v/>
      </c>
    </row>
    <row r="638" spans="5:15">
      <c r="E638" s="229">
        <f t="shared" si="104"/>
        <v>0</v>
      </c>
      <c r="G638" s="229">
        <f>IFERROR(ROUNDUP(F638*INVOICE!$O$6,2),0)</f>
        <v>0</v>
      </c>
      <c r="L638" s="108" t="str">
        <f t="shared" si="103"/>
        <v/>
      </c>
      <c r="N638" s="108">
        <v>648</v>
      </c>
      <c r="O638" s="108" t="str">
        <f>IF(INVOICE!$N$16="MANUAL",IF(B638&lt;&gt;"",C638,""),IF(INVOICE!$N$16="AUTOMATE",IF(A638&lt;&gt;"",C638,""),""))</f>
        <v/>
      </c>
    </row>
    <row r="639" spans="5:15">
      <c r="E639" s="229">
        <f t="shared" si="104"/>
        <v>0</v>
      </c>
      <c r="G639" s="229">
        <f>IFERROR(ROUNDUP(F639*INVOICE!$O$6,2),0)</f>
        <v>0</v>
      </c>
      <c r="L639" s="108" t="str">
        <f t="shared" si="103"/>
        <v/>
      </c>
      <c r="N639" s="108">
        <v>649</v>
      </c>
      <c r="O639" s="108" t="str">
        <f>IF(INVOICE!$N$16="MANUAL",IF(B639&lt;&gt;"",C639,""),IF(INVOICE!$N$16="AUTOMATE",IF(A639&lt;&gt;"",C639,""),""))</f>
        <v/>
      </c>
    </row>
    <row r="640" spans="5:15">
      <c r="E640" s="229">
        <f t="shared" si="104"/>
        <v>0</v>
      </c>
      <c r="G640" s="229">
        <f>IFERROR(ROUNDUP(F640*INVOICE!$O$6,2),0)</f>
        <v>0</v>
      </c>
      <c r="L640" s="108" t="str">
        <f t="shared" si="103"/>
        <v/>
      </c>
      <c r="N640" s="108">
        <v>650</v>
      </c>
      <c r="O640" s="108" t="str">
        <f>IF(INVOICE!$N$16="MANUAL",IF(B640&lt;&gt;"",C640,""),IF(INVOICE!$N$16="AUTOMATE",IF(A640&lt;&gt;"",C640,""),""))</f>
        <v/>
      </c>
    </row>
    <row r="641" spans="5:15">
      <c r="E641" s="229">
        <f t="shared" si="104"/>
        <v>0</v>
      </c>
      <c r="G641" s="229">
        <f>IFERROR(ROUNDUP(F641*INVOICE!$O$6,2),0)</f>
        <v>0</v>
      </c>
      <c r="L641" s="108" t="str">
        <f t="shared" si="103"/>
        <v/>
      </c>
      <c r="N641" s="108">
        <v>651</v>
      </c>
      <c r="O641" s="108" t="str">
        <f>IF(INVOICE!$N$16="MANUAL",IF(B641&lt;&gt;"",C641,""),IF(INVOICE!$N$16="AUTOMATE",IF(A641&lt;&gt;"",C641,""),""))</f>
        <v/>
      </c>
    </row>
    <row r="642" spans="5:15">
      <c r="E642" s="229">
        <f t="shared" si="104"/>
        <v>0</v>
      </c>
      <c r="G642" s="229">
        <f>IFERROR(ROUNDUP(F642*INVOICE!$O$6,2),0)</f>
        <v>0</v>
      </c>
      <c r="L642" s="108" t="str">
        <f t="shared" si="103"/>
        <v/>
      </c>
      <c r="N642" s="108">
        <v>652</v>
      </c>
      <c r="O642" s="108" t="str">
        <f>IF(INVOICE!$N$16="MANUAL",IF(B642&lt;&gt;"",C642,""),IF(INVOICE!$N$16="AUTOMATE",IF(A642&lt;&gt;"",C642,""),""))</f>
        <v/>
      </c>
    </row>
    <row r="643" spans="5:15">
      <c r="E643" s="229">
        <f t="shared" si="104"/>
        <v>0</v>
      </c>
      <c r="G643" s="229">
        <f>IFERROR(ROUNDUP(F643*INVOICE!$O$6,2),0)</f>
        <v>0</v>
      </c>
      <c r="L643" s="108" t="str">
        <f t="shared" si="103"/>
        <v/>
      </c>
      <c r="N643" s="108">
        <v>653</v>
      </c>
      <c r="O643" s="108" t="str">
        <f>IF(INVOICE!$N$16="MANUAL",IF(B643&lt;&gt;"",C643,""),IF(INVOICE!$N$16="AUTOMATE",IF(A643&lt;&gt;"",C643,""),""))</f>
        <v/>
      </c>
    </row>
    <row r="644" spans="5:15">
      <c r="E644" s="229">
        <f t="shared" si="104"/>
        <v>0</v>
      </c>
      <c r="G644" s="229">
        <f>IFERROR(ROUNDUP(F644*INVOICE!$O$6,2),0)</f>
        <v>0</v>
      </c>
      <c r="L644" s="108" t="str">
        <f t="shared" si="103"/>
        <v/>
      </c>
      <c r="N644" s="108">
        <v>654</v>
      </c>
      <c r="O644" s="108" t="str">
        <f>IF(INVOICE!$N$16="MANUAL",IF(B644&lt;&gt;"",C644,""),IF(INVOICE!$N$16="AUTOMATE",IF(A644&lt;&gt;"",C644,""),""))</f>
        <v/>
      </c>
    </row>
    <row r="645" spans="5:15">
      <c r="E645" s="229">
        <f t="shared" si="104"/>
        <v>0</v>
      </c>
      <c r="G645" s="229">
        <f>IFERROR(ROUNDUP(F645*INVOICE!$O$6,2),0)</f>
        <v>0</v>
      </c>
      <c r="L645" s="108" t="str">
        <f t="shared" si="103"/>
        <v/>
      </c>
      <c r="N645" s="108">
        <v>655</v>
      </c>
      <c r="O645" s="108" t="str">
        <f>IF(INVOICE!$N$16="MANUAL",IF(B645&lt;&gt;"",C645,""),IF(INVOICE!$N$16="AUTOMATE",IF(A645&lt;&gt;"",C645,""),""))</f>
        <v/>
      </c>
    </row>
    <row r="646" spans="5:15">
      <c r="E646" s="229">
        <f t="shared" si="104"/>
        <v>0</v>
      </c>
      <c r="G646" s="229">
        <f>IFERROR(ROUNDUP(F646*INVOICE!$O$6,2),0)</f>
        <v>0</v>
      </c>
      <c r="L646" s="108" t="str">
        <f t="shared" si="103"/>
        <v/>
      </c>
      <c r="N646" s="108">
        <v>656</v>
      </c>
      <c r="O646" s="108" t="str">
        <f>IF(INVOICE!$N$16="MANUAL",IF(B646&lt;&gt;"",C646,""),IF(INVOICE!$N$16="AUTOMATE",IF(A646&lt;&gt;"",C646,""),""))</f>
        <v/>
      </c>
    </row>
    <row r="647" spans="5:15">
      <c r="E647" s="229">
        <f t="shared" si="104"/>
        <v>0</v>
      </c>
      <c r="G647" s="229">
        <f>IFERROR(ROUNDUP(F647*INVOICE!$O$6,2),0)</f>
        <v>0</v>
      </c>
      <c r="L647" s="108" t="str">
        <f t="shared" si="103"/>
        <v/>
      </c>
      <c r="N647" s="108">
        <v>657</v>
      </c>
      <c r="O647" s="108" t="str">
        <f>IF(INVOICE!$N$16="MANUAL",IF(B647&lt;&gt;"",C647,""),IF(INVOICE!$N$16="AUTOMATE",IF(A647&lt;&gt;"",C647,""),""))</f>
        <v/>
      </c>
    </row>
    <row r="648" spans="5:15">
      <c r="E648" s="229">
        <f t="shared" si="104"/>
        <v>0</v>
      </c>
      <c r="G648" s="229">
        <f>IFERROR(ROUNDUP(F648*INVOICE!$O$6,2),0)</f>
        <v>0</v>
      </c>
      <c r="L648" s="108" t="str">
        <f t="shared" si="103"/>
        <v/>
      </c>
      <c r="N648" s="108">
        <v>658</v>
      </c>
      <c r="O648" s="108" t="str">
        <f>IF(INVOICE!$N$16="MANUAL",IF(B648&lt;&gt;"",C648,""),IF(INVOICE!$N$16="AUTOMATE",IF(A648&lt;&gt;"",C648,""),""))</f>
        <v/>
      </c>
    </row>
    <row r="649" spans="5:15">
      <c r="E649" s="229">
        <f t="shared" si="104"/>
        <v>0</v>
      </c>
      <c r="G649" s="229">
        <f>IFERROR(ROUNDUP(F649*INVOICE!$O$6,2),0)</f>
        <v>0</v>
      </c>
      <c r="L649" s="108" t="str">
        <f t="shared" si="103"/>
        <v/>
      </c>
      <c r="N649" s="108">
        <v>659</v>
      </c>
      <c r="O649" s="108" t="str">
        <f>IF(INVOICE!$N$16="MANUAL",IF(B649&lt;&gt;"",C649,""),IF(INVOICE!$N$16="AUTOMATE",IF(A649&lt;&gt;"",C649,""),""))</f>
        <v/>
      </c>
    </row>
    <row r="650" spans="5:15">
      <c r="E650" s="229">
        <f t="shared" si="104"/>
        <v>0</v>
      </c>
      <c r="G650" s="229">
        <f>IFERROR(ROUNDUP(F650*INVOICE!$O$6,2),0)</f>
        <v>0</v>
      </c>
      <c r="L650" s="108" t="str">
        <f t="shared" si="103"/>
        <v/>
      </c>
      <c r="N650" s="108">
        <v>660</v>
      </c>
      <c r="O650" s="108" t="str">
        <f>IF(INVOICE!$N$16="MANUAL",IF(B650&lt;&gt;"",C650,""),IF(INVOICE!$N$16="AUTOMATE",IF(A650&lt;&gt;"",C650,""),""))</f>
        <v/>
      </c>
    </row>
    <row r="651" spans="5:15">
      <c r="E651" s="229">
        <f t="shared" si="104"/>
        <v>0</v>
      </c>
      <c r="G651" s="229">
        <f>IFERROR(ROUNDUP(F651*INVOICE!$O$6,2),0)</f>
        <v>0</v>
      </c>
      <c r="L651" s="108" t="str">
        <f t="shared" si="103"/>
        <v/>
      </c>
      <c r="N651" s="108">
        <v>661</v>
      </c>
      <c r="O651" s="108" t="str">
        <f>IF(INVOICE!$N$16="MANUAL",IF(B651&lt;&gt;"",C651,""),IF(INVOICE!$N$16="AUTOMATE",IF(A651&lt;&gt;"",C651,""),""))</f>
        <v/>
      </c>
    </row>
    <row r="652" spans="5:15">
      <c r="E652" s="229">
        <f t="shared" si="104"/>
        <v>0</v>
      </c>
      <c r="G652" s="229">
        <f>IFERROR(ROUNDUP(F652*INVOICE!$O$6,2),0)</f>
        <v>0</v>
      </c>
      <c r="L652" s="108" t="str">
        <f t="shared" si="103"/>
        <v/>
      </c>
      <c r="N652" s="108">
        <v>662</v>
      </c>
      <c r="O652" s="108" t="str">
        <f>IF(INVOICE!$N$16="MANUAL",IF(B652&lt;&gt;"",C652,""),IF(INVOICE!$N$16="AUTOMATE",IF(A652&lt;&gt;"",C652,""),""))</f>
        <v/>
      </c>
    </row>
    <row r="653" spans="5:15">
      <c r="E653" s="229">
        <f t="shared" si="104"/>
        <v>0</v>
      </c>
      <c r="G653" s="229">
        <f>IFERROR(ROUNDUP(F653*INVOICE!$O$6,2),0)</f>
        <v>0</v>
      </c>
      <c r="L653" s="108" t="str">
        <f t="shared" si="103"/>
        <v/>
      </c>
      <c r="N653" s="108">
        <v>663</v>
      </c>
      <c r="O653" s="108" t="str">
        <f>IF(INVOICE!$N$16="MANUAL",IF(B653&lt;&gt;"",C653,""),IF(INVOICE!$N$16="AUTOMATE",IF(A653&lt;&gt;"",C653,""),""))</f>
        <v/>
      </c>
    </row>
    <row r="654" spans="5:15">
      <c r="E654" s="229">
        <f t="shared" si="104"/>
        <v>0</v>
      </c>
      <c r="G654" s="229">
        <f>IFERROR(ROUNDUP(F654*INVOICE!$O$6,2),0)</f>
        <v>0</v>
      </c>
      <c r="L654" s="108" t="str">
        <f t="shared" ref="L654:L685" si="105">IF(H669&gt;F669,"lkkajdfkj","")</f>
        <v/>
      </c>
      <c r="N654" s="108">
        <v>664</v>
      </c>
      <c r="O654" s="108" t="str">
        <f>IF(INVOICE!$N$16="MANUAL",IF(B654&lt;&gt;"",C654,""),IF(INVOICE!$N$16="AUTOMATE",IF(A654&lt;&gt;"",C654,""),""))</f>
        <v/>
      </c>
    </row>
    <row r="655" spans="5:15">
      <c r="E655" s="229">
        <f t="shared" si="104"/>
        <v>0</v>
      </c>
      <c r="G655" s="229">
        <f>IFERROR(ROUNDUP(F655*INVOICE!$O$6,2),0)</f>
        <v>0</v>
      </c>
      <c r="L655" s="108" t="str">
        <f t="shared" si="105"/>
        <v/>
      </c>
      <c r="N655" s="108">
        <v>665</v>
      </c>
      <c r="O655" s="108" t="str">
        <f>IF(INVOICE!$N$16="MANUAL",IF(B655&lt;&gt;"",C655,""),IF(INVOICE!$N$16="AUTOMATE",IF(A655&lt;&gt;"",C655,""),""))</f>
        <v/>
      </c>
    </row>
    <row r="656" spans="5:15">
      <c r="E656" s="229">
        <f t="shared" si="104"/>
        <v>0</v>
      </c>
      <c r="G656" s="229">
        <f>IFERROR(ROUNDUP(F656*INVOICE!$O$6,2),0)</f>
        <v>0</v>
      </c>
      <c r="L656" s="108" t="str">
        <f t="shared" si="105"/>
        <v/>
      </c>
      <c r="N656" s="108">
        <v>666</v>
      </c>
      <c r="O656" s="108" t="str">
        <f>IF(INVOICE!$N$16="MANUAL",IF(B656&lt;&gt;"",C656,""),IF(INVOICE!$N$16="AUTOMATE",IF(A656&lt;&gt;"",C656,""),""))</f>
        <v/>
      </c>
    </row>
    <row r="657" spans="5:15">
      <c r="E657" s="229">
        <f t="shared" si="104"/>
        <v>0</v>
      </c>
      <c r="G657" s="229">
        <f>IFERROR(ROUNDUP(F657*INVOICE!$O$6,2),0)</f>
        <v>0</v>
      </c>
      <c r="L657" s="108" t="str">
        <f t="shared" si="105"/>
        <v/>
      </c>
      <c r="N657" s="108">
        <v>667</v>
      </c>
      <c r="O657" s="108" t="str">
        <f>IF(INVOICE!$N$16="MANUAL",IF(B657&lt;&gt;"",C657,""),IF(INVOICE!$N$16="AUTOMATE",IF(A657&lt;&gt;"",C657,""),""))</f>
        <v/>
      </c>
    </row>
    <row r="658" spans="5:15">
      <c r="E658" s="229">
        <f t="shared" si="104"/>
        <v>0</v>
      </c>
      <c r="G658" s="229">
        <f>IFERROR(ROUNDUP(F658*INVOICE!$O$6,2),0)</f>
        <v>0</v>
      </c>
      <c r="L658" s="108" t="str">
        <f t="shared" si="105"/>
        <v/>
      </c>
      <c r="N658" s="108">
        <v>668</v>
      </c>
      <c r="O658" s="108" t="str">
        <f>IF(INVOICE!$N$16="MANUAL",IF(B658&lt;&gt;"",C658,""),IF(INVOICE!$N$16="AUTOMATE",IF(A658&lt;&gt;"",C658,""),""))</f>
        <v/>
      </c>
    </row>
    <row r="659" spans="5:15">
      <c r="E659" s="229">
        <f t="shared" si="104"/>
        <v>0</v>
      </c>
      <c r="G659" s="229">
        <f>IFERROR(ROUNDUP(F659*INVOICE!$O$6,2),0)</f>
        <v>0</v>
      </c>
      <c r="L659" s="108" t="str">
        <f t="shared" si="105"/>
        <v/>
      </c>
      <c r="N659" s="108">
        <v>669</v>
      </c>
      <c r="O659" s="108" t="str">
        <f>IF(INVOICE!$N$16="MANUAL",IF(B659&lt;&gt;"",C659,""),IF(INVOICE!$N$16="AUTOMATE",IF(A659&lt;&gt;"",C659,""),""))</f>
        <v/>
      </c>
    </row>
    <row r="660" spans="5:15">
      <c r="E660" s="229">
        <f t="shared" si="104"/>
        <v>0</v>
      </c>
      <c r="G660" s="229">
        <f>IFERROR(ROUNDUP(F660*INVOICE!$O$6,2),0)</f>
        <v>0</v>
      </c>
      <c r="L660" s="108" t="str">
        <f t="shared" si="105"/>
        <v/>
      </c>
      <c r="N660" s="108">
        <v>670</v>
      </c>
      <c r="O660" s="108" t="str">
        <f>IF(INVOICE!$N$16="MANUAL",IF(B660&lt;&gt;"",C660,""),IF(INVOICE!$N$16="AUTOMATE",IF(A660&lt;&gt;"",C660,""),""))</f>
        <v/>
      </c>
    </row>
    <row r="661" spans="5:15">
      <c r="E661" s="229">
        <f t="shared" si="104"/>
        <v>0</v>
      </c>
      <c r="G661" s="229">
        <f>IFERROR(ROUNDUP(F661*INVOICE!$O$6,2),0)</f>
        <v>0</v>
      </c>
      <c r="L661" s="108" t="str">
        <f t="shared" si="105"/>
        <v/>
      </c>
      <c r="N661" s="108">
        <v>671</v>
      </c>
      <c r="O661" s="108" t="str">
        <f>IF(INVOICE!$N$16="MANUAL",IF(B661&lt;&gt;"",C661,""),IF(INVOICE!$N$16="AUTOMATE",IF(A661&lt;&gt;"",C661,""),""))</f>
        <v/>
      </c>
    </row>
    <row r="662" spans="5:15">
      <c r="E662" s="229">
        <f t="shared" si="104"/>
        <v>0</v>
      </c>
      <c r="G662" s="229">
        <f>IFERROR(ROUNDUP(F662*INVOICE!$O$6,2),0)</f>
        <v>0</v>
      </c>
      <c r="L662" s="108" t="str">
        <f t="shared" si="105"/>
        <v/>
      </c>
      <c r="N662" s="108">
        <v>672</v>
      </c>
      <c r="O662" s="108" t="str">
        <f>IF(INVOICE!$N$16="MANUAL",IF(B662&lt;&gt;"",C662,""),IF(INVOICE!$N$16="AUTOMATE",IF(A662&lt;&gt;"",C662,""),""))</f>
        <v/>
      </c>
    </row>
    <row r="663" spans="5:15">
      <c r="E663" s="229">
        <f t="shared" si="104"/>
        <v>0</v>
      </c>
      <c r="G663" s="229">
        <f>IFERROR(ROUNDUP(F663*INVOICE!$O$6,2),0)</f>
        <v>0</v>
      </c>
      <c r="L663" s="108" t="str">
        <f t="shared" si="105"/>
        <v/>
      </c>
      <c r="N663" s="108">
        <v>673</v>
      </c>
      <c r="O663" s="108" t="str">
        <f>IF(INVOICE!$N$16="MANUAL",IF(B663&lt;&gt;"",C663,""),IF(INVOICE!$N$16="AUTOMATE",IF(A663&lt;&gt;"",C663,""),""))</f>
        <v/>
      </c>
    </row>
    <row r="664" spans="5:15">
      <c r="E664" s="229">
        <f t="shared" si="104"/>
        <v>0</v>
      </c>
      <c r="G664" s="229">
        <f>IFERROR(ROUNDUP(F664*INVOICE!$O$6,2),0)</f>
        <v>0</v>
      </c>
      <c r="L664" s="108" t="str">
        <f t="shared" si="105"/>
        <v/>
      </c>
      <c r="N664" s="108">
        <v>674</v>
      </c>
      <c r="O664" s="108" t="str">
        <f>IF(INVOICE!$N$16="MANUAL",IF(B664&lt;&gt;"",C664,""),IF(INVOICE!$N$16="AUTOMATE",IF(A664&lt;&gt;"",C664,""),""))</f>
        <v/>
      </c>
    </row>
    <row r="665" spans="5:15">
      <c r="E665" s="229">
        <f t="shared" si="104"/>
        <v>0</v>
      </c>
      <c r="G665" s="229">
        <f>IFERROR(ROUNDUP(F665*INVOICE!$O$6,2),0)</f>
        <v>0</v>
      </c>
      <c r="L665" s="108" t="str">
        <f t="shared" si="105"/>
        <v/>
      </c>
      <c r="N665" s="108">
        <v>675</v>
      </c>
      <c r="O665" s="108" t="str">
        <f>IF(INVOICE!$N$16="MANUAL",IF(B665&lt;&gt;"",C665,""),IF(INVOICE!$N$16="AUTOMATE",IF(A665&lt;&gt;"",C665,""),""))</f>
        <v/>
      </c>
    </row>
    <row r="666" spans="5:15">
      <c r="E666" s="229">
        <f t="shared" si="104"/>
        <v>0</v>
      </c>
      <c r="G666" s="229">
        <f>IFERROR(ROUNDUP(F666*INVOICE!$O$6,2),0)</f>
        <v>0</v>
      </c>
      <c r="L666" s="108" t="str">
        <f t="shared" si="105"/>
        <v/>
      </c>
      <c r="N666" s="108">
        <v>676</v>
      </c>
      <c r="O666" s="108" t="str">
        <f>IF(INVOICE!$N$16="MANUAL",IF(B666&lt;&gt;"",C666,""),IF(INVOICE!$N$16="AUTOMATE",IF(A666&lt;&gt;"",C666,""),""))</f>
        <v/>
      </c>
    </row>
    <row r="667" spans="5:15">
      <c r="E667" s="229">
        <f t="shared" si="104"/>
        <v>0</v>
      </c>
      <c r="G667" s="229">
        <f>IFERROR(ROUNDUP(F667*INVOICE!$O$6,2),0)</f>
        <v>0</v>
      </c>
      <c r="L667" s="108" t="str">
        <f t="shared" si="105"/>
        <v/>
      </c>
      <c r="N667" s="108">
        <v>677</v>
      </c>
      <c r="O667" s="108" t="str">
        <f>IF(INVOICE!$N$16="MANUAL",IF(B667&lt;&gt;"",C667,""),IF(INVOICE!$N$16="AUTOMATE",IF(A667&lt;&gt;"",C667,""),""))</f>
        <v/>
      </c>
    </row>
    <row r="668" spans="5:15">
      <c r="E668" s="229">
        <f t="shared" si="104"/>
        <v>0</v>
      </c>
      <c r="G668" s="229">
        <f>IFERROR(ROUNDUP(F668*INVOICE!$O$6,2),0)</f>
        <v>0</v>
      </c>
      <c r="L668" s="108" t="str">
        <f t="shared" si="105"/>
        <v/>
      </c>
      <c r="N668" s="108">
        <v>678</v>
      </c>
      <c r="O668" s="108" t="str">
        <f>IF(INVOICE!$N$16="MANUAL",IF(B668&lt;&gt;"",C668,""),IF(INVOICE!$N$16="AUTOMATE",IF(A668&lt;&gt;"",C668,""),""))</f>
        <v/>
      </c>
    </row>
    <row r="669" spans="5:15">
      <c r="E669" s="229">
        <f t="shared" si="104"/>
        <v>0</v>
      </c>
      <c r="G669" s="229">
        <f>IFERROR(ROUNDUP(F669*INVOICE!$O$6,2),0)</f>
        <v>0</v>
      </c>
      <c r="L669" s="108" t="str">
        <f t="shared" si="105"/>
        <v/>
      </c>
      <c r="N669" s="108">
        <v>679</v>
      </c>
      <c r="O669" s="108" t="str">
        <f>IF(INVOICE!$N$16="MANUAL",IF(B669&lt;&gt;"",C669,""),IF(INVOICE!$N$16="AUTOMATE",IF(A669&lt;&gt;"",C669,""),""))</f>
        <v/>
      </c>
    </row>
    <row r="670" spans="5:15">
      <c r="E670" s="229">
        <f t="shared" si="104"/>
        <v>0</v>
      </c>
      <c r="G670" s="229">
        <f>IFERROR(ROUNDUP(F670*INVOICE!$O$6,2),0)</f>
        <v>0</v>
      </c>
      <c r="L670" s="108" t="str">
        <f t="shared" si="105"/>
        <v/>
      </c>
      <c r="N670" s="108">
        <v>680</v>
      </c>
      <c r="O670" s="108" t="str">
        <f>IF(INVOICE!$N$16="MANUAL",IF(B670&lt;&gt;"",C670,""),IF(INVOICE!$N$16="AUTOMATE",IF(A670&lt;&gt;"",C670,""),""))</f>
        <v/>
      </c>
    </row>
    <row r="671" spans="5:15">
      <c r="E671" s="229">
        <f t="shared" si="104"/>
        <v>0</v>
      </c>
      <c r="G671" s="229">
        <f>IFERROR(ROUNDUP(F671*INVOICE!$O$6,2),0)</f>
        <v>0</v>
      </c>
      <c r="L671" s="108" t="str">
        <f t="shared" si="105"/>
        <v/>
      </c>
      <c r="N671" s="108">
        <v>681</v>
      </c>
      <c r="O671" s="108" t="str">
        <f>IF(INVOICE!$N$16="MANUAL",IF(B671&lt;&gt;"",C671,""),IF(INVOICE!$N$16="AUTOMATE",IF(A671&lt;&gt;"",C671,""),""))</f>
        <v/>
      </c>
    </row>
    <row r="672" spans="5:15">
      <c r="E672" s="229">
        <f t="shared" si="104"/>
        <v>0</v>
      </c>
      <c r="G672" s="229">
        <f>IFERROR(ROUNDUP(F672*INVOICE!$O$6,2),0)</f>
        <v>0</v>
      </c>
      <c r="L672" s="108" t="str">
        <f t="shared" si="105"/>
        <v/>
      </c>
      <c r="N672" s="108">
        <v>682</v>
      </c>
      <c r="O672" s="108" t="str">
        <f>IF(INVOICE!$N$16="MANUAL",IF(B672&lt;&gt;"",C672,""),IF(INVOICE!$N$16="AUTOMATE",IF(A672&lt;&gt;"",C672,""),""))</f>
        <v/>
      </c>
    </row>
    <row r="673" spans="5:15">
      <c r="E673" s="229">
        <f t="shared" si="104"/>
        <v>0</v>
      </c>
      <c r="G673" s="229">
        <f>IFERROR(ROUNDUP(F673*INVOICE!$O$6,2),0)</f>
        <v>0</v>
      </c>
      <c r="L673" s="108" t="str">
        <f t="shared" si="105"/>
        <v/>
      </c>
      <c r="N673" s="108">
        <v>683</v>
      </c>
      <c r="O673" s="108" t="str">
        <f>IF(INVOICE!$N$16="MANUAL",IF(B673&lt;&gt;"",C673,""),IF(INVOICE!$N$16="AUTOMATE",IF(A673&lt;&gt;"",C673,""),""))</f>
        <v/>
      </c>
    </row>
    <row r="674" spans="5:15">
      <c r="E674" s="229">
        <f t="shared" si="104"/>
        <v>0</v>
      </c>
      <c r="G674" s="229">
        <f>IFERROR(ROUNDUP(F674*INVOICE!$O$6,2),0)</f>
        <v>0</v>
      </c>
      <c r="L674" s="108" t="str">
        <f t="shared" si="105"/>
        <v/>
      </c>
      <c r="N674" s="108">
        <v>684</v>
      </c>
      <c r="O674" s="108" t="str">
        <f>IF(INVOICE!$N$16="MANUAL",IF(B674&lt;&gt;"",C674,""),IF(INVOICE!$N$16="AUTOMATE",IF(A674&lt;&gt;"",C674,""),""))</f>
        <v/>
      </c>
    </row>
    <row r="675" spans="5:15">
      <c r="E675" s="229">
        <f t="shared" si="104"/>
        <v>0</v>
      </c>
      <c r="G675" s="229">
        <f>IFERROR(ROUNDUP(F675*INVOICE!$O$6,2),0)</f>
        <v>0</v>
      </c>
      <c r="L675" s="108" t="str">
        <f t="shared" si="105"/>
        <v/>
      </c>
      <c r="N675" s="108">
        <v>685</v>
      </c>
      <c r="O675" s="108" t="str">
        <f>IF(INVOICE!$N$16="MANUAL",IF(B675&lt;&gt;"",C675,""),IF(INVOICE!$N$16="AUTOMATE",IF(A675&lt;&gt;"",C675,""),""))</f>
        <v/>
      </c>
    </row>
    <row r="676" spans="5:15">
      <c r="E676" s="229">
        <f t="shared" si="104"/>
        <v>0</v>
      </c>
      <c r="G676" s="229">
        <f>IFERROR(ROUNDUP(F676*INVOICE!$O$6,2),0)</f>
        <v>0</v>
      </c>
      <c r="L676" s="108" t="str">
        <f t="shared" si="105"/>
        <v/>
      </c>
      <c r="N676" s="108">
        <v>686</v>
      </c>
      <c r="O676" s="108" t="str">
        <f>IF(INVOICE!$N$16="MANUAL",IF(B676&lt;&gt;"",C676,""),IF(INVOICE!$N$16="AUTOMATE",IF(A676&lt;&gt;"",C676,""),""))</f>
        <v/>
      </c>
    </row>
    <row r="677" spans="5:15">
      <c r="E677" s="229">
        <f t="shared" si="104"/>
        <v>0</v>
      </c>
      <c r="G677" s="229">
        <f>IFERROR(ROUNDUP(F677*INVOICE!$O$6,2),0)</f>
        <v>0</v>
      </c>
      <c r="L677" s="108" t="str">
        <f t="shared" si="105"/>
        <v/>
      </c>
      <c r="N677" s="108">
        <v>687</v>
      </c>
      <c r="O677" s="108" t="str">
        <f>IF(INVOICE!$N$16="MANUAL",IF(B677&lt;&gt;"",C677,""),IF(INVOICE!$N$16="AUTOMATE",IF(A677&lt;&gt;"",C677,""),""))</f>
        <v/>
      </c>
    </row>
    <row r="678" spans="5:15">
      <c r="E678" s="229">
        <f t="shared" si="104"/>
        <v>0</v>
      </c>
      <c r="G678" s="229">
        <f>IFERROR(ROUNDUP(F678*INVOICE!$O$6,2),0)</f>
        <v>0</v>
      </c>
      <c r="L678" s="108" t="str">
        <f t="shared" si="105"/>
        <v/>
      </c>
      <c r="N678" s="108">
        <v>688</v>
      </c>
      <c r="O678" s="108" t="str">
        <f>IF(INVOICE!$N$16="MANUAL",IF(B678&lt;&gt;"",C678,""),IF(INVOICE!$N$16="AUTOMATE",IF(A678&lt;&gt;"",C678,""),""))</f>
        <v/>
      </c>
    </row>
    <row r="679" spans="5:15">
      <c r="E679" s="229">
        <f t="shared" si="104"/>
        <v>0</v>
      </c>
      <c r="G679" s="229">
        <f>IFERROR(ROUNDUP(F679*INVOICE!$O$6,2),0)</f>
        <v>0</v>
      </c>
      <c r="L679" s="108" t="str">
        <f t="shared" si="105"/>
        <v/>
      </c>
      <c r="N679" s="108">
        <v>689</v>
      </c>
      <c r="O679" s="108" t="str">
        <f>IF(INVOICE!$N$16="MANUAL",IF(B679&lt;&gt;"",C679,""),IF(INVOICE!$N$16="AUTOMATE",IF(A679&lt;&gt;"",C679,""),""))</f>
        <v/>
      </c>
    </row>
    <row r="680" spans="5:15">
      <c r="E680" s="229">
        <f t="shared" si="104"/>
        <v>0</v>
      </c>
      <c r="G680" s="229">
        <f>IFERROR(ROUNDUP(F680*INVOICE!$O$6,2),0)</f>
        <v>0</v>
      </c>
      <c r="L680" s="108" t="str">
        <f t="shared" si="105"/>
        <v/>
      </c>
      <c r="N680" s="108">
        <v>690</v>
      </c>
      <c r="O680" s="108" t="str">
        <f>IF(INVOICE!$N$16="MANUAL",IF(B680&lt;&gt;"",C680,""),IF(INVOICE!$N$16="AUTOMATE",IF(A680&lt;&gt;"",C680,""),""))</f>
        <v/>
      </c>
    </row>
    <row r="681" spans="5:15">
      <c r="E681" s="229">
        <f t="shared" si="104"/>
        <v>0</v>
      </c>
      <c r="G681" s="229">
        <f>IFERROR(ROUNDUP(F681*INVOICE!$O$6,2),0)</f>
        <v>0</v>
      </c>
      <c r="L681" s="108" t="str">
        <f t="shared" si="105"/>
        <v/>
      </c>
      <c r="N681" s="108">
        <v>691</v>
      </c>
      <c r="O681" s="108" t="str">
        <f>IF(INVOICE!$N$16="MANUAL",IF(B681&lt;&gt;"",C681,""),IF(INVOICE!$N$16="AUTOMATE",IF(A681&lt;&gt;"",C681,""),""))</f>
        <v/>
      </c>
    </row>
    <row r="682" spans="5:15">
      <c r="E682" s="229">
        <f t="shared" si="104"/>
        <v>0</v>
      </c>
      <c r="G682" s="229">
        <f>IFERROR(ROUNDUP(F682*INVOICE!$O$6,2),0)</f>
        <v>0</v>
      </c>
      <c r="L682" s="108" t="str">
        <f t="shared" si="105"/>
        <v/>
      </c>
      <c r="N682" s="108">
        <v>692</v>
      </c>
      <c r="O682" s="108" t="str">
        <f>IF(INVOICE!$N$16="MANUAL",IF(B682&lt;&gt;"",C682,""),IF(INVOICE!$N$16="AUTOMATE",IF(A682&lt;&gt;"",C682,""),""))</f>
        <v/>
      </c>
    </row>
    <row r="683" spans="5:15">
      <c r="E683" s="229">
        <f t="shared" si="104"/>
        <v>0</v>
      </c>
      <c r="G683" s="229">
        <f>IFERROR(ROUNDUP(F683*INVOICE!$O$6,2),0)</f>
        <v>0</v>
      </c>
      <c r="L683" s="108" t="str">
        <f t="shared" si="105"/>
        <v/>
      </c>
      <c r="N683" s="108">
        <v>693</v>
      </c>
      <c r="O683" s="108" t="str">
        <f>IF(INVOICE!$N$16="MANUAL",IF(B683&lt;&gt;"",C683,""),IF(INVOICE!$N$16="AUTOMATE",IF(A683&lt;&gt;"",C683,""),""))</f>
        <v/>
      </c>
    </row>
    <row r="684" spans="5:15">
      <c r="L684" s="108" t="str">
        <f t="shared" si="105"/>
        <v/>
      </c>
      <c r="N684" s="108">
        <v>694</v>
      </c>
      <c r="O684" s="108" t="str">
        <f>IF(INVOICE!$N$16="MANUAL",IF(B684&lt;&gt;"",C684,""),IF(INVOICE!$N$16="AUTOMATE",IF(A684&lt;&gt;"",C684,""),""))</f>
        <v/>
      </c>
    </row>
    <row r="685" spans="5:15">
      <c r="L685" s="108" t="str">
        <f t="shared" si="105"/>
        <v/>
      </c>
      <c r="N685" s="108">
        <v>695</v>
      </c>
      <c r="O685" s="108" t="str">
        <f>IF(INVOICE!$N$16="MANUAL",IF(B685&lt;&gt;"",C685,""),IF(INVOICE!$N$16="AUTOMATE",IF(A685&lt;&gt;"",C685,""),""))</f>
        <v/>
      </c>
    </row>
    <row r="686" spans="5:15">
      <c r="O686" s="108" t="str">
        <f>IF(INVOICE!$N$16="MANUAL",IF(B686&lt;&gt;"",C686,""),IF(INVOICE!$N$16="AUTOMATE",IF(A686&lt;&gt;"",C686,""),""))</f>
        <v/>
      </c>
    </row>
    <row r="687" spans="5:15"/>
    <row r="688" spans="5:15"/>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ht="16" customHeight="1"/>
    <row r="1048119" ht="16" customHeight="1"/>
    <row r="1048120" ht="16" customHeight="1"/>
    <row r="1048121" ht="16" customHeight="1"/>
    <row r="1048122" ht="16" customHeight="1"/>
    <row r="1048123" ht="16" customHeight="1"/>
    <row r="1048124" ht="16" customHeight="1"/>
    <row r="1048125" ht="16" customHeight="1"/>
    <row r="1048126" ht="16" customHeight="1"/>
    <row r="1048127" ht="16" customHeight="1"/>
    <row r="1048128" ht="16" customHeight="1"/>
    <row r="1048129" ht="16" customHeight="1"/>
    <row r="1048130" ht="16" customHeight="1"/>
    <row r="1048131" ht="16" customHeight="1"/>
    <row r="1048132" ht="16" customHeight="1"/>
    <row r="1048133" ht="16" customHeight="1"/>
    <row r="1048134" ht="16" customHeight="1"/>
    <row r="1048135" ht="16" customHeight="1"/>
    <row r="1048136" ht="16" customHeight="1"/>
    <row r="1048137" ht="16" customHeight="1"/>
    <row r="1048138" ht="16" customHeight="1"/>
    <row r="1048139" ht="16" customHeight="1"/>
    <row r="1048140" ht="16" customHeight="1"/>
    <row r="1048141" ht="16" customHeight="1"/>
    <row r="1048142" ht="16" customHeight="1"/>
    <row r="1048143" ht="16" customHeight="1"/>
    <row r="1048144" ht="16" customHeight="1"/>
    <row r="1048145" ht="16" customHeight="1"/>
    <row r="1048146" ht="16" customHeight="1"/>
    <row r="1048147" ht="16" customHeight="1"/>
    <row r="1048148" ht="16" customHeight="1"/>
    <row r="1048149" ht="16" customHeight="1"/>
    <row r="1048150" ht="16" customHeight="1"/>
    <row r="1048151" ht="16" customHeight="1"/>
    <row r="1048152" ht="16" customHeight="1"/>
    <row r="1048153" ht="16" customHeight="1"/>
    <row r="1048154" ht="16" customHeight="1"/>
    <row r="1048155" ht="16" customHeight="1"/>
    <row r="1048156" ht="16" customHeight="1"/>
    <row r="1048157" ht="16" customHeight="1"/>
    <row r="1048158" ht="16" customHeight="1"/>
    <row r="1048159" ht="16" customHeight="1"/>
    <row r="1048160" ht="16" customHeight="1"/>
    <row r="1048161" ht="16" customHeight="1"/>
    <row r="1048162" ht="16" customHeight="1"/>
    <row r="1048163" ht="16" customHeight="1"/>
    <row r="1048164" ht="16" customHeight="1"/>
    <row r="1048165" ht="16" customHeight="1"/>
    <row r="1048166" ht="16" customHeight="1"/>
    <row r="1048167" ht="16" customHeight="1"/>
    <row r="1048168" ht="16" customHeight="1"/>
    <row r="1048169" ht="16" customHeight="1"/>
    <row r="1048170" ht="16" customHeight="1"/>
    <row r="1048171" ht="16" customHeight="1"/>
    <row r="1048172" ht="16" customHeight="1"/>
    <row r="1048173" ht="16" customHeight="1"/>
    <row r="1048174" ht="16" customHeight="1"/>
    <row r="1048175" ht="16" customHeight="1"/>
    <row r="1048176" ht="16" customHeight="1"/>
    <row r="1048177" ht="16" customHeight="1"/>
    <row r="1048178" ht="16" customHeight="1"/>
    <row r="1048179" ht="16" customHeight="1"/>
    <row r="1048180" ht="16" customHeight="1"/>
    <row r="1048181" ht="16" customHeight="1"/>
    <row r="1048182" ht="16" customHeight="1"/>
    <row r="1048183" ht="16" customHeight="1"/>
    <row r="1048184" ht="16" customHeight="1"/>
    <row r="1048185" ht="16" customHeight="1"/>
    <row r="1048186" ht="16" customHeight="1"/>
    <row r="1048187" ht="16" customHeight="1"/>
    <row r="1048188" ht="16" customHeight="1"/>
    <row r="1048189" ht="16" customHeight="1"/>
    <row r="1048190" ht="16" customHeight="1"/>
    <row r="1048191" ht="16" customHeight="1"/>
    <row r="1048192" ht="16" customHeight="1"/>
    <row r="1048193" ht="16" customHeight="1"/>
    <row r="1048194" ht="16" customHeight="1"/>
    <row r="1048195" ht="16" customHeight="1"/>
    <row r="1048196" ht="16" customHeight="1"/>
    <row r="1048197" ht="16" customHeight="1"/>
    <row r="1048198" ht="16" customHeight="1"/>
    <row r="1048199" ht="16" customHeight="1"/>
    <row r="1048200" ht="16" customHeight="1"/>
    <row r="1048201" ht="16" customHeight="1"/>
    <row r="1048202" ht="16" customHeight="1"/>
    <row r="1048203" ht="16" customHeight="1"/>
    <row r="1048204" ht="16" customHeight="1"/>
    <row r="1048205" ht="16" customHeight="1"/>
    <row r="1048206" ht="16" customHeight="1"/>
    <row r="1048207" ht="16" customHeight="1"/>
    <row r="1048208" ht="16" customHeight="1"/>
    <row r="1048209" ht="16" customHeight="1"/>
    <row r="1048210" ht="16" customHeight="1"/>
    <row r="1048211" ht="16" customHeight="1"/>
    <row r="1048212" ht="16" customHeight="1"/>
    <row r="1048213" ht="16" customHeight="1"/>
    <row r="1048214" ht="16" customHeight="1"/>
    <row r="1048215" ht="16" customHeight="1"/>
    <row r="1048216" ht="16" customHeight="1"/>
    <row r="1048217" ht="16" customHeight="1"/>
    <row r="1048218" ht="16" customHeight="1"/>
    <row r="1048219" ht="16" customHeight="1"/>
    <row r="1048220" ht="16" customHeight="1"/>
    <row r="1048221" ht="16" customHeight="1"/>
    <row r="1048222" ht="16" customHeight="1"/>
    <row r="1048223" ht="16" customHeight="1"/>
    <row r="1048224" ht="16" customHeight="1"/>
    <row r="1048225" ht="16" customHeight="1"/>
    <row r="1048226" ht="16" customHeight="1"/>
    <row r="1048227" ht="16" customHeight="1"/>
    <row r="1048228" ht="16" customHeight="1"/>
    <row r="1048229" ht="16" customHeight="1"/>
    <row r="1048230" ht="16" customHeight="1"/>
    <row r="1048231" ht="16" customHeight="1"/>
    <row r="1048232" ht="16" customHeight="1"/>
    <row r="1048233" ht="16" customHeight="1"/>
    <row r="1048234" ht="16" customHeight="1"/>
    <row r="1048235" ht="16" customHeight="1"/>
    <row r="1048236" ht="16" customHeight="1"/>
    <row r="1048237" ht="16" customHeight="1"/>
    <row r="1048238" ht="16" customHeight="1"/>
    <row r="1048239" ht="16" customHeight="1"/>
    <row r="1048240" ht="16" customHeight="1"/>
    <row r="1048241" ht="16" customHeight="1"/>
    <row r="1048242" ht="16" customHeight="1"/>
    <row r="1048243" ht="16" customHeight="1"/>
    <row r="1048244" ht="16" customHeight="1"/>
    <row r="1048245" ht="16" customHeight="1"/>
    <row r="1048246" ht="16" customHeight="1"/>
    <row r="1048247" ht="16" customHeight="1"/>
    <row r="1048248" ht="16" customHeight="1"/>
    <row r="1048249" ht="16" customHeight="1"/>
    <row r="1048250" ht="16" customHeight="1"/>
    <row r="1048251" ht="16" customHeight="1"/>
    <row r="1048252" ht="16" customHeight="1"/>
    <row r="1048253" ht="16" customHeight="1"/>
    <row r="1048254" ht="16" customHeight="1"/>
    <row r="1048255" ht="16" customHeight="1"/>
    <row r="1048256" ht="16" customHeight="1"/>
    <row r="1048257" ht="16" customHeight="1"/>
    <row r="1048258" ht="16" customHeight="1"/>
    <row r="1048259" ht="16" customHeight="1"/>
    <row r="1048260" ht="16" customHeight="1"/>
    <row r="1048261" ht="16" customHeight="1"/>
    <row r="1048262" ht="16" customHeight="1"/>
    <row r="1048263" ht="16" customHeight="1"/>
    <row r="1048264" ht="16" customHeight="1"/>
    <row r="1048265" ht="16" customHeight="1"/>
    <row r="1048266" ht="16" customHeight="1"/>
    <row r="1048267" ht="16" customHeight="1"/>
    <row r="1048268" ht="16" customHeight="1"/>
    <row r="1048269" ht="16" customHeight="1"/>
    <row r="1048270" ht="16" customHeight="1"/>
    <row r="1048271" ht="16" customHeight="1"/>
    <row r="1048272" ht="16" customHeight="1"/>
    <row r="1048273" ht="16" customHeight="1"/>
    <row r="1048274" ht="16" customHeight="1"/>
    <row r="1048275" ht="16" customHeight="1"/>
    <row r="1048276" ht="16" customHeight="1"/>
    <row r="1048277" ht="16" customHeight="1"/>
    <row r="1048278" ht="16" customHeight="1"/>
    <row r="1048279" ht="16" customHeight="1"/>
    <row r="1048280" ht="16" customHeight="1"/>
    <row r="1048281" ht="16" customHeight="1"/>
    <row r="1048282" ht="16" customHeight="1"/>
    <row r="1048283" ht="16" customHeight="1"/>
    <row r="1048284" ht="16" customHeight="1"/>
    <row r="1048285" ht="16" customHeight="1"/>
    <row r="1048286" ht="16" customHeight="1"/>
    <row r="1048287" ht="16" customHeight="1"/>
    <row r="1048288" ht="16" customHeight="1"/>
    <row r="1048289" ht="16" customHeight="1"/>
    <row r="1048290" ht="16" customHeight="1"/>
    <row r="1048291" ht="16" customHeight="1"/>
    <row r="1048292" ht="16" customHeight="1"/>
    <row r="1048293" ht="16" customHeight="1"/>
    <row r="1048294" ht="16" customHeight="1"/>
    <row r="1048295" ht="16" customHeight="1"/>
    <row r="1048296" ht="16" customHeight="1"/>
    <row r="1048297" ht="16" customHeight="1"/>
    <row r="1048298" ht="16" customHeight="1"/>
    <row r="1048299" ht="16" customHeight="1"/>
    <row r="1048300" ht="16" customHeight="1"/>
    <row r="1048301" ht="16" customHeight="1"/>
    <row r="1048302" ht="16" customHeight="1"/>
    <row r="1048303" ht="16" customHeight="1"/>
    <row r="1048304" ht="16" customHeight="1"/>
    <row r="1048305" ht="16" customHeight="1"/>
    <row r="1048306" ht="16" customHeight="1"/>
    <row r="1048307" ht="16" customHeight="1"/>
    <row r="1048308" ht="16" customHeight="1"/>
    <row r="1048309" ht="16" customHeight="1"/>
    <row r="1048310" ht="16" customHeight="1"/>
    <row r="1048311" ht="16" customHeight="1"/>
    <row r="1048312" ht="16" customHeight="1"/>
    <row r="1048313" ht="16" customHeight="1"/>
    <row r="1048314" ht="16" customHeight="1"/>
    <row r="1048315" ht="16" customHeight="1"/>
    <row r="1048316" ht="16" customHeight="1"/>
    <row r="1048317" ht="16" customHeight="1"/>
    <row r="1048318" ht="16" customHeight="1"/>
    <row r="1048319" ht="16" customHeight="1"/>
    <row r="1048320" ht="16" customHeight="1"/>
    <row r="1048321" ht="16" customHeight="1"/>
    <row r="1048322" ht="16" customHeight="1"/>
    <row r="1048323" ht="16" customHeight="1"/>
    <row r="1048324" ht="16" customHeight="1"/>
    <row r="1048325" ht="16" customHeight="1"/>
    <row r="1048326" ht="16" customHeight="1"/>
    <row r="1048327" ht="16" customHeight="1"/>
    <row r="1048328" ht="16" customHeight="1"/>
    <row r="1048329" ht="16" customHeight="1"/>
    <row r="1048330" ht="16" customHeight="1"/>
    <row r="1048331" ht="16" customHeight="1"/>
    <row r="1048332" ht="16" customHeight="1"/>
    <row r="1048333" ht="16" customHeight="1"/>
    <row r="1048334" ht="16" customHeight="1"/>
    <row r="1048335" ht="16" customHeight="1"/>
    <row r="1048336" ht="16" customHeight="1"/>
    <row r="1048337" ht="16" customHeight="1"/>
    <row r="1048338" ht="16" customHeight="1"/>
    <row r="1048339" ht="16" customHeight="1"/>
    <row r="1048340" ht="16" customHeight="1"/>
    <row r="1048341" ht="16" customHeight="1"/>
    <row r="1048342" ht="16" customHeight="1"/>
    <row r="1048343" ht="16" customHeight="1"/>
    <row r="1048344" ht="16" customHeight="1"/>
    <row r="1048345" ht="16" customHeight="1"/>
    <row r="1048346" ht="16" customHeight="1"/>
    <row r="1048347" ht="16" customHeight="1"/>
    <row r="1048348" ht="16" customHeight="1"/>
    <row r="1048349" ht="16" customHeight="1"/>
    <row r="1048350" ht="16" customHeight="1"/>
    <row r="1048351" ht="16" customHeight="1"/>
    <row r="1048352" ht="16" customHeight="1"/>
    <row r="1048353" ht="16" customHeight="1"/>
    <row r="1048354" ht="16" customHeight="1"/>
    <row r="1048355" ht="16" customHeight="1"/>
    <row r="1048356" ht="16" customHeight="1"/>
    <row r="1048357" ht="16" customHeight="1"/>
    <row r="1048358" ht="16" customHeight="1"/>
    <row r="1048359" ht="16" customHeight="1"/>
    <row r="1048360" ht="16" customHeight="1"/>
    <row r="1048361" ht="16" customHeight="1"/>
    <row r="1048362" ht="16" customHeight="1"/>
    <row r="1048363" ht="16" customHeight="1"/>
    <row r="1048364" ht="16" customHeight="1"/>
    <row r="1048365" ht="16" customHeight="1"/>
    <row r="1048366" ht="16" customHeight="1"/>
    <row r="1048367" ht="16" customHeight="1"/>
    <row r="1048368" ht="16" customHeight="1"/>
    <row r="1048369" ht="16" customHeight="1"/>
    <row r="1048370" ht="16" customHeight="1"/>
    <row r="1048371" ht="16" customHeight="1"/>
    <row r="1048372" ht="16" customHeight="1"/>
    <row r="1048373" ht="16" customHeight="1"/>
    <row r="1048374" ht="16" customHeight="1"/>
    <row r="1048375" ht="16" customHeight="1"/>
    <row r="1048376" ht="16" customHeight="1"/>
    <row r="1048377" ht="16" customHeight="1"/>
    <row r="1048378" ht="16" customHeight="1"/>
    <row r="1048379" ht="16" customHeight="1"/>
    <row r="1048380" ht="16" customHeight="1"/>
    <row r="1048381" ht="16" customHeight="1"/>
    <row r="1048382" ht="16" customHeight="1"/>
    <row r="1048383" ht="16" customHeight="1"/>
    <row r="1048384" ht="16" customHeight="1"/>
    <row r="1048385" ht="16" customHeight="1"/>
    <row r="1048386" ht="16" customHeight="1"/>
    <row r="1048387" ht="16" customHeight="1"/>
    <row r="1048388" ht="16" customHeight="1"/>
    <row r="1048389" ht="16" customHeight="1"/>
    <row r="1048390" ht="16" customHeight="1"/>
    <row r="1048391" ht="16" customHeight="1"/>
    <row r="1048392" ht="16" customHeight="1"/>
    <row r="1048393" ht="16" customHeight="1"/>
    <row r="1048394" ht="16" customHeight="1"/>
    <row r="1048395" ht="16" customHeight="1"/>
    <row r="1048396" ht="16" customHeight="1"/>
    <row r="1048397" ht="16" customHeight="1"/>
    <row r="1048398" ht="16" customHeight="1"/>
    <row r="1048399" ht="16" customHeight="1"/>
    <row r="1048400" ht="16" customHeight="1"/>
    <row r="1048401" ht="16" customHeight="1"/>
    <row r="1048402" ht="16" customHeight="1"/>
    <row r="1048403" ht="16" customHeight="1"/>
    <row r="1048404" ht="16" customHeight="1"/>
    <row r="1048405" ht="16" customHeight="1"/>
    <row r="1048406" ht="16" customHeight="1"/>
    <row r="1048407" ht="16" customHeight="1"/>
    <row r="1048408" ht="16" customHeight="1"/>
    <row r="1048409" ht="16" customHeight="1"/>
    <row r="1048410" ht="16" customHeight="1"/>
    <row r="1048411" ht="16" customHeight="1"/>
    <row r="1048412" ht="16" customHeight="1"/>
    <row r="1048413" ht="16" customHeight="1"/>
    <row r="1048414" ht="16" customHeight="1"/>
    <row r="1048415" ht="16" customHeight="1"/>
    <row r="1048416" ht="16" customHeight="1"/>
    <row r="1048417" ht="16" customHeight="1"/>
    <row r="1048418" ht="16" customHeight="1"/>
    <row r="1048419" ht="16" customHeight="1"/>
    <row r="1048420" ht="16" customHeight="1"/>
    <row r="1048421" ht="16" customHeight="1"/>
    <row r="1048422" ht="16" customHeight="1"/>
    <row r="1048423" ht="16" customHeight="1"/>
    <row r="1048424" ht="16" customHeight="1"/>
    <row r="1048425" ht="16" customHeight="1"/>
    <row r="1048426" ht="16" customHeight="1"/>
    <row r="1048427" ht="16" customHeight="1"/>
    <row r="1048428" ht="16" customHeight="1"/>
    <row r="1048429" ht="16" customHeight="1"/>
    <row r="1048430" ht="16" customHeight="1"/>
    <row r="1048431" ht="16" customHeight="1"/>
    <row r="1048432" ht="16" customHeight="1"/>
    <row r="1048433" ht="16" customHeight="1"/>
    <row r="1048434" ht="16" customHeight="1"/>
    <row r="1048435" ht="16" customHeight="1"/>
    <row r="1048436" ht="16" customHeight="1"/>
    <row r="1048437" ht="16" customHeight="1"/>
    <row r="1048438" ht="16" customHeight="1"/>
    <row r="1048439" ht="16" customHeight="1"/>
    <row r="1048440" ht="16" customHeight="1"/>
    <row r="1048441" ht="16" customHeight="1"/>
    <row r="1048442" ht="16" customHeight="1"/>
    <row r="1048443" ht="16" customHeight="1"/>
    <row r="1048444" ht="16" customHeight="1"/>
    <row r="1048445" ht="16" customHeight="1"/>
    <row r="1048446" ht="16" customHeight="1"/>
    <row r="1048447" ht="16" customHeight="1"/>
    <row r="1048448" ht="16" customHeight="1"/>
    <row r="1048449" ht="16" customHeight="1"/>
    <row r="1048450" ht="16" customHeight="1"/>
    <row r="1048451" ht="16" customHeight="1"/>
    <row r="1048452" ht="16" customHeight="1"/>
    <row r="1048453" ht="16" customHeight="1"/>
    <row r="1048454" ht="16" customHeight="1"/>
    <row r="1048455" ht="16" customHeight="1"/>
    <row r="1048456" ht="16" customHeight="1"/>
    <row r="1048457" ht="16" customHeight="1"/>
    <row r="1048458" ht="16" customHeight="1"/>
    <row r="1048459" ht="16" customHeight="1"/>
    <row r="1048460" ht="16" customHeight="1"/>
    <row r="1048461" ht="16" customHeight="1"/>
    <row r="1048462" ht="16" customHeight="1"/>
    <row r="1048463" ht="16" customHeight="1"/>
    <row r="1048464" ht="16" customHeight="1"/>
    <row r="1048465" ht="16" customHeight="1"/>
    <row r="1048466" ht="16" customHeight="1"/>
    <row r="1048467" ht="16" customHeight="1"/>
    <row r="1048468" ht="16" customHeight="1"/>
    <row r="1048469" ht="16" customHeight="1"/>
    <row r="1048470" ht="16" customHeight="1"/>
    <row r="1048471" ht="16" customHeight="1"/>
    <row r="1048472" ht="16" customHeight="1"/>
    <row r="1048473" ht="16" customHeight="1"/>
    <row r="1048474" ht="16" customHeight="1"/>
    <row r="1048475" ht="16" customHeight="1"/>
    <row r="1048476" ht="16" customHeight="1"/>
    <row r="1048477" ht="16" customHeight="1"/>
    <row r="1048478" ht="16" customHeight="1"/>
    <row r="1048479" ht="16" customHeight="1"/>
    <row r="1048480" ht="16" customHeight="1"/>
    <row r="1048481" ht="16" customHeight="1"/>
    <row r="1048482" ht="16" customHeight="1"/>
    <row r="1048483" ht="16" customHeight="1"/>
    <row r="1048484" ht="16" customHeight="1"/>
    <row r="1048485" ht="16" customHeight="1"/>
    <row r="1048486" ht="16" customHeight="1"/>
    <row r="1048487" ht="16" customHeight="1"/>
    <row r="1048488" ht="16" customHeight="1"/>
    <row r="1048489" ht="16" customHeight="1"/>
    <row r="1048490" ht="16" customHeight="1"/>
    <row r="1048491" ht="16" customHeight="1"/>
    <row r="1048492" ht="16" customHeight="1"/>
    <row r="1048493" ht="16" customHeight="1"/>
    <row r="1048494" ht="16" customHeight="1"/>
    <row r="1048495" ht="16" customHeight="1"/>
    <row r="1048496" ht="16" customHeight="1"/>
    <row r="1048497" ht="16" customHeight="1"/>
    <row r="1048498" ht="16" customHeight="1"/>
    <row r="1048499" ht="16" customHeight="1"/>
    <row r="1048500" ht="16" customHeight="1"/>
    <row r="1048501" ht="16" customHeight="1"/>
    <row r="1048502" ht="16" customHeight="1"/>
    <row r="1048503" ht="16" customHeight="1"/>
    <row r="1048504" ht="16" customHeight="1"/>
    <row r="1048505" ht="16" customHeight="1"/>
    <row r="1048506" ht="16" customHeight="1"/>
    <row r="1048507" ht="16" customHeight="1"/>
    <row r="1048508" ht="16" customHeight="1"/>
    <row r="1048509" ht="16" customHeight="1"/>
    <row r="1048510" ht="16" customHeight="1"/>
    <row r="1048511" ht="16" customHeight="1"/>
    <row r="1048512" ht="16" customHeight="1"/>
    <row r="1048513" ht="16" customHeight="1"/>
    <row r="1048514" ht="16" customHeight="1"/>
    <row r="1048515" ht="16" customHeight="1"/>
    <row r="1048516" ht="16" customHeight="1"/>
    <row r="1048517" ht="16" customHeight="1"/>
    <row r="1048518" ht="16" customHeight="1"/>
    <row r="1048519" ht="16" customHeight="1"/>
    <row r="1048520" ht="16" customHeight="1"/>
    <row r="1048521" ht="16" customHeight="1"/>
    <row r="1048522" ht="16" customHeight="1"/>
    <row r="1048523" ht="16" customHeight="1"/>
    <row r="1048524" ht="16" customHeight="1"/>
    <row r="1048525" ht="16" customHeight="1"/>
    <row r="1048526" ht="16" customHeight="1"/>
    <row r="1048527" ht="16" customHeight="1"/>
    <row r="1048528" ht="16" customHeight="1"/>
    <row r="1048529" ht="16" customHeight="1"/>
    <row r="1048530" ht="16" customHeight="1"/>
    <row r="1048531" ht="16" customHeight="1"/>
    <row r="1048532" ht="16" customHeight="1"/>
    <row r="1048533" ht="16" customHeight="1"/>
    <row r="1048534" ht="16" customHeight="1"/>
    <row r="1048535" ht="16" customHeight="1"/>
    <row r="1048536" ht="16" customHeight="1"/>
    <row r="1048537" ht="16" customHeight="1"/>
    <row r="1048538" ht="16" customHeight="1"/>
    <row r="1048539" ht="16" customHeight="1"/>
    <row r="1048540" ht="16" customHeight="1"/>
    <row r="1048541" ht="16" customHeight="1"/>
    <row r="1048542" ht="16" customHeight="1"/>
    <row r="1048543" ht="16" customHeight="1"/>
    <row r="1048544" ht="16" customHeight="1"/>
    <row r="1048545" ht="16" customHeight="1"/>
    <row r="1048546" ht="16" customHeight="1"/>
    <row r="1048547" ht="16" customHeight="1"/>
    <row r="1048548" ht="16" customHeight="1"/>
    <row r="1048549" ht="16" customHeight="1"/>
    <row r="1048550" ht="16" customHeight="1"/>
    <row r="1048551" ht="16" customHeight="1"/>
    <row r="1048552" ht="16" customHeight="1"/>
    <row r="1048553" ht="16" customHeight="1"/>
    <row r="1048554" ht="16" customHeight="1"/>
    <row r="1048555" ht="16" customHeight="1"/>
    <row r="1048556" ht="16" customHeight="1"/>
    <row r="1048557" ht="16" customHeight="1"/>
    <row r="1048558" ht="16" customHeight="1"/>
    <row r="1048559" ht="16" customHeight="1"/>
    <row r="1048560" ht="16" customHeight="1"/>
    <row r="1048561" ht="16" customHeight="1"/>
    <row r="1048562" ht="16" customHeight="1"/>
    <row r="1048563" ht="16" customHeight="1"/>
    <row r="1048564" ht="16" customHeight="1"/>
    <row r="1048565" ht="16" customHeight="1"/>
    <row r="1048566" ht="16" customHeight="1"/>
    <row r="1048567" ht="16" customHeight="1"/>
    <row r="1048568" ht="16" customHeight="1"/>
    <row r="1048569" ht="16" customHeight="1"/>
    <row r="1048570" ht="16" customHeight="1"/>
    <row r="1048571" ht="16" customHeight="1"/>
    <row r="1048572" ht="16" customHeight="1"/>
    <row r="1048573" ht="16" customHeight="1"/>
    <row r="1048574" ht="16" customHeight="1"/>
    <row r="1048575" ht="16" customHeight="1"/>
    <row r="1048576" ht="16" customHeight="1"/>
  </sheetData>
  <autoFilter ref="B3:I686" xr:uid="{00000000-0001-0000-0500-000000000000}"/>
  <phoneticPr fontId="24" type="noConversion"/>
  <conditionalFormatting sqref="B1:B1048576">
    <cfRule type="cellIs" dxfId="63" priority="8" stopIfTrue="1" operator="equal">
      <formula>0</formula>
    </cfRule>
    <cfRule type="cellIs" dxfId="62" priority="12" operator="greaterThan">
      <formula>0</formula>
    </cfRule>
  </conditionalFormatting>
  <conditionalFormatting sqref="G1 N1:O4 Q15:AL20 H560:J1048576">
    <cfRule type="cellIs" dxfId="61" priority="21" operator="equal">
      <formula>0</formula>
    </cfRule>
  </conditionalFormatting>
  <conditionalFormatting sqref="H554:I559">
    <cfRule type="cellIs" dxfId="60" priority="3" operator="equal">
      <formula>0</formula>
    </cfRule>
  </conditionalFormatting>
  <conditionalFormatting sqref="P6:V7 AC6:AL14 N6:N685 Q8:V14 P8:P22 Q15:AK23 P24:AK35 AC26:AL34 P28:P42 Q35:AL43">
    <cfRule type="cellIs" dxfId="59" priority="2" operator="equal">
      <formula>0</formula>
    </cfRule>
  </conditionalFormatting>
  <conditionalFormatting sqref="R1:AZ1 BB1:XFD1 C1:F5 H1:I36 R2:AX2 AZ2:XFD2 K2:M4 BB3:XFD3 R3:AZ4 G3:G36 BB4:BK4 BM4:BO11 BQ4:XFD12 L5:BK5 AO6:AY6 BF6:BK10 BP6:BP35 F6:F36 BE6:BE53 J6:M114 C6:C537 O6:O686 AW7:AY20 AP7:AS30 AU7:AV36 BD7:BD53 AT7:AT161 AO7:AO559 BF11:BL11 BF12:BK12 BM12:BN12 BF13:XFD14 BM15:XFD20 BF15:BJ21 BM15:BO21 AW21:AZ23 P21:AN25 BE21:XFD25 BF22:BO35 AW24:BC25 AW26:AY36 AM26:AN53 BP26:XFD53 AZ27:AZ34 AQ31:AS45 AP31:AP111 AZ35:BC35 BF35:BJ41 BM35:BO41 AZ36:BP41 AU37:AY45 F37:I537 BF42:BO53 P44:AL53 AQ46:AY46 AU47:AZ53 AQ47:AS111 P54:AN114 AU54:AU161 AV54:XFD263 AP103:AS114 P115:AS130 J115:K148 L115:M557 AQ131:AS161 P131:AP165 K149:K557 J149:J559 AQ162:AU204 AP166:AP206 P166:AN532 AQ205:AS206 AT205:AU240 AP207:AS207 AQ208:AS214 AP208:AP246 AS215:AS240 AQ215:AR246 AS241:AU263 AP247:AT247 AP248:AR263 AP264:XFD275 AP276:AP531 AQ276:XFD532 AO532:AP532 P533:XFD686 C538:I553 C554:G1048576 K558:M685 K686:N686 K687:XFD1048576">
    <cfRule type="cellIs" dxfId="58" priority="11" operator="equal">
      <formula>0</formula>
    </cfRule>
  </conditionalFormatting>
  <conditionalFormatting sqref="BA6:BC53">
    <cfRule type="cellIs" dxfId="57" priority="1" operator="equal">
      <formula>0</formula>
    </cfRule>
  </conditionalFormatting>
  <dataValidations count="6">
    <dataValidation type="list" allowBlank="1" showInputMessage="1" showErrorMessage="1" sqref="AZ1" xr:uid="{2B10DFB3-A021-D04C-9625-E30270DB008D}">
      <formula1>INDIRECT($AY$1)</formula1>
    </dataValidation>
    <dataValidation type="list" allowBlank="1" showInputMessage="1" showErrorMessage="1" sqref="AY3" xr:uid="{27CC2939-F0B2-784E-A886-2D7F12497518}">
      <formula1>$BC$6:$BC$17</formula1>
    </dataValidation>
    <dataValidation type="list" allowBlank="1" showInputMessage="1" showErrorMessage="1" sqref="AZ3" xr:uid="{55BEED9C-E667-5B41-9F9E-7ADFC749444C}">
      <formula1>INDIRECT($AY$3)</formula1>
    </dataValidation>
    <dataValidation type="list" allowBlank="1" showInputMessage="1" showErrorMessage="1" sqref="AZ4" xr:uid="{9581B0EC-EE2C-554D-8712-48DA66228A42}">
      <formula1>INDIRECT($AY$4)</formula1>
    </dataValidation>
    <dataValidation type="list" allowBlank="1" showInputMessage="1" showErrorMessage="1" sqref="AY4" xr:uid="{F6197FCC-378E-994A-B619-8A67DA0E4023}">
      <formula1>$BE$6:$BE$11</formula1>
    </dataValidation>
    <dataValidation type="list" allowBlank="1" showInputMessage="1" showErrorMessage="1" sqref="AY1" xr:uid="{43F293A9-BAD8-E94F-9A87-CAB623A5C6FC}">
      <formula1>$AZ$6:$AZ$20</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IP1522"/>
  <sheetViews>
    <sheetView zoomScale="75" workbookViewId="0">
      <pane xSplit="2" ySplit="1" topLeftCell="C2" activePane="bottomRight" state="frozen"/>
      <selection activeCell="O51" sqref="O51"/>
      <selection pane="topRight" activeCell="O51" sqref="O51"/>
      <selection pane="bottomLeft" activeCell="O51" sqref="O51"/>
      <selection pane="bottomRight" activeCell="O51" sqref="O51"/>
    </sheetView>
  </sheetViews>
  <sheetFormatPr baseColWidth="10" defaultColWidth="9.1640625" defaultRowHeight="16"/>
  <cols>
    <col min="1" max="1" width="0" style="214" hidden="1" customWidth="1"/>
    <col min="2" max="2" width="52.83203125" style="211" bestFit="1" customWidth="1"/>
    <col min="3" max="3" width="24.5" style="212" customWidth="1"/>
    <col min="4" max="4" width="24" style="212" bestFit="1" customWidth="1"/>
    <col min="5" max="5" width="18" style="212" bestFit="1" customWidth="1"/>
    <col min="6" max="6" width="22.6640625" style="107" customWidth="1"/>
    <col min="7" max="7" width="22.83203125" style="213" bestFit="1" customWidth="1"/>
    <col min="8" max="8" width="33.5" style="214" bestFit="1" customWidth="1"/>
    <col min="9" max="9" width="16.83203125" style="214" customWidth="1"/>
    <col min="10" max="16384" width="9.1640625" style="214"/>
  </cols>
  <sheetData>
    <row r="1" spans="2:21" ht="17">
      <c r="B1" s="211" t="s">
        <v>2516</v>
      </c>
      <c r="C1" s="212" t="s">
        <v>2517</v>
      </c>
      <c r="D1" s="212" t="s">
        <v>2518</v>
      </c>
      <c r="E1" s="212" t="s">
        <v>2519</v>
      </c>
      <c r="F1" s="210" t="s">
        <v>2520</v>
      </c>
      <c r="G1" s="213" t="s">
        <v>2521</v>
      </c>
      <c r="H1" s="212" t="s">
        <v>2522</v>
      </c>
      <c r="N1" s="214">
        <f>SUM(Items!A242:A254)</f>
        <v>40</v>
      </c>
      <c r="O1" s="214">
        <f>IF(MOD($N$1,ROW())=0,ROW(),"")</f>
        <v>1</v>
      </c>
      <c r="P1" s="214">
        <f>IFERROR(LARGE(O$1:O$100, ROW()), "")</f>
        <v>40</v>
      </c>
      <c r="Q1" s="214" t="str">
        <f>_xlfn.TEXTJOIN(", ", TRUE, P1:P100)</f>
        <v>40, 20, 10, 8, 5, 4, 2, 1</v>
      </c>
    </row>
    <row r="2" spans="2:21" ht="17">
      <c r="B2" s="211" t="s">
        <v>848</v>
      </c>
      <c r="C2" s="212" t="s">
        <v>2666</v>
      </c>
      <c r="D2" s="212" t="s">
        <v>956</v>
      </c>
      <c r="E2" s="215" t="s">
        <v>28</v>
      </c>
      <c r="F2" s="107" t="str">
        <f>UPPER(LEFT(B2,1)) &amp; IFERROR(UPPER(LEFT(MID(B2,FIND(" ",B2)+1,LEN(B2)),1)),"") &amp; IFERROR(UPPER(LEFT(MID(B2,FIND(" ",B2,FIND(" ",B2)+1)+1,LEN(B2)),1)),"") &amp; IFERROR(UPPER(LEFT(MID(B2,FIND(" ",B2,FIND(" ",B2,FIND(" ",B2)+1)+1)+1,LEN(B2)),1)),"")</f>
        <v>TR</v>
      </c>
      <c r="I2" s="214" t="s">
        <v>854</v>
      </c>
      <c r="J2" s="214" t="s">
        <v>855</v>
      </c>
      <c r="O2" s="214">
        <f t="shared" ref="O2:O65" si="0">IF(MOD($N$1,ROW())=0,ROW(),"")</f>
        <v>2</v>
      </c>
      <c r="P2" s="214">
        <f t="shared" ref="P2:P11" si="1">IFERROR(LARGE(O$1:O$100, ROW()), "")</f>
        <v>20</v>
      </c>
      <c r="U2" s="214">
        <f t="shared" ref="U2:U65" si="2">IF(MOD($T$500,ROW())=0,ROW(),"")</f>
        <v>2</v>
      </c>
    </row>
    <row r="3" spans="2:21" ht="17">
      <c r="B3" s="211" t="s">
        <v>29</v>
      </c>
      <c r="C3" s="212" t="s">
        <v>30</v>
      </c>
      <c r="D3" s="212" t="s">
        <v>217</v>
      </c>
      <c r="E3" s="215" t="s">
        <v>31</v>
      </c>
      <c r="F3" s="107" t="str">
        <f t="shared" ref="F3:F66" si="3">UPPER(LEFT(B3,1)) &amp; IFERROR(UPPER(LEFT(MID(B3,FIND(" ",B3)+1,LEN(B3)),1)),"") &amp; IFERROR(UPPER(LEFT(MID(B3,FIND(" ",B3,FIND(" ",B3)+1)+1,LEN(B3)),1)),"") &amp; IFERROR(UPPER(LEFT(MID(B3,FIND(" ",B3,FIND(" ",B3,FIND(" ",B3)+1)+1)+1,LEN(B3)),1)),"")</f>
        <v>AB</v>
      </c>
      <c r="I3" s="214" t="s">
        <v>20</v>
      </c>
      <c r="J3" s="214">
        <v>1234</v>
      </c>
      <c r="O3" s="214" t="str">
        <f t="shared" si="0"/>
        <v/>
      </c>
      <c r="P3" s="214">
        <f t="shared" si="1"/>
        <v>10</v>
      </c>
      <c r="U3" s="214">
        <f t="shared" si="2"/>
        <v>3</v>
      </c>
    </row>
    <row r="4" spans="2:21" ht="17">
      <c r="B4" s="211" t="s">
        <v>32</v>
      </c>
      <c r="C4" s="212" t="s">
        <v>33</v>
      </c>
      <c r="D4" s="212" t="s">
        <v>217</v>
      </c>
      <c r="E4" s="215" t="s">
        <v>34</v>
      </c>
      <c r="F4" s="107" t="str">
        <f t="shared" si="3"/>
        <v>DTA</v>
      </c>
      <c r="I4" s="214" t="s">
        <v>852</v>
      </c>
      <c r="J4" s="214">
        <v>5555</v>
      </c>
      <c r="O4" s="214">
        <f t="shared" si="0"/>
        <v>4</v>
      </c>
      <c r="P4" s="214">
        <f t="shared" si="1"/>
        <v>8</v>
      </c>
      <c r="U4" s="214">
        <f t="shared" si="2"/>
        <v>4</v>
      </c>
    </row>
    <row r="5" spans="2:21" ht="17">
      <c r="B5" s="211" t="s">
        <v>35</v>
      </c>
      <c r="C5" s="212" t="s">
        <v>36</v>
      </c>
      <c r="D5" s="212" t="s">
        <v>36</v>
      </c>
      <c r="E5" s="215">
        <v>0</v>
      </c>
      <c r="F5" s="107" t="str">
        <f t="shared" si="3"/>
        <v>RS</v>
      </c>
      <c r="I5" s="214" t="s">
        <v>853</v>
      </c>
      <c r="J5" s="214">
        <v>1980</v>
      </c>
      <c r="O5" s="214">
        <f t="shared" si="0"/>
        <v>5</v>
      </c>
      <c r="P5" s="214">
        <f t="shared" si="1"/>
        <v>5</v>
      </c>
      <c r="U5" s="214">
        <f t="shared" si="2"/>
        <v>5</v>
      </c>
    </row>
    <row r="6" spans="2:21" ht="17">
      <c r="B6" s="211" t="s">
        <v>37</v>
      </c>
      <c r="C6" s="212" t="s">
        <v>38</v>
      </c>
      <c r="D6" s="212" t="s">
        <v>955</v>
      </c>
      <c r="E6" s="215">
        <v>0</v>
      </c>
      <c r="F6" s="107" t="str">
        <f t="shared" si="3"/>
        <v>HF&amp;D</v>
      </c>
      <c r="O6" s="214" t="str">
        <f t="shared" si="0"/>
        <v/>
      </c>
      <c r="P6" s="214">
        <f t="shared" si="1"/>
        <v>4</v>
      </c>
      <c r="U6" s="214">
        <f t="shared" si="2"/>
        <v>6</v>
      </c>
    </row>
    <row r="7" spans="2:21" ht="17">
      <c r="B7" s="211" t="s">
        <v>846</v>
      </c>
      <c r="C7" s="212" t="s">
        <v>39</v>
      </c>
      <c r="D7" s="212" t="s">
        <v>217</v>
      </c>
      <c r="E7" s="215">
        <v>0</v>
      </c>
      <c r="F7" s="107" t="str">
        <f t="shared" si="3"/>
        <v>CA</v>
      </c>
      <c r="O7" s="214" t="str">
        <f t="shared" si="0"/>
        <v/>
      </c>
      <c r="P7" s="214">
        <f t="shared" si="1"/>
        <v>2</v>
      </c>
      <c r="U7" s="214">
        <f t="shared" si="2"/>
        <v>7</v>
      </c>
    </row>
    <row r="8" spans="2:21" ht="17">
      <c r="B8" s="211" t="s">
        <v>40</v>
      </c>
      <c r="C8" s="212" t="s">
        <v>41</v>
      </c>
      <c r="D8" s="212" t="s">
        <v>36</v>
      </c>
      <c r="E8" s="215" t="s">
        <v>732</v>
      </c>
      <c r="F8" s="107" t="str">
        <f t="shared" si="3"/>
        <v>ME-I</v>
      </c>
      <c r="O8" s="214">
        <f t="shared" si="0"/>
        <v>8</v>
      </c>
      <c r="P8" s="214">
        <f t="shared" si="1"/>
        <v>1</v>
      </c>
      <c r="U8" s="214">
        <f t="shared" si="2"/>
        <v>8</v>
      </c>
    </row>
    <row r="9" spans="2:21" ht="17">
      <c r="B9" s="211" t="s">
        <v>42</v>
      </c>
      <c r="C9" s="212" t="s">
        <v>43</v>
      </c>
      <c r="D9" s="212" t="s">
        <v>957</v>
      </c>
      <c r="E9" s="215">
        <v>0</v>
      </c>
      <c r="F9" s="107" t="str">
        <f t="shared" si="3"/>
        <v>AI</v>
      </c>
      <c r="O9" s="214" t="str">
        <f t="shared" si="0"/>
        <v/>
      </c>
      <c r="P9" s="214" t="str">
        <f t="shared" si="1"/>
        <v/>
      </c>
      <c r="U9" s="214">
        <f t="shared" si="2"/>
        <v>9</v>
      </c>
    </row>
    <row r="10" spans="2:21" ht="17">
      <c r="B10" s="211" t="s">
        <v>44</v>
      </c>
      <c r="C10" s="212" t="s">
        <v>45</v>
      </c>
      <c r="D10" s="212" t="s">
        <v>36</v>
      </c>
      <c r="E10" s="215" t="s">
        <v>46</v>
      </c>
      <c r="F10" s="107" t="str">
        <f t="shared" si="3"/>
        <v>MKN</v>
      </c>
      <c r="O10" s="214">
        <f t="shared" si="0"/>
        <v>10</v>
      </c>
      <c r="P10" s="214" t="str">
        <f t="shared" si="1"/>
        <v/>
      </c>
      <c r="U10" s="214">
        <f t="shared" si="2"/>
        <v>10</v>
      </c>
    </row>
    <row r="11" spans="2:21" ht="17">
      <c r="B11" s="211" t="s">
        <v>48</v>
      </c>
      <c r="C11" s="212" t="s">
        <v>39</v>
      </c>
      <c r="D11" s="212" t="s">
        <v>217</v>
      </c>
      <c r="E11" s="215" t="s">
        <v>1547</v>
      </c>
      <c r="F11" s="107" t="str">
        <f t="shared" si="3"/>
        <v>IC</v>
      </c>
      <c r="G11" s="213" t="s">
        <v>1546</v>
      </c>
      <c r="O11" s="214" t="str">
        <f t="shared" si="0"/>
        <v/>
      </c>
      <c r="P11" s="214" t="str">
        <f t="shared" si="1"/>
        <v/>
      </c>
      <c r="U11" s="214">
        <f t="shared" si="2"/>
        <v>11</v>
      </c>
    </row>
    <row r="12" spans="2:21" ht="17">
      <c r="B12" s="211" t="s">
        <v>49</v>
      </c>
      <c r="C12" s="212" t="s">
        <v>50</v>
      </c>
      <c r="D12" s="212" t="s">
        <v>50</v>
      </c>
      <c r="E12" s="215">
        <v>0</v>
      </c>
      <c r="F12" s="107" t="str">
        <f t="shared" si="3"/>
        <v>MR</v>
      </c>
      <c r="O12" s="214" t="str">
        <f t="shared" si="0"/>
        <v/>
      </c>
      <c r="P12" s="214" t="str">
        <f t="shared" ref="P12:P43" si="4">IFERROR(LARGE(O$1:O$100, ROW()), "")</f>
        <v/>
      </c>
      <c r="U12" s="214">
        <f t="shared" si="2"/>
        <v>12</v>
      </c>
    </row>
    <row r="13" spans="2:21" ht="17">
      <c r="B13" s="211" t="s">
        <v>51</v>
      </c>
      <c r="C13" s="212" t="s">
        <v>52</v>
      </c>
      <c r="D13" s="212" t="s">
        <v>52</v>
      </c>
      <c r="E13" s="215">
        <v>0</v>
      </c>
      <c r="F13" s="107" t="str">
        <f t="shared" si="3"/>
        <v>MEOA</v>
      </c>
      <c r="O13" s="214" t="str">
        <f t="shared" si="0"/>
        <v/>
      </c>
      <c r="P13" s="214" t="str">
        <f t="shared" si="4"/>
        <v/>
      </c>
      <c r="U13" s="214">
        <f t="shared" si="2"/>
        <v>13</v>
      </c>
    </row>
    <row r="14" spans="2:21" ht="17">
      <c r="B14" s="211" t="s">
        <v>53</v>
      </c>
      <c r="C14" s="212" t="s">
        <v>54</v>
      </c>
      <c r="D14" s="212" t="s">
        <v>217</v>
      </c>
      <c r="E14" s="215" t="s">
        <v>55</v>
      </c>
      <c r="F14" s="107" t="str">
        <f t="shared" si="3"/>
        <v>CBS</v>
      </c>
      <c r="O14" s="214" t="str">
        <f t="shared" si="0"/>
        <v/>
      </c>
      <c r="P14" s="214" t="str">
        <f t="shared" si="4"/>
        <v/>
      </c>
      <c r="U14" s="214">
        <f t="shared" si="2"/>
        <v>14</v>
      </c>
    </row>
    <row r="15" spans="2:21" ht="17">
      <c r="B15" s="211" t="s">
        <v>56</v>
      </c>
      <c r="C15" s="212" t="s">
        <v>50</v>
      </c>
      <c r="D15" s="212" t="s">
        <v>50</v>
      </c>
      <c r="E15" s="215">
        <v>0</v>
      </c>
      <c r="F15" s="107" t="str">
        <f t="shared" si="3"/>
        <v>DS</v>
      </c>
      <c r="O15" s="214" t="str">
        <f t="shared" si="0"/>
        <v/>
      </c>
      <c r="P15" s="214" t="str">
        <f t="shared" si="4"/>
        <v/>
      </c>
      <c r="U15" s="214">
        <f t="shared" si="2"/>
        <v>15</v>
      </c>
    </row>
    <row r="16" spans="2:21" ht="17">
      <c r="B16" s="211" t="s">
        <v>57</v>
      </c>
      <c r="C16" s="212" t="s">
        <v>58</v>
      </c>
      <c r="D16" s="212" t="s">
        <v>955</v>
      </c>
      <c r="E16" s="215" t="s">
        <v>59</v>
      </c>
      <c r="F16" s="107" t="str">
        <f t="shared" si="3"/>
        <v>SVH</v>
      </c>
      <c r="O16" s="214" t="str">
        <f t="shared" si="0"/>
        <v/>
      </c>
      <c r="P16" s="214" t="str">
        <f t="shared" si="4"/>
        <v/>
      </c>
      <c r="U16" s="214">
        <f t="shared" si="2"/>
        <v>16</v>
      </c>
    </row>
    <row r="17" spans="2:21" ht="17">
      <c r="B17" s="211" t="s">
        <v>60</v>
      </c>
      <c r="C17" s="212" t="s">
        <v>61</v>
      </c>
      <c r="D17" s="212" t="s">
        <v>955</v>
      </c>
      <c r="E17" s="215" t="s">
        <v>62</v>
      </c>
      <c r="F17" s="107" t="str">
        <f t="shared" si="3"/>
        <v>NP</v>
      </c>
      <c r="O17" s="214" t="str">
        <f t="shared" si="0"/>
        <v/>
      </c>
      <c r="P17" s="214" t="str">
        <f t="shared" si="4"/>
        <v/>
      </c>
      <c r="U17" s="214">
        <f t="shared" si="2"/>
        <v>17</v>
      </c>
    </row>
    <row r="18" spans="2:21" ht="17">
      <c r="B18" s="211" t="s">
        <v>849</v>
      </c>
      <c r="C18" s="212" t="s">
        <v>63</v>
      </c>
      <c r="D18" s="212" t="s">
        <v>217</v>
      </c>
      <c r="E18" s="215" t="s">
        <v>64</v>
      </c>
      <c r="F18" s="107" t="str">
        <f t="shared" si="3"/>
        <v>FD</v>
      </c>
      <c r="O18" s="214" t="str">
        <f t="shared" si="0"/>
        <v/>
      </c>
      <c r="P18" s="214" t="str">
        <f t="shared" si="4"/>
        <v/>
      </c>
      <c r="U18" s="214">
        <f t="shared" si="2"/>
        <v>18</v>
      </c>
    </row>
    <row r="19" spans="2:21" ht="17">
      <c r="B19" s="211" t="s">
        <v>850</v>
      </c>
      <c r="C19" s="212" t="s">
        <v>33</v>
      </c>
      <c r="D19" s="212" t="s">
        <v>217</v>
      </c>
      <c r="E19" s="215" t="s">
        <v>64</v>
      </c>
      <c r="F19" s="107" t="str">
        <f t="shared" si="3"/>
        <v>FDOM</v>
      </c>
      <c r="O19" s="214" t="str">
        <f t="shared" si="0"/>
        <v/>
      </c>
      <c r="P19" s="214" t="str">
        <f t="shared" si="4"/>
        <v/>
      </c>
      <c r="U19" s="214">
        <f t="shared" si="2"/>
        <v>19</v>
      </c>
    </row>
    <row r="20" spans="2:21" ht="17">
      <c r="B20" s="211" t="s">
        <v>65</v>
      </c>
      <c r="C20" s="212" t="s">
        <v>47</v>
      </c>
      <c r="D20" s="212" t="s">
        <v>217</v>
      </c>
      <c r="E20" s="215" t="s">
        <v>66</v>
      </c>
      <c r="F20" s="107" t="str">
        <f t="shared" si="3"/>
        <v>DT</v>
      </c>
      <c r="O20" s="214">
        <f t="shared" si="0"/>
        <v>20</v>
      </c>
      <c r="P20" s="214" t="str">
        <f t="shared" si="4"/>
        <v/>
      </c>
      <c r="U20" s="214">
        <f t="shared" si="2"/>
        <v>20</v>
      </c>
    </row>
    <row r="21" spans="2:21" ht="17">
      <c r="B21" s="211" t="s">
        <v>67</v>
      </c>
      <c r="C21" s="212" t="s">
        <v>68</v>
      </c>
      <c r="D21" s="212" t="s">
        <v>217</v>
      </c>
      <c r="E21" s="215">
        <v>0</v>
      </c>
      <c r="F21" s="107" t="str">
        <f t="shared" si="3"/>
        <v>P</v>
      </c>
      <c r="O21" s="214" t="str">
        <f t="shared" si="0"/>
        <v/>
      </c>
      <c r="P21" s="214" t="str">
        <f t="shared" si="4"/>
        <v/>
      </c>
      <c r="U21" s="214">
        <f t="shared" si="2"/>
        <v>21</v>
      </c>
    </row>
    <row r="22" spans="2:21" ht="17">
      <c r="B22" s="211" t="s">
        <v>847</v>
      </c>
      <c r="C22" s="212" t="s">
        <v>41</v>
      </c>
      <c r="D22" s="212" t="s">
        <v>36</v>
      </c>
      <c r="E22" s="215">
        <v>0</v>
      </c>
      <c r="F22" s="107" t="str">
        <f t="shared" si="3"/>
        <v>EIC</v>
      </c>
      <c r="O22" s="214" t="str">
        <f t="shared" si="0"/>
        <v/>
      </c>
      <c r="P22" s="214" t="str">
        <f t="shared" si="4"/>
        <v/>
      </c>
      <c r="U22" s="214">
        <f t="shared" si="2"/>
        <v>22</v>
      </c>
    </row>
    <row r="23" spans="2:21" ht="17">
      <c r="B23" s="211" t="s">
        <v>69</v>
      </c>
      <c r="C23" s="212" t="s">
        <v>70</v>
      </c>
      <c r="D23" s="212" t="s">
        <v>217</v>
      </c>
      <c r="E23" s="215">
        <v>0</v>
      </c>
      <c r="F23" s="107" t="str">
        <f t="shared" si="3"/>
        <v>BAK</v>
      </c>
      <c r="O23" s="214" t="str">
        <f t="shared" si="0"/>
        <v/>
      </c>
      <c r="P23" s="214" t="str">
        <f t="shared" si="4"/>
        <v/>
      </c>
      <c r="U23" s="214">
        <f t="shared" si="2"/>
        <v>23</v>
      </c>
    </row>
    <row r="24" spans="2:21" ht="17">
      <c r="B24" s="211" t="s">
        <v>71</v>
      </c>
      <c r="C24" s="212" t="s">
        <v>70</v>
      </c>
      <c r="D24" s="212" t="s">
        <v>217</v>
      </c>
      <c r="E24" s="215">
        <v>0</v>
      </c>
      <c r="F24" s="107" t="str">
        <f t="shared" si="3"/>
        <v>MDM</v>
      </c>
      <c r="O24" s="214" t="str">
        <f t="shared" si="0"/>
        <v/>
      </c>
      <c r="P24" s="214" t="str">
        <f t="shared" si="4"/>
        <v/>
      </c>
      <c r="U24" s="214">
        <f t="shared" si="2"/>
        <v>24</v>
      </c>
    </row>
    <row r="25" spans="2:21" ht="17">
      <c r="B25" s="211" t="s">
        <v>72</v>
      </c>
      <c r="C25" s="212" t="s">
        <v>73</v>
      </c>
      <c r="D25" s="212" t="s">
        <v>217</v>
      </c>
      <c r="E25" s="215">
        <v>0</v>
      </c>
      <c r="F25" s="107" t="str">
        <f t="shared" si="3"/>
        <v>DA</v>
      </c>
      <c r="O25" s="214" t="str">
        <f t="shared" si="0"/>
        <v/>
      </c>
      <c r="P25" s="214" t="str">
        <f t="shared" si="4"/>
        <v/>
      </c>
      <c r="U25" s="214">
        <f t="shared" si="2"/>
        <v>25</v>
      </c>
    </row>
    <row r="26" spans="2:21" ht="17">
      <c r="B26" s="211" t="s">
        <v>74</v>
      </c>
      <c r="C26" s="212" t="s">
        <v>75</v>
      </c>
      <c r="D26" s="212" t="s">
        <v>217</v>
      </c>
      <c r="E26" s="215">
        <v>0</v>
      </c>
      <c r="F26" s="107" t="str">
        <f t="shared" si="3"/>
        <v>MFB</v>
      </c>
      <c r="O26" s="214" t="str">
        <f t="shared" si="0"/>
        <v/>
      </c>
      <c r="P26" s="214" t="str">
        <f t="shared" si="4"/>
        <v/>
      </c>
      <c r="U26" s="214">
        <f t="shared" si="2"/>
        <v>26</v>
      </c>
    </row>
    <row r="27" spans="2:21" ht="17">
      <c r="B27" s="211" t="s">
        <v>76</v>
      </c>
      <c r="C27" s="212" t="s">
        <v>63</v>
      </c>
      <c r="D27" s="212" t="s">
        <v>217</v>
      </c>
      <c r="E27" s="215">
        <v>0</v>
      </c>
      <c r="F27" s="107" t="str">
        <f t="shared" si="3"/>
        <v>CT</v>
      </c>
      <c r="O27" s="214" t="str">
        <f t="shared" si="0"/>
        <v/>
      </c>
      <c r="P27" s="214" t="str">
        <f t="shared" si="4"/>
        <v/>
      </c>
      <c r="U27" s="214">
        <f t="shared" si="2"/>
        <v>27</v>
      </c>
    </row>
    <row r="28" spans="2:21" ht="17">
      <c r="B28" s="211" t="s">
        <v>77</v>
      </c>
      <c r="C28" s="212" t="s">
        <v>78</v>
      </c>
      <c r="D28" s="212" t="s">
        <v>217</v>
      </c>
      <c r="E28" s="215" t="s">
        <v>79</v>
      </c>
      <c r="F28" s="107" t="str">
        <f t="shared" si="3"/>
        <v>MSA</v>
      </c>
      <c r="O28" s="214" t="str">
        <f t="shared" si="0"/>
        <v/>
      </c>
      <c r="P28" s="214" t="str">
        <f t="shared" si="4"/>
        <v/>
      </c>
      <c r="U28" s="214">
        <f t="shared" si="2"/>
        <v>28</v>
      </c>
    </row>
    <row r="29" spans="2:21" ht="17">
      <c r="B29" s="211" t="s">
        <v>80</v>
      </c>
      <c r="C29" s="212" t="s">
        <v>81</v>
      </c>
      <c r="D29" s="212" t="s">
        <v>217</v>
      </c>
      <c r="E29" s="215" t="s">
        <v>82</v>
      </c>
      <c r="F29" s="107" t="str">
        <f t="shared" si="3"/>
        <v>T</v>
      </c>
      <c r="O29" s="214" t="str">
        <f t="shared" si="0"/>
        <v/>
      </c>
      <c r="P29" s="214" t="str">
        <f t="shared" si="4"/>
        <v/>
      </c>
      <c r="U29" s="214">
        <f t="shared" si="2"/>
        <v>29</v>
      </c>
    </row>
    <row r="30" spans="2:21" ht="17">
      <c r="B30" s="211" t="s">
        <v>83</v>
      </c>
      <c r="C30" s="212" t="s">
        <v>36</v>
      </c>
      <c r="D30" s="212" t="s">
        <v>36</v>
      </c>
      <c r="E30" s="215">
        <v>0</v>
      </c>
      <c r="F30" s="107" t="str">
        <f t="shared" si="3"/>
        <v>DB</v>
      </c>
      <c r="O30" s="214" t="str">
        <f t="shared" si="0"/>
        <v/>
      </c>
      <c r="P30" s="214" t="str">
        <f t="shared" si="4"/>
        <v/>
      </c>
      <c r="U30" s="214">
        <f t="shared" si="2"/>
        <v>30</v>
      </c>
    </row>
    <row r="31" spans="2:21" ht="17">
      <c r="B31" s="211" t="s">
        <v>84</v>
      </c>
      <c r="C31" s="212" t="s">
        <v>47</v>
      </c>
      <c r="D31" s="212" t="s">
        <v>217</v>
      </c>
      <c r="E31" s="215" t="s">
        <v>85</v>
      </c>
      <c r="F31" s="107" t="str">
        <f t="shared" si="3"/>
        <v>NOG</v>
      </c>
      <c r="O31" s="214" t="str">
        <f t="shared" si="0"/>
        <v/>
      </c>
      <c r="P31" s="214" t="str">
        <f t="shared" si="4"/>
        <v/>
      </c>
      <c r="U31" s="214">
        <f t="shared" si="2"/>
        <v>31</v>
      </c>
    </row>
    <row r="32" spans="2:21" ht="17">
      <c r="B32" s="211" t="s">
        <v>86</v>
      </c>
      <c r="C32" s="212" t="s">
        <v>87</v>
      </c>
      <c r="D32" s="212" t="s">
        <v>217</v>
      </c>
      <c r="E32" s="215">
        <v>0</v>
      </c>
      <c r="F32" s="107" t="str">
        <f t="shared" si="3"/>
        <v>TB</v>
      </c>
      <c r="O32" s="214" t="str">
        <f t="shared" si="0"/>
        <v/>
      </c>
      <c r="P32" s="214" t="str">
        <f t="shared" si="4"/>
        <v/>
      </c>
      <c r="U32" s="214">
        <f t="shared" si="2"/>
        <v>32</v>
      </c>
    </row>
    <row r="33" spans="2:21" ht="17">
      <c r="B33" s="211" t="s">
        <v>88</v>
      </c>
      <c r="C33" s="212" t="s">
        <v>39</v>
      </c>
      <c r="D33" s="212" t="s">
        <v>217</v>
      </c>
      <c r="E33" s="215">
        <v>0</v>
      </c>
      <c r="F33" s="107" t="str">
        <f t="shared" si="3"/>
        <v>SK</v>
      </c>
      <c r="O33" s="214" t="str">
        <f t="shared" si="0"/>
        <v/>
      </c>
      <c r="P33" s="214" t="str">
        <f t="shared" si="4"/>
        <v/>
      </c>
      <c r="U33" s="214">
        <f t="shared" si="2"/>
        <v>33</v>
      </c>
    </row>
    <row r="34" spans="2:21" ht="17">
      <c r="B34" s="211" t="s">
        <v>851</v>
      </c>
      <c r="C34" s="212" t="s">
        <v>27</v>
      </c>
      <c r="D34" s="212" t="s">
        <v>856</v>
      </c>
      <c r="E34" s="215" t="s">
        <v>89</v>
      </c>
      <c r="F34" s="107" t="str">
        <f t="shared" si="3"/>
        <v>TCVC</v>
      </c>
      <c r="O34" s="214" t="str">
        <f t="shared" si="0"/>
        <v/>
      </c>
      <c r="P34" s="214" t="str">
        <f t="shared" si="4"/>
        <v/>
      </c>
      <c r="U34" s="214">
        <f t="shared" si="2"/>
        <v>34</v>
      </c>
    </row>
    <row r="35" spans="2:21" ht="17">
      <c r="B35" s="211" t="s">
        <v>90</v>
      </c>
      <c r="C35" s="212" t="s">
        <v>91</v>
      </c>
      <c r="D35" s="212" t="s">
        <v>217</v>
      </c>
      <c r="E35" s="215" t="s">
        <v>92</v>
      </c>
      <c r="F35" s="107" t="str">
        <f t="shared" si="3"/>
        <v>PH</v>
      </c>
      <c r="O35" s="214" t="str">
        <f t="shared" si="0"/>
        <v/>
      </c>
      <c r="P35" s="214" t="str">
        <f t="shared" si="4"/>
        <v/>
      </c>
      <c r="U35" s="214">
        <f t="shared" si="2"/>
        <v>35</v>
      </c>
    </row>
    <row r="36" spans="2:21" ht="34">
      <c r="B36" s="211" t="s">
        <v>93</v>
      </c>
      <c r="C36" s="212" t="s">
        <v>94</v>
      </c>
      <c r="D36" s="212" t="s">
        <v>217</v>
      </c>
      <c r="E36" s="215" t="s">
        <v>1620</v>
      </c>
      <c r="F36" s="107" t="str">
        <f t="shared" si="3"/>
        <v>CIT</v>
      </c>
      <c r="O36" s="214" t="str">
        <f t="shared" si="0"/>
        <v/>
      </c>
      <c r="P36" s="214" t="str">
        <f t="shared" si="4"/>
        <v/>
      </c>
      <c r="U36" s="214">
        <f t="shared" si="2"/>
        <v>36</v>
      </c>
    </row>
    <row r="37" spans="2:21" ht="17">
      <c r="B37" s="211" t="s">
        <v>95</v>
      </c>
      <c r="C37" s="212" t="s">
        <v>96</v>
      </c>
      <c r="D37" s="212" t="s">
        <v>217</v>
      </c>
      <c r="E37" s="215" t="s">
        <v>97</v>
      </c>
      <c r="F37" s="107" t="str">
        <f t="shared" si="3"/>
        <v>FD</v>
      </c>
      <c r="O37" s="214" t="str">
        <f t="shared" si="0"/>
        <v/>
      </c>
      <c r="P37" s="214" t="str">
        <f t="shared" si="4"/>
        <v/>
      </c>
      <c r="U37" s="214">
        <f t="shared" si="2"/>
        <v>37</v>
      </c>
    </row>
    <row r="38" spans="2:21" ht="17">
      <c r="B38" s="211" t="s">
        <v>98</v>
      </c>
      <c r="E38" s="215" t="s">
        <v>99</v>
      </c>
      <c r="F38" s="107" t="str">
        <f t="shared" si="3"/>
        <v>DAT</v>
      </c>
      <c r="O38" s="214" t="str">
        <f t="shared" si="0"/>
        <v/>
      </c>
      <c r="P38" s="214" t="str">
        <f t="shared" si="4"/>
        <v/>
      </c>
      <c r="U38" s="214">
        <f t="shared" si="2"/>
        <v>38</v>
      </c>
    </row>
    <row r="39" spans="2:21" ht="17">
      <c r="B39" s="211" t="s">
        <v>100</v>
      </c>
      <c r="E39" s="215" t="s">
        <v>101</v>
      </c>
      <c r="F39" s="107" t="str">
        <f t="shared" si="3"/>
        <v>MSA</v>
      </c>
      <c r="O39" s="214" t="str">
        <f t="shared" si="0"/>
        <v/>
      </c>
      <c r="P39" s="214" t="str">
        <f t="shared" si="4"/>
        <v/>
      </c>
      <c r="U39" s="214">
        <f t="shared" si="2"/>
        <v>39</v>
      </c>
    </row>
    <row r="40" spans="2:21" ht="17">
      <c r="B40" s="211" t="s">
        <v>102</v>
      </c>
      <c r="C40" s="212" t="s">
        <v>103</v>
      </c>
      <c r="D40" s="212" t="s">
        <v>217</v>
      </c>
      <c r="E40" s="215" t="s">
        <v>104</v>
      </c>
      <c r="F40" s="107" t="str">
        <f t="shared" si="3"/>
        <v>LFL</v>
      </c>
      <c r="O40" s="214">
        <f t="shared" si="0"/>
        <v>40</v>
      </c>
      <c r="P40" s="214" t="str">
        <f t="shared" si="4"/>
        <v/>
      </c>
      <c r="U40" s="214">
        <f t="shared" si="2"/>
        <v>40</v>
      </c>
    </row>
    <row r="41" spans="2:21" ht="17">
      <c r="B41" s="211" t="s">
        <v>105</v>
      </c>
      <c r="C41" s="212" t="s">
        <v>106</v>
      </c>
      <c r="D41" s="212" t="s">
        <v>217</v>
      </c>
      <c r="E41" s="215" t="s">
        <v>107</v>
      </c>
      <c r="F41" s="107" t="str">
        <f t="shared" si="3"/>
        <v>MFD</v>
      </c>
      <c r="O41" s="214" t="str">
        <f t="shared" si="0"/>
        <v/>
      </c>
      <c r="P41" s="214" t="str">
        <f t="shared" si="4"/>
        <v/>
      </c>
      <c r="U41" s="214">
        <f t="shared" si="2"/>
        <v>41</v>
      </c>
    </row>
    <row r="42" spans="2:21" ht="17">
      <c r="B42" s="211" t="s">
        <v>108</v>
      </c>
      <c r="C42" s="212" t="s">
        <v>109</v>
      </c>
      <c r="D42" s="212" t="s">
        <v>217</v>
      </c>
      <c r="E42" s="215" t="s">
        <v>110</v>
      </c>
      <c r="F42" s="107" t="str">
        <f t="shared" si="3"/>
        <v>DQ</v>
      </c>
      <c r="O42" s="214" t="str">
        <f t="shared" si="0"/>
        <v/>
      </c>
      <c r="P42" s="214" t="str">
        <f t="shared" si="4"/>
        <v/>
      </c>
      <c r="U42" s="214">
        <f t="shared" si="2"/>
        <v>42</v>
      </c>
    </row>
    <row r="43" spans="2:21" ht="17">
      <c r="B43" s="211" t="s">
        <v>111</v>
      </c>
      <c r="C43" s="212" t="s">
        <v>112</v>
      </c>
      <c r="D43" s="212" t="s">
        <v>217</v>
      </c>
      <c r="E43" s="215" t="s">
        <v>113</v>
      </c>
      <c r="F43" s="107" t="str">
        <f t="shared" si="3"/>
        <v>MSO</v>
      </c>
      <c r="O43" s="214" t="str">
        <f t="shared" si="0"/>
        <v/>
      </c>
      <c r="P43" s="214" t="str">
        <f t="shared" si="4"/>
        <v/>
      </c>
      <c r="U43" s="214">
        <f t="shared" si="2"/>
        <v>43</v>
      </c>
    </row>
    <row r="44" spans="2:21" ht="17">
      <c r="B44" s="211" t="s">
        <v>114</v>
      </c>
      <c r="C44" s="212" t="s">
        <v>115</v>
      </c>
      <c r="D44" s="212" t="s">
        <v>36</v>
      </c>
      <c r="E44" s="215" t="s">
        <v>116</v>
      </c>
      <c r="F44" s="107" t="str">
        <f t="shared" si="3"/>
        <v>MRA</v>
      </c>
      <c r="O44" s="214" t="str">
        <f t="shared" si="0"/>
        <v/>
      </c>
      <c r="P44" s="214" t="str">
        <f t="shared" ref="P44:P75" si="5">IFERROR(LARGE(O$1:O$100, ROW()), "")</f>
        <v/>
      </c>
      <c r="U44" s="214">
        <f t="shared" si="2"/>
        <v>44</v>
      </c>
    </row>
    <row r="45" spans="2:21" ht="17">
      <c r="B45" s="211" t="s">
        <v>117</v>
      </c>
      <c r="C45" s="212" t="s">
        <v>118</v>
      </c>
      <c r="D45" s="212" t="s">
        <v>217</v>
      </c>
      <c r="E45" s="215" t="s">
        <v>119</v>
      </c>
      <c r="F45" s="107" t="str">
        <f t="shared" si="3"/>
        <v>CA</v>
      </c>
      <c r="O45" s="214" t="str">
        <f t="shared" si="0"/>
        <v/>
      </c>
      <c r="P45" s="214" t="str">
        <f t="shared" si="5"/>
        <v/>
      </c>
      <c r="U45" s="214">
        <f t="shared" si="2"/>
        <v>45</v>
      </c>
    </row>
    <row r="46" spans="2:21" ht="17">
      <c r="B46" s="211" t="s">
        <v>120</v>
      </c>
      <c r="C46" s="212" t="s">
        <v>121</v>
      </c>
      <c r="D46" s="212" t="s">
        <v>217</v>
      </c>
      <c r="E46" s="215" t="s">
        <v>122</v>
      </c>
      <c r="F46" s="107" t="str">
        <f t="shared" si="3"/>
        <v>MJA</v>
      </c>
      <c r="O46" s="214" t="str">
        <f t="shared" si="0"/>
        <v/>
      </c>
      <c r="P46" s="214" t="str">
        <f t="shared" si="5"/>
        <v/>
      </c>
      <c r="U46" s="214">
        <f t="shared" si="2"/>
        <v>46</v>
      </c>
    </row>
    <row r="47" spans="2:21" ht="17">
      <c r="B47" s="211" t="s">
        <v>845</v>
      </c>
      <c r="C47" s="212" t="s">
        <v>124</v>
      </c>
      <c r="D47" s="212" t="s">
        <v>857</v>
      </c>
      <c r="E47" s="215">
        <v>0</v>
      </c>
      <c r="F47" s="107" t="str">
        <f t="shared" si="3"/>
        <v>UH</v>
      </c>
      <c r="O47" s="214" t="str">
        <f t="shared" si="0"/>
        <v/>
      </c>
      <c r="P47" s="214" t="str">
        <f t="shared" si="5"/>
        <v/>
      </c>
      <c r="U47" s="214">
        <f t="shared" si="2"/>
        <v>47</v>
      </c>
    </row>
    <row r="48" spans="2:21" ht="17">
      <c r="B48" s="211" t="s">
        <v>123</v>
      </c>
      <c r="C48" s="212" t="s">
        <v>844</v>
      </c>
      <c r="D48" s="212" t="s">
        <v>343</v>
      </c>
      <c r="E48" s="215">
        <v>0</v>
      </c>
      <c r="F48" s="107" t="str">
        <f t="shared" si="3"/>
        <v>U</v>
      </c>
      <c r="O48" s="214" t="str">
        <f t="shared" si="0"/>
        <v/>
      </c>
      <c r="P48" s="214" t="str">
        <f t="shared" si="5"/>
        <v/>
      </c>
      <c r="U48" s="214">
        <f t="shared" si="2"/>
        <v>48</v>
      </c>
    </row>
    <row r="49" spans="2:21" ht="17">
      <c r="B49" s="211" t="s">
        <v>125</v>
      </c>
      <c r="C49" s="212" t="s">
        <v>126</v>
      </c>
      <c r="D49" s="212" t="s">
        <v>52</v>
      </c>
      <c r="E49" s="215">
        <v>0</v>
      </c>
      <c r="F49" s="107" t="str">
        <f t="shared" si="3"/>
        <v>EHR</v>
      </c>
      <c r="O49" s="214" t="str">
        <f t="shared" si="0"/>
        <v/>
      </c>
      <c r="P49" s="214" t="str">
        <f t="shared" si="5"/>
        <v/>
      </c>
      <c r="U49" s="214">
        <f t="shared" si="2"/>
        <v>49</v>
      </c>
    </row>
    <row r="50" spans="2:21" ht="17">
      <c r="B50" s="211" t="s">
        <v>127</v>
      </c>
      <c r="C50" s="212" t="s">
        <v>70</v>
      </c>
      <c r="D50" s="212" t="s">
        <v>217</v>
      </c>
      <c r="E50" s="215">
        <v>0</v>
      </c>
      <c r="F50" s="107" t="str">
        <f t="shared" si="3"/>
        <v>EK</v>
      </c>
      <c r="O50" s="214" t="str">
        <f t="shared" si="0"/>
        <v/>
      </c>
      <c r="P50" s="214" t="str">
        <f t="shared" si="5"/>
        <v/>
      </c>
      <c r="U50" s="214">
        <f t="shared" si="2"/>
        <v>50</v>
      </c>
    </row>
    <row r="51" spans="2:21" ht="17">
      <c r="B51" s="211" t="s">
        <v>128</v>
      </c>
      <c r="C51" s="212" t="s">
        <v>129</v>
      </c>
      <c r="D51" s="212" t="s">
        <v>217</v>
      </c>
      <c r="E51" s="215">
        <v>0</v>
      </c>
      <c r="F51" s="107" t="str">
        <f t="shared" si="3"/>
        <v>ET</v>
      </c>
      <c r="O51" s="214" t="str">
        <f t="shared" si="0"/>
        <v/>
      </c>
      <c r="P51" s="214" t="str">
        <f t="shared" si="5"/>
        <v/>
      </c>
      <c r="U51" s="214">
        <f t="shared" si="2"/>
        <v>51</v>
      </c>
    </row>
    <row r="52" spans="2:21" ht="17">
      <c r="B52" s="211" t="s">
        <v>130</v>
      </c>
      <c r="C52" s="212" t="s">
        <v>131</v>
      </c>
      <c r="D52" s="212" t="s">
        <v>217</v>
      </c>
      <c r="E52" s="215">
        <v>0</v>
      </c>
      <c r="F52" s="107" t="str">
        <f t="shared" si="3"/>
        <v>EK</v>
      </c>
      <c r="O52" s="214" t="str">
        <f t="shared" si="0"/>
        <v/>
      </c>
      <c r="P52" s="214" t="str">
        <f t="shared" si="5"/>
        <v/>
      </c>
      <c r="U52" s="214">
        <f t="shared" si="2"/>
        <v>52</v>
      </c>
    </row>
    <row r="53" spans="2:21" ht="17">
      <c r="B53" s="211" t="s">
        <v>132</v>
      </c>
      <c r="C53" s="212" t="s">
        <v>133</v>
      </c>
      <c r="D53" s="212" t="s">
        <v>217</v>
      </c>
      <c r="E53" s="215" t="s">
        <v>134</v>
      </c>
      <c r="F53" s="107" t="str">
        <f t="shared" si="3"/>
        <v>JA</v>
      </c>
      <c r="O53" s="214" t="str">
        <f t="shared" si="0"/>
        <v/>
      </c>
      <c r="P53" s="214" t="str">
        <f t="shared" si="5"/>
        <v/>
      </c>
      <c r="U53" s="214">
        <f t="shared" si="2"/>
        <v>53</v>
      </c>
    </row>
    <row r="54" spans="2:21" ht="17">
      <c r="B54" s="211" t="s">
        <v>135</v>
      </c>
      <c r="C54" s="212" t="s">
        <v>115</v>
      </c>
      <c r="D54" s="212" t="s">
        <v>36</v>
      </c>
      <c r="E54" s="215" t="s">
        <v>136</v>
      </c>
      <c r="F54" s="107" t="str">
        <f t="shared" si="3"/>
        <v>MEP</v>
      </c>
      <c r="O54" s="214" t="str">
        <f t="shared" si="0"/>
        <v/>
      </c>
      <c r="P54" s="214" t="str">
        <f t="shared" si="5"/>
        <v/>
      </c>
      <c r="U54" s="214">
        <f t="shared" si="2"/>
        <v>54</v>
      </c>
    </row>
    <row r="55" spans="2:21" ht="17">
      <c r="B55" s="211" t="s">
        <v>137</v>
      </c>
      <c r="C55" s="212" t="s">
        <v>33</v>
      </c>
      <c r="D55" s="212" t="s">
        <v>217</v>
      </c>
      <c r="E55" s="215" t="s">
        <v>138</v>
      </c>
      <c r="F55" s="107" t="str">
        <f t="shared" si="3"/>
        <v>CG</v>
      </c>
      <c r="O55" s="214" t="str">
        <f t="shared" si="0"/>
        <v/>
      </c>
      <c r="P55" s="214" t="str">
        <f t="shared" si="5"/>
        <v/>
      </c>
      <c r="U55" s="214">
        <f t="shared" si="2"/>
        <v>55</v>
      </c>
    </row>
    <row r="56" spans="2:21" ht="17">
      <c r="B56" s="211" t="s">
        <v>139</v>
      </c>
      <c r="C56" s="212" t="s">
        <v>33</v>
      </c>
      <c r="D56" s="212" t="s">
        <v>217</v>
      </c>
      <c r="E56" s="215" t="s">
        <v>140</v>
      </c>
      <c r="F56" s="107" t="str">
        <f t="shared" si="3"/>
        <v>MEA</v>
      </c>
      <c r="O56" s="214" t="str">
        <f t="shared" si="0"/>
        <v/>
      </c>
      <c r="P56" s="214" t="str">
        <f t="shared" si="5"/>
        <v/>
      </c>
      <c r="U56" s="214">
        <f t="shared" si="2"/>
        <v>56</v>
      </c>
    </row>
    <row r="57" spans="2:21" ht="17">
      <c r="B57" s="211" t="s">
        <v>141</v>
      </c>
      <c r="C57" s="212" t="s">
        <v>142</v>
      </c>
      <c r="D57" s="212" t="s">
        <v>217</v>
      </c>
      <c r="E57" s="215" t="s">
        <v>143</v>
      </c>
      <c r="F57" s="107" t="str">
        <f t="shared" si="3"/>
        <v>MRT</v>
      </c>
      <c r="O57" s="214" t="str">
        <f t="shared" si="0"/>
        <v/>
      </c>
      <c r="P57" s="214" t="str">
        <f t="shared" si="5"/>
        <v/>
      </c>
      <c r="U57" s="214">
        <f t="shared" si="2"/>
        <v>57</v>
      </c>
    </row>
    <row r="58" spans="2:21" ht="17">
      <c r="B58" s="211" t="s">
        <v>144</v>
      </c>
      <c r="C58" s="212" t="s">
        <v>36</v>
      </c>
      <c r="D58" s="212" t="s">
        <v>217</v>
      </c>
      <c r="E58" s="215" t="s">
        <v>145</v>
      </c>
      <c r="F58" s="107" t="str">
        <f t="shared" si="3"/>
        <v>J</v>
      </c>
      <c r="O58" s="214" t="str">
        <f t="shared" si="0"/>
        <v/>
      </c>
      <c r="P58" s="214" t="str">
        <f t="shared" si="5"/>
        <v/>
      </c>
      <c r="U58" s="214">
        <f t="shared" si="2"/>
        <v>58</v>
      </c>
    </row>
    <row r="59" spans="2:21" ht="17">
      <c r="B59" s="211" t="s">
        <v>146</v>
      </c>
      <c r="C59" s="212" t="s">
        <v>73</v>
      </c>
      <c r="D59" s="212" t="s">
        <v>217</v>
      </c>
      <c r="E59" s="215" t="s">
        <v>147</v>
      </c>
      <c r="F59" s="107" t="str">
        <f t="shared" si="3"/>
        <v>MSC</v>
      </c>
      <c r="O59" s="214" t="str">
        <f t="shared" si="0"/>
        <v/>
      </c>
      <c r="P59" s="214" t="str">
        <f t="shared" si="5"/>
        <v/>
      </c>
      <c r="U59" s="214">
        <f t="shared" si="2"/>
        <v>59</v>
      </c>
    </row>
    <row r="60" spans="2:21" ht="17">
      <c r="B60" s="211" t="s">
        <v>148</v>
      </c>
      <c r="C60" s="212" t="s">
        <v>70</v>
      </c>
      <c r="D60" s="212" t="s">
        <v>217</v>
      </c>
      <c r="E60" s="215" t="s">
        <v>147</v>
      </c>
      <c r="F60" s="107" t="str">
        <f t="shared" si="3"/>
        <v>M</v>
      </c>
      <c r="O60" s="214" t="str">
        <f t="shared" si="0"/>
        <v/>
      </c>
      <c r="P60" s="214" t="str">
        <f t="shared" si="5"/>
        <v/>
      </c>
      <c r="U60" s="214">
        <f t="shared" si="2"/>
        <v>60</v>
      </c>
    </row>
    <row r="61" spans="2:21" ht="17">
      <c r="B61" s="211" t="s">
        <v>149</v>
      </c>
      <c r="C61" s="212" t="s">
        <v>150</v>
      </c>
      <c r="D61" s="212" t="s">
        <v>36</v>
      </c>
      <c r="E61" s="215" t="s">
        <v>151</v>
      </c>
      <c r="F61" s="107" t="str">
        <f t="shared" si="3"/>
        <v>MAB</v>
      </c>
      <c r="O61" s="214" t="str">
        <f t="shared" si="0"/>
        <v/>
      </c>
      <c r="P61" s="214" t="str">
        <f t="shared" si="5"/>
        <v/>
      </c>
      <c r="U61" s="214">
        <f t="shared" si="2"/>
        <v>61</v>
      </c>
    </row>
    <row r="62" spans="2:21" ht="17">
      <c r="B62" s="211" t="s">
        <v>152</v>
      </c>
      <c r="C62" s="212" t="s">
        <v>153</v>
      </c>
      <c r="D62" s="212" t="s">
        <v>217</v>
      </c>
      <c r="E62" s="215" t="s">
        <v>154</v>
      </c>
      <c r="F62" s="107" t="str">
        <f t="shared" si="3"/>
        <v>SA</v>
      </c>
      <c r="O62" s="214" t="str">
        <f t="shared" si="0"/>
        <v/>
      </c>
      <c r="P62" s="214" t="str">
        <f t="shared" si="5"/>
        <v/>
      </c>
      <c r="U62" s="214">
        <f t="shared" si="2"/>
        <v>62</v>
      </c>
    </row>
    <row r="63" spans="2:21" ht="17">
      <c r="B63" s="211" t="s">
        <v>155</v>
      </c>
      <c r="C63" s="212" t="s">
        <v>121</v>
      </c>
      <c r="D63" s="212" t="s">
        <v>217</v>
      </c>
      <c r="E63" s="215" t="s">
        <v>156</v>
      </c>
      <c r="F63" s="107" t="str">
        <f t="shared" si="3"/>
        <v>ST</v>
      </c>
      <c r="O63" s="214" t="str">
        <f t="shared" si="0"/>
        <v/>
      </c>
      <c r="P63" s="214" t="str">
        <f t="shared" si="5"/>
        <v/>
      </c>
      <c r="U63" s="214">
        <f t="shared" si="2"/>
        <v>63</v>
      </c>
    </row>
    <row r="64" spans="2:21" ht="34">
      <c r="B64" s="211" t="s">
        <v>157</v>
      </c>
      <c r="C64" s="212" t="s">
        <v>158</v>
      </c>
      <c r="D64" s="212" t="s">
        <v>217</v>
      </c>
      <c r="E64" s="215" t="s">
        <v>159</v>
      </c>
      <c r="F64" s="107" t="str">
        <f t="shared" si="3"/>
        <v>A</v>
      </c>
      <c r="O64" s="214" t="str">
        <f t="shared" si="0"/>
        <v/>
      </c>
      <c r="P64" s="214" t="str">
        <f t="shared" si="5"/>
        <v/>
      </c>
      <c r="U64" s="214">
        <f t="shared" si="2"/>
        <v>64</v>
      </c>
    </row>
    <row r="65" spans="2:21" ht="17">
      <c r="B65" s="211" t="s">
        <v>160</v>
      </c>
      <c r="C65" s="212" t="s">
        <v>161</v>
      </c>
      <c r="D65" s="212" t="s">
        <v>217</v>
      </c>
      <c r="E65" s="215" t="s">
        <v>156</v>
      </c>
      <c r="F65" s="107" t="str">
        <f t="shared" si="3"/>
        <v>AO</v>
      </c>
      <c r="O65" s="214" t="str">
        <f t="shared" si="0"/>
        <v/>
      </c>
      <c r="P65" s="214" t="str">
        <f t="shared" si="5"/>
        <v/>
      </c>
      <c r="U65" s="214">
        <f t="shared" si="2"/>
        <v>65</v>
      </c>
    </row>
    <row r="66" spans="2:21" ht="17">
      <c r="B66" s="211" t="s">
        <v>162</v>
      </c>
      <c r="C66" s="212" t="s">
        <v>163</v>
      </c>
      <c r="D66" s="212" t="s">
        <v>217</v>
      </c>
      <c r="E66" s="215" t="s">
        <v>164</v>
      </c>
      <c r="F66" s="107" t="str">
        <f t="shared" si="3"/>
        <v>IO</v>
      </c>
      <c r="O66" s="214" t="str">
        <f t="shared" ref="O66:O100" si="6">IF(MOD($N$1,ROW())=0,ROW(),"")</f>
        <v/>
      </c>
      <c r="P66" s="214" t="str">
        <f t="shared" si="5"/>
        <v/>
      </c>
      <c r="U66" s="214">
        <f t="shared" ref="U66:U101" si="7">IF(MOD($T$500,ROW())=0,ROW(),"")</f>
        <v>66</v>
      </c>
    </row>
    <row r="67" spans="2:21" ht="17">
      <c r="B67" s="211" t="s">
        <v>165</v>
      </c>
      <c r="C67" s="212" t="s">
        <v>166</v>
      </c>
      <c r="D67" s="212" t="s">
        <v>217</v>
      </c>
      <c r="E67" s="215" t="s">
        <v>167</v>
      </c>
      <c r="F67" s="107" t="str">
        <f t="shared" ref="F67:F130" si="8">UPPER(LEFT(B67,1)) &amp; IFERROR(UPPER(LEFT(MID(B67,FIND(" ",B67)+1,LEN(B67)),1)),"") &amp; IFERROR(UPPER(LEFT(MID(B67,FIND(" ",B67,FIND(" ",B67)+1)+1,LEN(B67)),1)),"") &amp; IFERROR(UPPER(LEFT(MID(B67,FIND(" ",B67,FIND(" ",B67,FIND(" ",B67)+1)+1)+1,LEN(B67)),1)),"")</f>
        <v>AKO</v>
      </c>
      <c r="O67" s="214" t="str">
        <f t="shared" si="6"/>
        <v/>
      </c>
      <c r="P67" s="214" t="str">
        <f t="shared" si="5"/>
        <v/>
      </c>
      <c r="U67" s="214">
        <f t="shared" si="7"/>
        <v>67</v>
      </c>
    </row>
    <row r="68" spans="2:21" ht="17">
      <c r="B68" s="211" t="s">
        <v>168</v>
      </c>
      <c r="C68" s="212" t="s">
        <v>106</v>
      </c>
      <c r="D68" s="212" t="s">
        <v>217</v>
      </c>
      <c r="E68" s="215" t="s">
        <v>169</v>
      </c>
      <c r="F68" s="107" t="str">
        <f t="shared" si="8"/>
        <v>JSD</v>
      </c>
      <c r="O68" s="214" t="str">
        <f t="shared" si="6"/>
        <v/>
      </c>
      <c r="P68" s="214" t="str">
        <f t="shared" si="5"/>
        <v/>
      </c>
      <c r="U68" s="214">
        <f t="shared" si="7"/>
        <v>68</v>
      </c>
    </row>
    <row r="69" spans="2:21" ht="17">
      <c r="B69" s="211" t="s">
        <v>170</v>
      </c>
      <c r="C69" s="212" t="s">
        <v>171</v>
      </c>
      <c r="D69" s="212" t="s">
        <v>217</v>
      </c>
      <c r="E69" s="215" t="s">
        <v>172</v>
      </c>
      <c r="F69" s="107" t="str">
        <f t="shared" si="8"/>
        <v>SA</v>
      </c>
      <c r="O69" s="214" t="str">
        <f t="shared" si="6"/>
        <v/>
      </c>
      <c r="P69" s="214" t="str">
        <f t="shared" si="5"/>
        <v/>
      </c>
      <c r="U69" s="214">
        <f t="shared" si="7"/>
        <v>69</v>
      </c>
    </row>
    <row r="70" spans="2:21" ht="17">
      <c r="B70" s="211" t="s">
        <v>173</v>
      </c>
      <c r="C70" s="212" t="s">
        <v>112</v>
      </c>
      <c r="D70" s="212" t="s">
        <v>217</v>
      </c>
      <c r="E70" s="215" t="s">
        <v>174</v>
      </c>
      <c r="F70" s="107" t="str">
        <f t="shared" si="8"/>
        <v>AKSA</v>
      </c>
      <c r="O70" s="214" t="str">
        <f t="shared" si="6"/>
        <v/>
      </c>
      <c r="P70" s="214" t="str">
        <f t="shared" si="5"/>
        <v/>
      </c>
      <c r="U70" s="214">
        <f t="shared" si="7"/>
        <v>70</v>
      </c>
    </row>
    <row r="71" spans="2:21" ht="17">
      <c r="B71" s="211" t="s">
        <v>175</v>
      </c>
      <c r="C71" s="212" t="s">
        <v>115</v>
      </c>
      <c r="D71" s="212" t="s">
        <v>36</v>
      </c>
      <c r="E71" s="215" t="s">
        <v>176</v>
      </c>
      <c r="F71" s="107" t="str">
        <f t="shared" si="8"/>
        <v>DS</v>
      </c>
      <c r="O71" s="214" t="str">
        <f t="shared" si="6"/>
        <v/>
      </c>
      <c r="P71" s="214" t="str">
        <f t="shared" si="5"/>
        <v/>
      </c>
      <c r="U71" s="214">
        <f t="shared" si="7"/>
        <v>71</v>
      </c>
    </row>
    <row r="72" spans="2:21" ht="17">
      <c r="B72" s="211" t="s">
        <v>177</v>
      </c>
      <c r="C72" s="212" t="s">
        <v>36</v>
      </c>
      <c r="D72" s="212" t="s">
        <v>36</v>
      </c>
      <c r="E72" s="215" t="s">
        <v>178</v>
      </c>
      <c r="F72" s="107" t="str">
        <f t="shared" si="8"/>
        <v>MFKB</v>
      </c>
      <c r="O72" s="214" t="str">
        <f t="shared" si="6"/>
        <v/>
      </c>
      <c r="P72" s="214" t="str">
        <f t="shared" si="5"/>
        <v/>
      </c>
      <c r="U72" s="214">
        <f t="shared" si="7"/>
        <v>72</v>
      </c>
    </row>
    <row r="73" spans="2:21" ht="17">
      <c r="B73" s="211" t="s">
        <v>179</v>
      </c>
      <c r="C73" s="212" t="s">
        <v>180</v>
      </c>
      <c r="D73" s="212" t="s">
        <v>217</v>
      </c>
      <c r="E73" s="215" t="s">
        <v>181</v>
      </c>
      <c r="F73" s="107" t="str">
        <f t="shared" si="8"/>
        <v>IIP</v>
      </c>
      <c r="O73" s="214" t="str">
        <f t="shared" si="6"/>
        <v/>
      </c>
      <c r="P73" s="214" t="str">
        <f t="shared" si="5"/>
        <v/>
      </c>
      <c r="U73" s="214">
        <f t="shared" si="7"/>
        <v>73</v>
      </c>
    </row>
    <row r="74" spans="2:21" ht="17">
      <c r="B74" s="211" t="s">
        <v>182</v>
      </c>
      <c r="C74" s="212" t="s">
        <v>183</v>
      </c>
      <c r="D74" s="212" t="s">
        <v>217</v>
      </c>
      <c r="E74" s="215" t="s">
        <v>184</v>
      </c>
      <c r="F74" s="107" t="str">
        <f t="shared" si="8"/>
        <v>PCA</v>
      </c>
      <c r="O74" s="214" t="str">
        <f t="shared" si="6"/>
        <v/>
      </c>
      <c r="P74" s="214" t="str">
        <f t="shared" si="5"/>
        <v/>
      </c>
      <c r="U74" s="214">
        <f t="shared" si="7"/>
        <v>74</v>
      </c>
    </row>
    <row r="75" spans="2:21" ht="34">
      <c r="B75" s="211" t="s">
        <v>185</v>
      </c>
      <c r="C75" s="212" t="s">
        <v>121</v>
      </c>
      <c r="D75" s="212" t="s">
        <v>217</v>
      </c>
      <c r="E75" s="215" t="s">
        <v>186</v>
      </c>
      <c r="F75" s="107" t="str">
        <f t="shared" si="8"/>
        <v>GSD</v>
      </c>
      <c r="O75" s="214" t="str">
        <f t="shared" si="6"/>
        <v/>
      </c>
      <c r="P75" s="214" t="str">
        <f t="shared" si="5"/>
        <v/>
      </c>
      <c r="U75" s="214">
        <f t="shared" si="7"/>
        <v>75</v>
      </c>
    </row>
    <row r="76" spans="2:21" ht="17">
      <c r="B76" s="211" t="s">
        <v>187</v>
      </c>
      <c r="C76" s="212" t="s">
        <v>188</v>
      </c>
      <c r="D76" s="212" t="s">
        <v>217</v>
      </c>
      <c r="E76" s="215" t="s">
        <v>189</v>
      </c>
      <c r="F76" s="107" t="str">
        <f t="shared" si="8"/>
        <v>EFO</v>
      </c>
      <c r="O76" s="214" t="str">
        <f t="shared" si="6"/>
        <v/>
      </c>
      <c r="P76" s="214" t="str">
        <f t="shared" ref="P76:P100" si="9">IFERROR(LARGE(O$1:O$100, ROW()), "")</f>
        <v/>
      </c>
      <c r="U76" s="214">
        <f t="shared" si="7"/>
        <v>76</v>
      </c>
    </row>
    <row r="77" spans="2:21" ht="17">
      <c r="B77" s="211" t="s">
        <v>190</v>
      </c>
      <c r="C77" s="212" t="s">
        <v>191</v>
      </c>
      <c r="D77" s="212" t="s">
        <v>217</v>
      </c>
      <c r="E77" s="215" t="s">
        <v>192</v>
      </c>
      <c r="F77" s="107" t="str">
        <f t="shared" si="8"/>
        <v>KR</v>
      </c>
      <c r="O77" s="214" t="str">
        <f t="shared" si="6"/>
        <v/>
      </c>
      <c r="P77" s="214" t="str">
        <f t="shared" si="9"/>
        <v/>
      </c>
      <c r="U77" s="214">
        <f t="shared" si="7"/>
        <v>77</v>
      </c>
    </row>
    <row r="78" spans="2:21" ht="17">
      <c r="B78" s="211" t="s">
        <v>194</v>
      </c>
      <c r="C78" s="212" t="s">
        <v>45</v>
      </c>
      <c r="D78" s="212" t="s">
        <v>36</v>
      </c>
      <c r="E78" s="215" t="s">
        <v>195</v>
      </c>
      <c r="F78" s="107" t="str">
        <f t="shared" si="8"/>
        <v>BB</v>
      </c>
      <c r="O78" s="214" t="str">
        <f t="shared" si="6"/>
        <v/>
      </c>
      <c r="P78" s="214" t="str">
        <f t="shared" si="9"/>
        <v/>
      </c>
      <c r="U78" s="214">
        <f t="shared" si="7"/>
        <v>78</v>
      </c>
    </row>
    <row r="79" spans="2:21" ht="17">
      <c r="B79" s="211" t="s">
        <v>196</v>
      </c>
      <c r="C79" s="212" t="s">
        <v>197</v>
      </c>
      <c r="D79" s="212" t="s">
        <v>36</v>
      </c>
      <c r="E79" s="215" t="s">
        <v>198</v>
      </c>
      <c r="F79" s="107" t="str">
        <f t="shared" si="8"/>
        <v>OAA</v>
      </c>
      <c r="O79" s="214" t="str">
        <f t="shared" si="6"/>
        <v/>
      </c>
      <c r="P79" s="214" t="str">
        <f t="shared" si="9"/>
        <v/>
      </c>
      <c r="U79" s="214">
        <f t="shared" si="7"/>
        <v>79</v>
      </c>
    </row>
    <row r="80" spans="2:21" ht="17">
      <c r="B80" s="211" t="s">
        <v>199</v>
      </c>
      <c r="C80" s="212" t="s">
        <v>200</v>
      </c>
      <c r="D80" s="212" t="s">
        <v>36</v>
      </c>
      <c r="E80" s="215" t="s">
        <v>201</v>
      </c>
      <c r="F80" s="107" t="str">
        <f t="shared" si="8"/>
        <v>AR</v>
      </c>
      <c r="O80" s="214" t="str">
        <f t="shared" si="6"/>
        <v/>
      </c>
      <c r="P80" s="214" t="str">
        <f t="shared" si="9"/>
        <v/>
      </c>
      <c r="U80" s="214">
        <f t="shared" si="7"/>
        <v>80</v>
      </c>
    </row>
    <row r="81" spans="2:21" ht="17">
      <c r="B81" s="211" t="s">
        <v>202</v>
      </c>
      <c r="C81" s="212" t="s">
        <v>203</v>
      </c>
      <c r="D81" s="212" t="s">
        <v>217</v>
      </c>
      <c r="E81" s="215" t="s">
        <v>204</v>
      </c>
      <c r="F81" s="107" t="str">
        <f t="shared" si="8"/>
        <v>NA</v>
      </c>
      <c r="O81" s="214" t="str">
        <f t="shared" si="6"/>
        <v/>
      </c>
      <c r="P81" s="214" t="str">
        <f t="shared" si="9"/>
        <v/>
      </c>
      <c r="U81" s="214">
        <f t="shared" si="7"/>
        <v>81</v>
      </c>
    </row>
    <row r="82" spans="2:21" ht="17">
      <c r="B82" s="211" t="s">
        <v>205</v>
      </c>
      <c r="C82" s="212" t="s">
        <v>121</v>
      </c>
      <c r="D82" s="212" t="s">
        <v>217</v>
      </c>
      <c r="E82" s="215" t="s">
        <v>206</v>
      </c>
      <c r="F82" s="107" t="str">
        <f t="shared" si="8"/>
        <v>SKA</v>
      </c>
      <c r="O82" s="214" t="str">
        <f t="shared" si="6"/>
        <v/>
      </c>
      <c r="P82" s="214" t="str">
        <f t="shared" si="9"/>
        <v/>
      </c>
      <c r="U82" s="214">
        <f t="shared" si="7"/>
        <v>82</v>
      </c>
    </row>
    <row r="83" spans="2:21" ht="17">
      <c r="B83" s="211" t="s">
        <v>207</v>
      </c>
      <c r="C83" s="212" t="s">
        <v>208</v>
      </c>
      <c r="D83" s="212" t="s">
        <v>217</v>
      </c>
      <c r="E83" s="215" t="s">
        <v>209</v>
      </c>
      <c r="F83" s="107" t="str">
        <f t="shared" si="8"/>
        <v>JAA</v>
      </c>
      <c r="O83" s="214" t="str">
        <f t="shared" si="6"/>
        <v/>
      </c>
      <c r="P83" s="214" t="str">
        <f t="shared" si="9"/>
        <v/>
      </c>
      <c r="U83" s="214">
        <f t="shared" si="7"/>
        <v>83</v>
      </c>
    </row>
    <row r="84" spans="2:21" ht="17">
      <c r="B84" s="211" t="s">
        <v>210</v>
      </c>
      <c r="C84" s="212" t="s">
        <v>211</v>
      </c>
      <c r="D84" s="212" t="s">
        <v>217</v>
      </c>
      <c r="E84" s="215" t="s">
        <v>212</v>
      </c>
      <c r="F84" s="107" t="str">
        <f t="shared" si="8"/>
        <v>AE</v>
      </c>
      <c r="O84" s="214" t="str">
        <f t="shared" si="6"/>
        <v/>
      </c>
      <c r="P84" s="214" t="str">
        <f t="shared" si="9"/>
        <v/>
      </c>
      <c r="U84" s="214">
        <f t="shared" si="7"/>
        <v>84</v>
      </c>
    </row>
    <row r="85" spans="2:21" ht="17">
      <c r="B85" s="211" t="s">
        <v>213</v>
      </c>
      <c r="C85" s="212" t="s">
        <v>214</v>
      </c>
      <c r="D85" s="212" t="s">
        <v>217</v>
      </c>
      <c r="E85" s="215" t="s">
        <v>215</v>
      </c>
      <c r="F85" s="107" t="str">
        <f t="shared" si="8"/>
        <v>EN</v>
      </c>
      <c r="O85" s="214" t="str">
        <f t="shared" si="6"/>
        <v/>
      </c>
      <c r="P85" s="214" t="str">
        <f t="shared" si="9"/>
        <v/>
      </c>
      <c r="U85" s="214">
        <f t="shared" si="7"/>
        <v>85</v>
      </c>
    </row>
    <row r="86" spans="2:21" ht="17">
      <c r="B86" s="211" t="s">
        <v>216</v>
      </c>
      <c r="C86" s="212" t="s">
        <v>217</v>
      </c>
      <c r="D86" s="212" t="s">
        <v>217</v>
      </c>
      <c r="E86" s="215" t="s">
        <v>218</v>
      </c>
      <c r="F86" s="107" t="str">
        <f t="shared" si="8"/>
        <v>AK</v>
      </c>
      <c r="O86" s="214" t="str">
        <f t="shared" si="6"/>
        <v/>
      </c>
      <c r="P86" s="214" t="str">
        <f t="shared" si="9"/>
        <v/>
      </c>
      <c r="U86" s="214">
        <f t="shared" si="7"/>
        <v>86</v>
      </c>
    </row>
    <row r="87" spans="2:21" ht="17">
      <c r="B87" s="211" t="s">
        <v>219</v>
      </c>
      <c r="C87" s="212" t="s">
        <v>220</v>
      </c>
      <c r="D87" s="212" t="s">
        <v>217</v>
      </c>
      <c r="E87" s="215" t="s">
        <v>221</v>
      </c>
      <c r="F87" s="107" t="str">
        <f t="shared" si="8"/>
        <v>NRB</v>
      </c>
      <c r="O87" s="214" t="str">
        <f t="shared" si="6"/>
        <v/>
      </c>
      <c r="P87" s="214" t="str">
        <f t="shared" si="9"/>
        <v/>
      </c>
      <c r="U87" s="214">
        <f t="shared" si="7"/>
        <v>87</v>
      </c>
    </row>
    <row r="88" spans="2:21" ht="17">
      <c r="B88" s="211" t="s">
        <v>222</v>
      </c>
      <c r="C88" s="212" t="s">
        <v>223</v>
      </c>
      <c r="D88" s="212" t="s">
        <v>50</v>
      </c>
      <c r="E88" s="215" t="s">
        <v>224</v>
      </c>
      <c r="F88" s="107" t="str">
        <f t="shared" si="8"/>
        <v>SLHC</v>
      </c>
      <c r="O88" s="214" t="str">
        <f t="shared" si="6"/>
        <v/>
      </c>
      <c r="P88" s="214" t="str">
        <f t="shared" si="9"/>
        <v/>
      </c>
      <c r="U88" s="214">
        <f t="shared" si="7"/>
        <v>88</v>
      </c>
    </row>
    <row r="89" spans="2:21" ht="17">
      <c r="B89" s="211" t="s">
        <v>225</v>
      </c>
      <c r="C89" s="212" t="s">
        <v>226</v>
      </c>
      <c r="D89" s="212" t="s">
        <v>296</v>
      </c>
      <c r="E89" s="215" t="s">
        <v>227</v>
      </c>
      <c r="F89" s="107" t="str">
        <f t="shared" si="8"/>
        <v>YD</v>
      </c>
      <c r="O89" s="214" t="str">
        <f t="shared" si="6"/>
        <v/>
      </c>
      <c r="P89" s="214" t="str">
        <f t="shared" si="9"/>
        <v/>
      </c>
      <c r="U89" s="214">
        <f t="shared" si="7"/>
        <v>89</v>
      </c>
    </row>
    <row r="90" spans="2:21" ht="17">
      <c r="B90" s="211" t="s">
        <v>228</v>
      </c>
      <c r="C90" s="212" t="s">
        <v>229</v>
      </c>
      <c r="D90" s="212" t="s">
        <v>296</v>
      </c>
      <c r="E90" s="215" t="s">
        <v>230</v>
      </c>
      <c r="F90" s="107" t="str">
        <f t="shared" si="8"/>
        <v>KK</v>
      </c>
      <c r="O90" s="214" t="str">
        <f t="shared" si="6"/>
        <v/>
      </c>
      <c r="P90" s="214" t="str">
        <f t="shared" si="9"/>
        <v/>
      </c>
      <c r="U90" s="214">
        <f t="shared" si="7"/>
        <v>90</v>
      </c>
    </row>
    <row r="91" spans="2:21" ht="17">
      <c r="B91" s="211" t="s">
        <v>231</v>
      </c>
      <c r="C91" s="212" t="s">
        <v>33</v>
      </c>
      <c r="D91" s="212" t="s">
        <v>217</v>
      </c>
      <c r="E91" s="215" t="s">
        <v>232</v>
      </c>
      <c r="F91" s="107" t="str">
        <f t="shared" si="8"/>
        <v>MHL</v>
      </c>
      <c r="O91" s="214" t="str">
        <f t="shared" si="6"/>
        <v/>
      </c>
      <c r="P91" s="214" t="str">
        <f t="shared" si="9"/>
        <v/>
      </c>
      <c r="U91" s="214">
        <f t="shared" si="7"/>
        <v>91</v>
      </c>
    </row>
    <row r="92" spans="2:21" ht="17">
      <c r="B92" s="211" t="s">
        <v>233</v>
      </c>
      <c r="C92" s="212" t="s">
        <v>234</v>
      </c>
      <c r="D92" s="212" t="s">
        <v>36</v>
      </c>
      <c r="E92" s="215" t="s">
        <v>235</v>
      </c>
      <c r="F92" s="107" t="str">
        <f t="shared" si="8"/>
        <v>JA</v>
      </c>
      <c r="O92" s="214" t="str">
        <f t="shared" si="6"/>
        <v/>
      </c>
      <c r="P92" s="214" t="str">
        <f t="shared" si="9"/>
        <v/>
      </c>
      <c r="U92" s="214">
        <f t="shared" si="7"/>
        <v>92</v>
      </c>
    </row>
    <row r="93" spans="2:21" ht="17">
      <c r="B93" s="211" t="s">
        <v>236</v>
      </c>
      <c r="C93" s="212" t="s">
        <v>36</v>
      </c>
      <c r="D93" s="212" t="s">
        <v>36</v>
      </c>
      <c r="E93" s="215" t="s">
        <v>237</v>
      </c>
      <c r="F93" s="107" t="str">
        <f t="shared" si="8"/>
        <v>EM</v>
      </c>
      <c r="O93" s="214" t="str">
        <f t="shared" si="6"/>
        <v/>
      </c>
      <c r="P93" s="214" t="str">
        <f t="shared" si="9"/>
        <v/>
      </c>
      <c r="U93" s="214">
        <f t="shared" si="7"/>
        <v>93</v>
      </c>
    </row>
    <row r="94" spans="2:21" ht="17">
      <c r="B94" s="211" t="s">
        <v>238</v>
      </c>
      <c r="C94" s="212" t="s">
        <v>239</v>
      </c>
      <c r="D94" s="212" t="s">
        <v>217</v>
      </c>
      <c r="E94" s="215" t="s">
        <v>240</v>
      </c>
      <c r="F94" s="107" t="str">
        <f t="shared" si="8"/>
        <v>MYB</v>
      </c>
      <c r="O94" s="214" t="str">
        <f t="shared" si="6"/>
        <v/>
      </c>
      <c r="P94" s="214" t="str">
        <f t="shared" si="9"/>
        <v/>
      </c>
      <c r="U94" s="214">
        <f t="shared" si="7"/>
        <v>94</v>
      </c>
    </row>
    <row r="95" spans="2:21" ht="17">
      <c r="B95" s="211" t="s">
        <v>241</v>
      </c>
      <c r="C95" s="212" t="s">
        <v>242</v>
      </c>
      <c r="D95" s="212" t="s">
        <v>217</v>
      </c>
      <c r="E95" s="215" t="s">
        <v>243</v>
      </c>
      <c r="F95" s="107" t="str">
        <f t="shared" si="8"/>
        <v>DKQ</v>
      </c>
      <c r="O95" s="214" t="str">
        <f t="shared" si="6"/>
        <v/>
      </c>
      <c r="P95" s="214" t="str">
        <f t="shared" si="9"/>
        <v/>
      </c>
      <c r="U95" s="214">
        <f t="shared" si="7"/>
        <v>95</v>
      </c>
    </row>
    <row r="96" spans="2:21" ht="17">
      <c r="B96" s="211" t="s">
        <v>244</v>
      </c>
      <c r="C96" s="212" t="s">
        <v>33</v>
      </c>
      <c r="D96" s="212" t="s">
        <v>217</v>
      </c>
      <c r="E96" s="215" t="s">
        <v>245</v>
      </c>
      <c r="F96" s="107" t="str">
        <f t="shared" si="8"/>
        <v>SND</v>
      </c>
      <c r="O96" s="214" t="str">
        <f t="shared" si="6"/>
        <v/>
      </c>
      <c r="P96" s="214" t="str">
        <f t="shared" si="9"/>
        <v/>
      </c>
      <c r="U96" s="214">
        <f t="shared" si="7"/>
        <v>96</v>
      </c>
    </row>
    <row r="97" spans="2:21" ht="17">
      <c r="B97" s="211" t="s">
        <v>246</v>
      </c>
      <c r="C97" s="212" t="s">
        <v>70</v>
      </c>
      <c r="D97" s="212" t="s">
        <v>217</v>
      </c>
      <c r="E97" s="215" t="s">
        <v>247</v>
      </c>
      <c r="F97" s="107" t="str">
        <f t="shared" si="8"/>
        <v>HP</v>
      </c>
      <c r="O97" s="214" t="str">
        <f t="shared" si="6"/>
        <v/>
      </c>
      <c r="P97" s="214" t="str">
        <f t="shared" si="9"/>
        <v/>
      </c>
      <c r="U97" s="214">
        <f t="shared" si="7"/>
        <v>97</v>
      </c>
    </row>
    <row r="98" spans="2:21" ht="17">
      <c r="B98" s="211" t="s">
        <v>248</v>
      </c>
      <c r="C98" s="212" t="s">
        <v>68</v>
      </c>
      <c r="D98" s="212" t="s">
        <v>217</v>
      </c>
      <c r="E98" s="215" t="s">
        <v>249</v>
      </c>
      <c r="F98" s="107" t="str">
        <f t="shared" si="8"/>
        <v>SCDA</v>
      </c>
      <c r="O98" s="214" t="str">
        <f t="shared" si="6"/>
        <v/>
      </c>
      <c r="P98" s="214" t="str">
        <f t="shared" si="9"/>
        <v/>
      </c>
      <c r="U98" s="214">
        <f t="shared" si="7"/>
        <v>98</v>
      </c>
    </row>
    <row r="99" spans="2:21" ht="17">
      <c r="B99" s="211" t="s">
        <v>250</v>
      </c>
      <c r="C99" s="212" t="s">
        <v>251</v>
      </c>
      <c r="D99" s="212" t="s">
        <v>217</v>
      </c>
      <c r="E99" s="215" t="s">
        <v>252</v>
      </c>
      <c r="F99" s="107" t="str">
        <f t="shared" si="8"/>
        <v>OG</v>
      </c>
      <c r="O99" s="214" t="str">
        <f t="shared" si="6"/>
        <v/>
      </c>
      <c r="P99" s="214" t="str">
        <f t="shared" si="9"/>
        <v/>
      </c>
      <c r="U99" s="214">
        <f t="shared" si="7"/>
        <v>99</v>
      </c>
    </row>
    <row r="100" spans="2:21" ht="17">
      <c r="B100" s="211" t="s">
        <v>843</v>
      </c>
      <c r="C100" s="212" t="s">
        <v>234</v>
      </c>
      <c r="D100" s="212" t="s">
        <v>36</v>
      </c>
      <c r="E100" s="215" t="s">
        <v>254</v>
      </c>
      <c r="F100" s="107" t="str">
        <f t="shared" si="8"/>
        <v>NGBC</v>
      </c>
      <c r="G100" s="213" t="s">
        <v>1774</v>
      </c>
      <c r="O100" s="214" t="str">
        <f t="shared" si="6"/>
        <v/>
      </c>
      <c r="P100" s="214" t="str">
        <f t="shared" si="9"/>
        <v/>
      </c>
      <c r="U100" s="214">
        <f t="shared" si="7"/>
        <v>100</v>
      </c>
    </row>
    <row r="101" spans="2:21" ht="17">
      <c r="B101" s="211" t="s">
        <v>253</v>
      </c>
      <c r="C101" s="212" t="s">
        <v>36</v>
      </c>
      <c r="D101" s="212" t="s">
        <v>36</v>
      </c>
      <c r="E101" s="215" t="s">
        <v>254</v>
      </c>
      <c r="F101" s="107" t="str">
        <f t="shared" si="8"/>
        <v>NGF2</v>
      </c>
      <c r="U101" s="214">
        <f t="shared" si="7"/>
        <v>101</v>
      </c>
    </row>
    <row r="102" spans="2:21" ht="17">
      <c r="B102" s="211" t="s">
        <v>768</v>
      </c>
      <c r="C102" s="212" t="s">
        <v>36</v>
      </c>
      <c r="D102" s="212" t="s">
        <v>36</v>
      </c>
      <c r="E102" s="215" t="s">
        <v>254</v>
      </c>
      <c r="F102" s="107" t="str">
        <f t="shared" si="8"/>
        <v>NGF4</v>
      </c>
    </row>
    <row r="103" spans="2:21" ht="17">
      <c r="B103" s="211" t="s">
        <v>255</v>
      </c>
      <c r="C103" s="212" t="s">
        <v>36</v>
      </c>
      <c r="D103" s="212" t="s">
        <v>36</v>
      </c>
      <c r="E103" s="215" t="s">
        <v>254</v>
      </c>
      <c r="F103" s="107" t="str">
        <f t="shared" si="8"/>
        <v>NG2(</v>
      </c>
    </row>
    <row r="104" spans="2:21" ht="17">
      <c r="B104" s="211" t="s">
        <v>256</v>
      </c>
      <c r="C104" s="212" t="s">
        <v>36</v>
      </c>
      <c r="D104" s="212" t="s">
        <v>36</v>
      </c>
      <c r="E104" s="215" t="s">
        <v>257</v>
      </c>
      <c r="F104" s="107" t="str">
        <f t="shared" si="8"/>
        <v>NG2(</v>
      </c>
    </row>
    <row r="105" spans="2:21" ht="17">
      <c r="B105" s="211" t="s">
        <v>842</v>
      </c>
      <c r="C105" s="212" t="s">
        <v>36</v>
      </c>
      <c r="D105" s="212" t="s">
        <v>36</v>
      </c>
      <c r="E105" s="215"/>
      <c r="F105" s="107" t="str">
        <f t="shared" si="8"/>
        <v>NG/E</v>
      </c>
    </row>
    <row r="106" spans="2:21" ht="17">
      <c r="B106" s="211" t="s">
        <v>258</v>
      </c>
      <c r="C106" s="212" t="s">
        <v>36</v>
      </c>
      <c r="D106" s="212" t="s">
        <v>36</v>
      </c>
      <c r="E106" s="215" t="s">
        <v>257</v>
      </c>
      <c r="F106" s="107" t="str">
        <f t="shared" si="8"/>
        <v>NG4(</v>
      </c>
    </row>
    <row r="107" spans="2:21" ht="17">
      <c r="B107" s="211" t="s">
        <v>259</v>
      </c>
      <c r="C107" s="212" t="s">
        <v>36</v>
      </c>
      <c r="D107" s="212" t="s">
        <v>36</v>
      </c>
      <c r="E107" s="215" t="s">
        <v>257</v>
      </c>
      <c r="F107" s="107" t="str">
        <f t="shared" si="8"/>
        <v>NG4(</v>
      </c>
    </row>
    <row r="108" spans="2:21" ht="17">
      <c r="B108" s="211" t="s">
        <v>1881</v>
      </c>
      <c r="C108" s="212" t="s">
        <v>36</v>
      </c>
      <c r="D108" s="212" t="s">
        <v>36</v>
      </c>
      <c r="E108" s="215" t="s">
        <v>261</v>
      </c>
      <c r="F108" s="107" t="str">
        <f t="shared" si="8"/>
        <v>NG4L</v>
      </c>
    </row>
    <row r="109" spans="2:21" ht="17">
      <c r="B109" s="211" t="s">
        <v>260</v>
      </c>
      <c r="C109" s="212" t="s">
        <v>73</v>
      </c>
      <c r="D109" s="212" t="s">
        <v>217</v>
      </c>
      <c r="E109" s="215" t="s">
        <v>261</v>
      </c>
      <c r="F109" s="107" t="str">
        <f t="shared" si="8"/>
        <v>NGLH</v>
      </c>
    </row>
    <row r="110" spans="2:21" ht="17">
      <c r="B110" s="211" t="s">
        <v>262</v>
      </c>
      <c r="C110" s="212" t="s">
        <v>73</v>
      </c>
      <c r="D110" s="212" t="s">
        <v>217</v>
      </c>
      <c r="E110" s="215" t="s">
        <v>261</v>
      </c>
      <c r="F110" s="107" t="str">
        <f t="shared" si="8"/>
        <v>NGLH</v>
      </c>
    </row>
    <row r="111" spans="2:21" ht="17">
      <c r="B111" s="211" t="s">
        <v>263</v>
      </c>
      <c r="C111" s="212" t="s">
        <v>73</v>
      </c>
      <c r="D111" s="212" t="s">
        <v>217</v>
      </c>
      <c r="E111" s="215" t="s">
        <v>261</v>
      </c>
      <c r="F111" s="107" t="str">
        <f t="shared" si="8"/>
        <v>NGLH</v>
      </c>
    </row>
    <row r="112" spans="2:21" ht="17">
      <c r="B112" s="211" t="s">
        <v>264</v>
      </c>
      <c r="C112" s="212" t="s">
        <v>208</v>
      </c>
      <c r="D112" s="212" t="s">
        <v>217</v>
      </c>
      <c r="E112" s="215" t="s">
        <v>265</v>
      </c>
      <c r="F112" s="107" t="str">
        <f t="shared" si="8"/>
        <v>DBST</v>
      </c>
    </row>
    <row r="113" spans="2:6" ht="17">
      <c r="B113" s="211" t="s">
        <v>266</v>
      </c>
      <c r="C113" s="212" t="s">
        <v>115</v>
      </c>
      <c r="D113" s="212" t="s">
        <v>36</v>
      </c>
      <c r="E113" s="215" t="s">
        <v>267</v>
      </c>
      <c r="F113" s="107" t="str">
        <f t="shared" si="8"/>
        <v>LTA</v>
      </c>
    </row>
    <row r="114" spans="2:6" ht="17">
      <c r="B114" s="211" t="s">
        <v>268</v>
      </c>
      <c r="C114" s="212" t="s">
        <v>269</v>
      </c>
      <c r="D114" s="212" t="s">
        <v>217</v>
      </c>
      <c r="E114" s="215" t="s">
        <v>270</v>
      </c>
      <c r="F114" s="107" t="str">
        <f t="shared" si="8"/>
        <v>EY</v>
      </c>
    </row>
    <row r="115" spans="2:6" ht="17">
      <c r="B115" s="211" t="s">
        <v>2421</v>
      </c>
      <c r="C115" s="212" t="s">
        <v>1888</v>
      </c>
      <c r="D115" s="212" t="s">
        <v>36</v>
      </c>
      <c r="E115" s="215" t="s">
        <v>2368</v>
      </c>
      <c r="F115" s="107" t="str">
        <f t="shared" si="8"/>
        <v>EY-A</v>
      </c>
    </row>
    <row r="116" spans="2:6" ht="17">
      <c r="B116" s="211" t="s">
        <v>271</v>
      </c>
      <c r="C116" s="212" t="s">
        <v>272</v>
      </c>
      <c r="D116" s="212" t="s">
        <v>217</v>
      </c>
      <c r="E116" s="215" t="s">
        <v>273</v>
      </c>
      <c r="F116" s="107" t="str">
        <f t="shared" si="8"/>
        <v>DT</v>
      </c>
    </row>
    <row r="117" spans="2:6" ht="17">
      <c r="B117" s="211" t="s">
        <v>274</v>
      </c>
      <c r="C117" s="212" t="s">
        <v>275</v>
      </c>
      <c r="D117" s="212" t="s">
        <v>217</v>
      </c>
      <c r="E117" s="215" t="s">
        <v>276</v>
      </c>
      <c r="F117" s="107" t="str">
        <f t="shared" si="8"/>
        <v>NA</v>
      </c>
    </row>
    <row r="118" spans="2:6" ht="17">
      <c r="B118" s="211" t="s">
        <v>277</v>
      </c>
      <c r="C118" s="212" t="s">
        <v>278</v>
      </c>
      <c r="D118" s="212" t="s">
        <v>217</v>
      </c>
      <c r="E118" s="215" t="s">
        <v>279</v>
      </c>
      <c r="F118" s="107" t="str">
        <f t="shared" si="8"/>
        <v>AB</v>
      </c>
    </row>
    <row r="119" spans="2:6" ht="17">
      <c r="B119" s="211" t="s">
        <v>280</v>
      </c>
      <c r="C119" s="212" t="s">
        <v>281</v>
      </c>
      <c r="D119" s="212" t="s">
        <v>217</v>
      </c>
      <c r="E119" s="215" t="s">
        <v>282</v>
      </c>
      <c r="F119" s="107" t="str">
        <f t="shared" si="8"/>
        <v>AB</v>
      </c>
    </row>
    <row r="120" spans="2:6" ht="17">
      <c r="B120" s="211" t="s">
        <v>283</v>
      </c>
      <c r="C120" s="212" t="s">
        <v>284</v>
      </c>
      <c r="D120" s="212" t="s">
        <v>217</v>
      </c>
      <c r="E120" s="215" t="s">
        <v>285</v>
      </c>
      <c r="F120" s="107" t="str">
        <f t="shared" si="8"/>
        <v>Z</v>
      </c>
    </row>
    <row r="121" spans="2:6" ht="17">
      <c r="B121" s="211" t="s">
        <v>286</v>
      </c>
      <c r="C121" s="212" t="s">
        <v>203</v>
      </c>
      <c r="D121" s="212" t="s">
        <v>217</v>
      </c>
      <c r="E121" s="215" t="s">
        <v>287</v>
      </c>
      <c r="F121" s="107" t="str">
        <f t="shared" si="8"/>
        <v>LML</v>
      </c>
    </row>
    <row r="122" spans="2:6" ht="17">
      <c r="B122" s="211" t="s">
        <v>288</v>
      </c>
      <c r="C122" s="212" t="s">
        <v>242</v>
      </c>
      <c r="D122" s="212" t="s">
        <v>217</v>
      </c>
      <c r="E122" s="215" t="s">
        <v>289</v>
      </c>
      <c r="F122" s="107" t="str">
        <f t="shared" si="8"/>
        <v>KD</v>
      </c>
    </row>
    <row r="123" spans="2:6" ht="17">
      <c r="B123" s="211" t="s">
        <v>290</v>
      </c>
      <c r="C123" s="212" t="s">
        <v>272</v>
      </c>
      <c r="D123" s="212" t="s">
        <v>217</v>
      </c>
      <c r="E123" s="215" t="s">
        <v>291</v>
      </c>
      <c r="F123" s="107" t="str">
        <f t="shared" si="8"/>
        <v>MR</v>
      </c>
    </row>
    <row r="124" spans="2:6" ht="17">
      <c r="B124" s="211" t="s">
        <v>292</v>
      </c>
      <c r="C124" s="212" t="s">
        <v>293</v>
      </c>
      <c r="D124" s="212" t="s">
        <v>217</v>
      </c>
      <c r="E124" s="215" t="s">
        <v>294</v>
      </c>
      <c r="F124" s="107" t="str">
        <f t="shared" si="8"/>
        <v>AT</v>
      </c>
    </row>
    <row r="125" spans="2:6" ht="17">
      <c r="B125" s="211" t="s">
        <v>295</v>
      </c>
      <c r="C125" s="212" t="s">
        <v>296</v>
      </c>
      <c r="D125" s="212" t="s">
        <v>296</v>
      </c>
      <c r="E125" s="215">
        <v>0</v>
      </c>
      <c r="F125" s="107" t="str">
        <f t="shared" si="8"/>
        <v>ET</v>
      </c>
    </row>
    <row r="126" spans="2:6" ht="17">
      <c r="B126" s="211" t="s">
        <v>297</v>
      </c>
      <c r="C126" s="212" t="s">
        <v>298</v>
      </c>
      <c r="D126" s="212" t="s">
        <v>217</v>
      </c>
      <c r="E126" s="215" t="s">
        <v>299</v>
      </c>
      <c r="F126" s="107" t="str">
        <f t="shared" si="8"/>
        <v>FA</v>
      </c>
    </row>
    <row r="127" spans="2:6" ht="34">
      <c r="B127" s="211" t="s">
        <v>300</v>
      </c>
      <c r="C127" s="212" t="s">
        <v>301</v>
      </c>
      <c r="D127" s="212" t="s">
        <v>217</v>
      </c>
      <c r="E127" s="215" t="s">
        <v>1512</v>
      </c>
      <c r="F127" s="107" t="str">
        <f t="shared" si="8"/>
        <v>KA</v>
      </c>
    </row>
    <row r="128" spans="2:6" ht="17">
      <c r="B128" s="211" t="s">
        <v>302</v>
      </c>
      <c r="C128" s="212" t="s">
        <v>63</v>
      </c>
      <c r="D128" s="212" t="s">
        <v>217</v>
      </c>
      <c r="E128" s="215" t="s">
        <v>303</v>
      </c>
      <c r="F128" s="107" t="str">
        <f t="shared" si="8"/>
        <v>MFE</v>
      </c>
    </row>
    <row r="129" spans="2:6" ht="17">
      <c r="B129" s="211" t="s">
        <v>304</v>
      </c>
      <c r="C129" s="212" t="s">
        <v>73</v>
      </c>
      <c r="D129" s="212" t="s">
        <v>217</v>
      </c>
      <c r="E129" s="215">
        <v>0</v>
      </c>
      <c r="F129" s="107" t="str">
        <f t="shared" si="8"/>
        <v>DSAL</v>
      </c>
    </row>
    <row r="130" spans="2:6" ht="17">
      <c r="B130" s="211" t="s">
        <v>305</v>
      </c>
      <c r="C130" s="212" t="s">
        <v>306</v>
      </c>
      <c r="D130" s="212" t="s">
        <v>306</v>
      </c>
      <c r="E130" s="215" t="s">
        <v>307</v>
      </c>
      <c r="F130" s="107" t="str">
        <f t="shared" si="8"/>
        <v>PA</v>
      </c>
    </row>
    <row r="131" spans="2:6" ht="17">
      <c r="B131" s="211" t="s">
        <v>308</v>
      </c>
      <c r="C131" s="212" t="s">
        <v>309</v>
      </c>
      <c r="D131" s="212" t="s">
        <v>36</v>
      </c>
      <c r="E131" s="215" t="s">
        <v>310</v>
      </c>
      <c r="F131" s="107" t="str">
        <f t="shared" ref="F131:F194" si="10">UPPER(LEFT(B131,1)) &amp; IFERROR(UPPER(LEFT(MID(B131,FIND(" ",B131)+1,LEN(B131)),1)),"") &amp; IFERROR(UPPER(LEFT(MID(B131,FIND(" ",B131,FIND(" ",B131)+1)+1,LEN(B131)),1)),"") &amp; IFERROR(UPPER(LEFT(MID(B131,FIND(" ",B131,FIND(" ",B131,FIND(" ",B131)+1)+1)+1,LEN(B131)),1)),"")</f>
        <v>DVES</v>
      </c>
    </row>
    <row r="132" spans="2:6" ht="17">
      <c r="B132" s="211" t="s">
        <v>311</v>
      </c>
      <c r="C132" s="212" t="s">
        <v>33</v>
      </c>
      <c r="D132" s="212" t="s">
        <v>217</v>
      </c>
      <c r="E132" s="215" t="s">
        <v>312</v>
      </c>
      <c r="F132" s="107" t="str">
        <f t="shared" si="10"/>
        <v>MAT</v>
      </c>
    </row>
    <row r="133" spans="2:6" ht="17">
      <c r="B133" s="211" t="s">
        <v>313</v>
      </c>
      <c r="C133" s="212" t="s">
        <v>314</v>
      </c>
      <c r="D133" s="212" t="s">
        <v>217</v>
      </c>
      <c r="E133" s="215" t="s">
        <v>315</v>
      </c>
      <c r="F133" s="107" t="str">
        <f t="shared" si="10"/>
        <v>SAF</v>
      </c>
    </row>
    <row r="134" spans="2:6" ht="17">
      <c r="B134" s="211" t="s">
        <v>316</v>
      </c>
      <c r="C134" s="212" t="s">
        <v>317</v>
      </c>
      <c r="D134" s="212" t="s">
        <v>217</v>
      </c>
      <c r="E134" s="215" t="s">
        <v>66</v>
      </c>
      <c r="F134" s="107" t="str">
        <f t="shared" si="10"/>
        <v>KH</v>
      </c>
    </row>
    <row r="135" spans="2:6" ht="17">
      <c r="B135" s="211" t="s">
        <v>318</v>
      </c>
      <c r="C135" s="212" t="s">
        <v>81</v>
      </c>
      <c r="D135" s="212" t="s">
        <v>217</v>
      </c>
      <c r="E135" s="215" t="s">
        <v>82</v>
      </c>
      <c r="F135" s="107" t="str">
        <f t="shared" si="10"/>
        <v>TS</v>
      </c>
    </row>
    <row r="136" spans="2:6" ht="17">
      <c r="B136" s="211" t="s">
        <v>319</v>
      </c>
      <c r="C136" s="212" t="s">
        <v>301</v>
      </c>
      <c r="D136" s="212" t="s">
        <v>217</v>
      </c>
      <c r="E136" s="215" t="s">
        <v>320</v>
      </c>
      <c r="F136" s="107" t="str">
        <f t="shared" si="10"/>
        <v>AKA</v>
      </c>
    </row>
    <row r="137" spans="2:6" ht="17">
      <c r="B137" s="211" t="s">
        <v>321</v>
      </c>
      <c r="C137" s="212" t="s">
        <v>322</v>
      </c>
      <c r="D137" s="212" t="s">
        <v>217</v>
      </c>
      <c r="E137" s="215" t="s">
        <v>323</v>
      </c>
      <c r="F137" s="107" t="str">
        <f t="shared" si="10"/>
        <v>S</v>
      </c>
    </row>
    <row r="138" spans="2:6" ht="17">
      <c r="B138" s="211" t="s">
        <v>324</v>
      </c>
      <c r="C138" s="212" t="s">
        <v>325</v>
      </c>
      <c r="D138" s="212" t="s">
        <v>217</v>
      </c>
      <c r="E138" s="215" t="s">
        <v>326</v>
      </c>
      <c r="F138" s="107" t="str">
        <f t="shared" si="10"/>
        <v>YF</v>
      </c>
    </row>
    <row r="139" spans="2:6" ht="17">
      <c r="B139" s="211" t="s">
        <v>327</v>
      </c>
      <c r="C139" s="212" t="s">
        <v>328</v>
      </c>
      <c r="D139" s="212" t="s">
        <v>217</v>
      </c>
      <c r="E139" s="215" t="s">
        <v>329</v>
      </c>
      <c r="F139" s="107" t="str">
        <f t="shared" si="10"/>
        <v>SA</v>
      </c>
    </row>
    <row r="140" spans="2:6" ht="17">
      <c r="B140" s="211" t="s">
        <v>330</v>
      </c>
      <c r="C140" s="212" t="s">
        <v>331</v>
      </c>
      <c r="D140" s="212" t="s">
        <v>36</v>
      </c>
      <c r="E140" s="215"/>
      <c r="F140" s="107" t="str">
        <f t="shared" si="10"/>
        <v>ETC1</v>
      </c>
    </row>
    <row r="141" spans="2:6" ht="17">
      <c r="B141" s="211" t="s">
        <v>332</v>
      </c>
      <c r="C141" s="212" t="s">
        <v>333</v>
      </c>
      <c r="D141" s="212" t="s">
        <v>217</v>
      </c>
      <c r="E141" s="215" t="s">
        <v>334</v>
      </c>
      <c r="F141" s="107" t="str">
        <f t="shared" si="10"/>
        <v>D</v>
      </c>
    </row>
    <row r="142" spans="2:6" ht="17">
      <c r="B142" s="211" t="s">
        <v>335</v>
      </c>
      <c r="C142" s="212" t="s">
        <v>38</v>
      </c>
      <c r="D142" s="212" t="s">
        <v>217</v>
      </c>
      <c r="E142" s="215" t="s">
        <v>336</v>
      </c>
      <c r="F142" s="107" t="str">
        <f t="shared" si="10"/>
        <v>MF</v>
      </c>
    </row>
    <row r="143" spans="2:6" ht="17">
      <c r="B143" s="211" t="s">
        <v>337</v>
      </c>
      <c r="C143" s="212" t="s">
        <v>338</v>
      </c>
      <c r="D143" s="212" t="s">
        <v>217</v>
      </c>
      <c r="E143" s="215">
        <v>0</v>
      </c>
      <c r="F143" s="107" t="str">
        <f t="shared" si="10"/>
        <v>DSAL</v>
      </c>
    </row>
    <row r="144" spans="2:6" ht="17">
      <c r="B144" s="211" t="s">
        <v>339</v>
      </c>
      <c r="C144" s="212" t="s">
        <v>340</v>
      </c>
      <c r="D144" s="212" t="s">
        <v>217</v>
      </c>
      <c r="E144" s="215" t="s">
        <v>341</v>
      </c>
      <c r="F144" s="107" t="str">
        <f t="shared" si="10"/>
        <v>ACRJ</v>
      </c>
    </row>
    <row r="145" spans="2:6" ht="17">
      <c r="B145" s="211" t="s">
        <v>342</v>
      </c>
      <c r="C145" s="212" t="s">
        <v>343</v>
      </c>
      <c r="D145" s="212" t="s">
        <v>343</v>
      </c>
      <c r="E145" s="215" t="s">
        <v>341</v>
      </c>
      <c r="F145" s="107" t="str">
        <f t="shared" si="10"/>
        <v>MZ</v>
      </c>
    </row>
    <row r="146" spans="2:6" ht="17">
      <c r="B146" s="211" t="s">
        <v>344</v>
      </c>
      <c r="C146" s="212" t="s">
        <v>208</v>
      </c>
      <c r="D146" s="212" t="s">
        <v>217</v>
      </c>
      <c r="E146" s="215"/>
      <c r="F146" s="107" t="str">
        <f t="shared" si="10"/>
        <v>TI</v>
      </c>
    </row>
    <row r="147" spans="2:6" ht="17">
      <c r="B147" s="211" t="s">
        <v>345</v>
      </c>
      <c r="C147" s="212" t="s">
        <v>346</v>
      </c>
      <c r="D147" s="212" t="s">
        <v>36</v>
      </c>
      <c r="E147" s="215"/>
      <c r="F147" s="107" t="str">
        <f t="shared" si="10"/>
        <v>BIC</v>
      </c>
    </row>
    <row r="148" spans="2:6" ht="17">
      <c r="B148" s="211" t="s">
        <v>347</v>
      </c>
      <c r="C148" s="212" t="s">
        <v>348</v>
      </c>
      <c r="D148" s="212" t="s">
        <v>36</v>
      </c>
      <c r="E148" s="215"/>
      <c r="F148" s="107" t="str">
        <f t="shared" si="10"/>
        <v>PRBS</v>
      </c>
    </row>
    <row r="149" spans="2:6" ht="34">
      <c r="B149" s="211" t="s">
        <v>349</v>
      </c>
      <c r="C149" s="212" t="s">
        <v>350</v>
      </c>
      <c r="D149" s="212" t="s">
        <v>217</v>
      </c>
      <c r="E149" s="215" t="s">
        <v>351</v>
      </c>
      <c r="F149" s="107" t="str">
        <f t="shared" si="10"/>
        <v>BGL</v>
      </c>
    </row>
    <row r="150" spans="2:6" ht="17">
      <c r="B150" s="211" t="s">
        <v>352</v>
      </c>
      <c r="C150" s="212" t="s">
        <v>353</v>
      </c>
      <c r="D150" s="212" t="s">
        <v>217</v>
      </c>
      <c r="E150" s="215" t="s">
        <v>354</v>
      </c>
      <c r="F150" s="107" t="str">
        <f t="shared" si="10"/>
        <v>SA</v>
      </c>
    </row>
    <row r="151" spans="2:6" ht="34">
      <c r="B151" s="211" t="s">
        <v>355</v>
      </c>
      <c r="C151" s="212" t="s">
        <v>356</v>
      </c>
      <c r="D151" s="212" t="s">
        <v>217</v>
      </c>
      <c r="E151" s="215" t="s">
        <v>357</v>
      </c>
      <c r="F151" s="107" t="str">
        <f t="shared" si="10"/>
        <v>VNB</v>
      </c>
    </row>
    <row r="152" spans="2:6" ht="17">
      <c r="B152" s="211" t="s">
        <v>2417</v>
      </c>
      <c r="C152" s="212" t="s">
        <v>217</v>
      </c>
      <c r="D152" s="212" t="s">
        <v>217</v>
      </c>
      <c r="E152" s="215" t="s">
        <v>358</v>
      </c>
      <c r="F152" s="107" t="str">
        <f t="shared" si="10"/>
        <v>MAP</v>
      </c>
    </row>
    <row r="153" spans="2:6" ht="17">
      <c r="B153" s="211" t="s">
        <v>359</v>
      </c>
      <c r="E153" s="215" t="s">
        <v>360</v>
      </c>
      <c r="F153" s="107" t="str">
        <f t="shared" si="10"/>
        <v>TTS</v>
      </c>
    </row>
    <row r="154" spans="2:6" ht="17">
      <c r="B154" s="211" t="s">
        <v>361</v>
      </c>
      <c r="C154" s="212" t="s">
        <v>242</v>
      </c>
      <c r="D154" s="212" t="s">
        <v>217</v>
      </c>
      <c r="E154" s="215" t="s">
        <v>360</v>
      </c>
      <c r="F154" s="107" t="str">
        <f t="shared" si="10"/>
        <v>CL</v>
      </c>
    </row>
    <row r="155" spans="2:6" ht="17">
      <c r="B155" s="211" t="s">
        <v>362</v>
      </c>
      <c r="C155" s="212" t="s">
        <v>363</v>
      </c>
      <c r="D155" s="212" t="s">
        <v>36</v>
      </c>
      <c r="E155" s="215" t="s">
        <v>364</v>
      </c>
      <c r="F155" s="107" t="str">
        <f t="shared" si="10"/>
        <v>DAA</v>
      </c>
    </row>
    <row r="156" spans="2:6" ht="17">
      <c r="B156" s="211" t="s">
        <v>365</v>
      </c>
      <c r="C156" s="212" t="s">
        <v>366</v>
      </c>
      <c r="D156" s="212" t="s">
        <v>217</v>
      </c>
      <c r="E156" s="215" t="s">
        <v>367</v>
      </c>
      <c r="F156" s="107" t="str">
        <f t="shared" si="10"/>
        <v>CCA</v>
      </c>
    </row>
    <row r="157" spans="2:6" ht="17">
      <c r="B157" s="211" t="s">
        <v>368</v>
      </c>
      <c r="E157" s="215">
        <v>0</v>
      </c>
      <c r="F157" s="107" t="str">
        <f t="shared" si="10"/>
        <v>NRL</v>
      </c>
    </row>
    <row r="158" spans="2:6" ht="17">
      <c r="B158" s="211" t="s">
        <v>369</v>
      </c>
      <c r="C158" s="212" t="s">
        <v>370</v>
      </c>
      <c r="D158" s="212" t="s">
        <v>217</v>
      </c>
      <c r="E158" s="215" t="s">
        <v>371</v>
      </c>
      <c r="F158" s="107" t="str">
        <f t="shared" si="10"/>
        <v>DB</v>
      </c>
    </row>
    <row r="159" spans="2:6" ht="51">
      <c r="B159" s="211" t="s">
        <v>372</v>
      </c>
      <c r="C159" s="212" t="s">
        <v>356</v>
      </c>
      <c r="D159" s="212" t="s">
        <v>217</v>
      </c>
      <c r="E159" s="215" t="s">
        <v>373</v>
      </c>
      <c r="F159" s="107" t="str">
        <f t="shared" si="10"/>
        <v>MEE-</v>
      </c>
    </row>
    <row r="160" spans="2:6" ht="17">
      <c r="B160" s="211" t="s">
        <v>374</v>
      </c>
      <c r="C160" s="212" t="s">
        <v>94</v>
      </c>
      <c r="D160" s="212" t="s">
        <v>217</v>
      </c>
      <c r="E160" s="215" t="s">
        <v>375</v>
      </c>
      <c r="F160" s="107" t="str">
        <f t="shared" si="10"/>
        <v>PAD</v>
      </c>
    </row>
    <row r="161" spans="2:6" ht="17">
      <c r="B161" s="211" t="s">
        <v>376</v>
      </c>
      <c r="C161" s="212" t="s">
        <v>377</v>
      </c>
      <c r="D161" s="212" t="s">
        <v>52</v>
      </c>
      <c r="E161" s="215" t="s">
        <v>378</v>
      </c>
      <c r="F161" s="107" t="str">
        <f t="shared" si="10"/>
        <v>JFS</v>
      </c>
    </row>
    <row r="162" spans="2:6" ht="17">
      <c r="B162" s="211" t="s">
        <v>379</v>
      </c>
      <c r="C162" s="212" t="s">
        <v>338</v>
      </c>
      <c r="D162" s="212" t="s">
        <v>217</v>
      </c>
      <c r="E162" s="215" t="s">
        <v>329</v>
      </c>
      <c r="F162" s="107" t="str">
        <f t="shared" si="10"/>
        <v>DF</v>
      </c>
    </row>
    <row r="163" spans="2:6" ht="17">
      <c r="B163" s="211" t="s">
        <v>380</v>
      </c>
      <c r="C163" s="212" t="s">
        <v>381</v>
      </c>
      <c r="D163" s="212" t="s">
        <v>217</v>
      </c>
      <c r="E163" s="215" t="s">
        <v>382</v>
      </c>
      <c r="F163" s="107" t="str">
        <f t="shared" si="10"/>
        <v>JIC</v>
      </c>
    </row>
    <row r="164" spans="2:6" ht="17">
      <c r="B164" s="211" t="s">
        <v>383</v>
      </c>
      <c r="C164" s="212" t="s">
        <v>36</v>
      </c>
      <c r="D164" s="212" t="s">
        <v>36</v>
      </c>
      <c r="E164" s="215" t="s">
        <v>384</v>
      </c>
      <c r="F164" s="107" t="str">
        <f t="shared" si="10"/>
        <v>TL</v>
      </c>
    </row>
    <row r="165" spans="2:6" ht="17">
      <c r="B165" s="211" t="s">
        <v>385</v>
      </c>
      <c r="C165" s="212" t="s">
        <v>386</v>
      </c>
      <c r="D165" s="212" t="s">
        <v>217</v>
      </c>
      <c r="E165" s="215" t="s">
        <v>387</v>
      </c>
      <c r="F165" s="107" t="str">
        <f t="shared" si="10"/>
        <v>AOVO</v>
      </c>
    </row>
    <row r="166" spans="2:6" ht="17">
      <c r="B166" s="211" t="s">
        <v>388</v>
      </c>
      <c r="C166" s="212" t="s">
        <v>33</v>
      </c>
      <c r="D166" s="212" t="s">
        <v>217</v>
      </c>
      <c r="E166" s="215">
        <v>0</v>
      </c>
      <c r="F166" s="107" t="str">
        <f t="shared" si="10"/>
        <v>GO</v>
      </c>
    </row>
    <row r="167" spans="2:6" ht="17">
      <c r="B167" s="211" t="s">
        <v>389</v>
      </c>
      <c r="C167" s="212" t="s">
        <v>390</v>
      </c>
      <c r="D167" s="212" t="s">
        <v>390</v>
      </c>
      <c r="E167" s="215">
        <v>0</v>
      </c>
      <c r="F167" s="107" t="str">
        <f t="shared" si="10"/>
        <v>CVHR</v>
      </c>
    </row>
    <row r="168" spans="2:6" ht="17">
      <c r="B168" s="211" t="s">
        <v>391</v>
      </c>
      <c r="C168" s="212" t="s">
        <v>390</v>
      </c>
      <c r="D168" s="212" t="s">
        <v>390</v>
      </c>
      <c r="E168" s="215">
        <v>0</v>
      </c>
      <c r="F168" s="107" t="str">
        <f t="shared" si="10"/>
        <v>CVHK</v>
      </c>
    </row>
    <row r="169" spans="2:6" ht="34">
      <c r="B169" s="211" t="s">
        <v>392</v>
      </c>
      <c r="C169" s="212" t="s">
        <v>393</v>
      </c>
      <c r="D169" s="212" t="s">
        <v>217</v>
      </c>
      <c r="E169" s="215" t="s">
        <v>394</v>
      </c>
      <c r="F169" s="107" t="str">
        <f t="shared" si="10"/>
        <v>KAAJ</v>
      </c>
    </row>
    <row r="170" spans="2:6" ht="17">
      <c r="B170" s="211" t="s">
        <v>841</v>
      </c>
      <c r="C170" s="212" t="s">
        <v>840</v>
      </c>
      <c r="D170" s="212" t="s">
        <v>36</v>
      </c>
      <c r="E170" s="215" t="s">
        <v>839</v>
      </c>
      <c r="F170" s="107" t="str">
        <f t="shared" si="10"/>
        <v>ALAK</v>
      </c>
    </row>
    <row r="171" spans="2:6" ht="17">
      <c r="B171" s="211" t="s">
        <v>838</v>
      </c>
      <c r="C171" s="212" t="s">
        <v>338</v>
      </c>
      <c r="D171" s="212" t="s">
        <v>217</v>
      </c>
      <c r="E171" s="215" t="s">
        <v>431</v>
      </c>
      <c r="F171" s="107" t="str">
        <f t="shared" si="10"/>
        <v>TSL</v>
      </c>
    </row>
    <row r="172" spans="2:6" ht="17">
      <c r="B172" s="211" t="s">
        <v>837</v>
      </c>
      <c r="C172" s="212" t="s">
        <v>52</v>
      </c>
      <c r="D172" s="212" t="s">
        <v>52</v>
      </c>
      <c r="E172" s="215" t="s">
        <v>431</v>
      </c>
      <c r="F172" s="107" t="str">
        <f t="shared" si="10"/>
        <v>TSLK</v>
      </c>
    </row>
    <row r="173" spans="2:6" ht="17">
      <c r="B173" s="211" t="s">
        <v>395</v>
      </c>
      <c r="C173" s="212" t="s">
        <v>52</v>
      </c>
      <c r="D173" s="212" t="s">
        <v>52</v>
      </c>
      <c r="E173" s="215">
        <v>0</v>
      </c>
      <c r="F173" s="107" t="str">
        <f t="shared" si="10"/>
        <v>AEP</v>
      </c>
    </row>
    <row r="174" spans="2:6" ht="17">
      <c r="B174" s="211" t="s">
        <v>396</v>
      </c>
      <c r="C174" s="212" t="s">
        <v>397</v>
      </c>
      <c r="D174" s="212" t="s">
        <v>217</v>
      </c>
      <c r="E174" s="215" t="s">
        <v>398</v>
      </c>
      <c r="F174" s="107" t="str">
        <f t="shared" si="10"/>
        <v>OS</v>
      </c>
    </row>
    <row r="175" spans="2:6" ht="17">
      <c r="B175" s="211" t="s">
        <v>399</v>
      </c>
      <c r="C175" s="212" t="s">
        <v>356</v>
      </c>
      <c r="D175" s="212" t="s">
        <v>217</v>
      </c>
      <c r="E175" s="215" t="s">
        <v>400</v>
      </c>
      <c r="F175" s="107" t="str">
        <f t="shared" si="10"/>
        <v>RB</v>
      </c>
    </row>
    <row r="176" spans="2:6" ht="17">
      <c r="B176" s="211" t="s">
        <v>401</v>
      </c>
      <c r="C176" s="212" t="s">
        <v>402</v>
      </c>
      <c r="D176" s="212" t="s">
        <v>217</v>
      </c>
      <c r="E176" s="215">
        <v>0</v>
      </c>
      <c r="F176" s="107" t="str">
        <f t="shared" si="10"/>
        <v>RW</v>
      </c>
    </row>
    <row r="177" spans="2:7" ht="17">
      <c r="B177" s="211" t="s">
        <v>404</v>
      </c>
      <c r="C177" s="212" t="s">
        <v>47</v>
      </c>
      <c r="D177" s="212" t="s">
        <v>217</v>
      </c>
      <c r="E177" s="215">
        <v>0</v>
      </c>
      <c r="F177" s="107" t="str">
        <f t="shared" si="10"/>
        <v>LK</v>
      </c>
    </row>
    <row r="178" spans="2:7" ht="17">
      <c r="B178" s="211" t="s">
        <v>405</v>
      </c>
      <c r="C178" s="212" t="s">
        <v>47</v>
      </c>
      <c r="D178" s="212" t="s">
        <v>217</v>
      </c>
      <c r="E178" s="215" t="s">
        <v>406</v>
      </c>
      <c r="F178" s="107" t="str">
        <f t="shared" si="10"/>
        <v>MA</v>
      </c>
    </row>
    <row r="179" spans="2:7" ht="17">
      <c r="B179" s="211" t="s">
        <v>407</v>
      </c>
      <c r="C179" s="212" t="s">
        <v>343</v>
      </c>
      <c r="D179" s="212" t="s">
        <v>217</v>
      </c>
      <c r="E179" s="215">
        <v>0</v>
      </c>
      <c r="F179" s="107" t="str">
        <f t="shared" si="10"/>
        <v>GRCL</v>
      </c>
    </row>
    <row r="180" spans="2:7" ht="17">
      <c r="B180" s="211" t="s">
        <v>408</v>
      </c>
      <c r="C180" s="212" t="s">
        <v>47</v>
      </c>
      <c r="D180" s="212" t="s">
        <v>217</v>
      </c>
      <c r="E180" s="215">
        <v>0</v>
      </c>
      <c r="F180" s="107" t="str">
        <f t="shared" si="10"/>
        <v>LT</v>
      </c>
    </row>
    <row r="181" spans="2:7" ht="17">
      <c r="B181" s="211" t="s">
        <v>409</v>
      </c>
      <c r="C181" s="212" t="s">
        <v>410</v>
      </c>
      <c r="D181" s="212" t="s">
        <v>217</v>
      </c>
      <c r="E181" s="215" t="s">
        <v>411</v>
      </c>
      <c r="F181" s="107" t="str">
        <f t="shared" si="10"/>
        <v>FD</v>
      </c>
    </row>
    <row r="182" spans="2:7" ht="17">
      <c r="B182" s="211" t="s">
        <v>1570</v>
      </c>
      <c r="C182" s="212" t="s">
        <v>1563</v>
      </c>
      <c r="D182" s="212" t="s">
        <v>217</v>
      </c>
      <c r="E182" s="215" t="s">
        <v>1564</v>
      </c>
      <c r="F182" s="107" t="str">
        <f t="shared" si="10"/>
        <v>TPGL</v>
      </c>
      <c r="G182" s="213" t="s">
        <v>1195</v>
      </c>
    </row>
    <row r="183" spans="2:7" ht="17">
      <c r="B183" s="211" t="s">
        <v>1569</v>
      </c>
      <c r="C183" s="212" t="s">
        <v>1565</v>
      </c>
      <c r="D183" s="212" t="s">
        <v>1093</v>
      </c>
      <c r="E183" s="215" t="s">
        <v>1564</v>
      </c>
      <c r="F183" s="107" t="str">
        <f t="shared" si="10"/>
        <v>TPGL</v>
      </c>
      <c r="G183" s="213" t="s">
        <v>1195</v>
      </c>
    </row>
    <row r="184" spans="2:7" ht="17">
      <c r="B184" s="211" t="s">
        <v>1568</v>
      </c>
      <c r="C184" s="212" t="s">
        <v>1567</v>
      </c>
      <c r="D184" s="212" t="s">
        <v>1093</v>
      </c>
      <c r="E184" s="215" t="s">
        <v>1566</v>
      </c>
      <c r="F184" s="107" t="str">
        <f t="shared" si="10"/>
        <v>TPGL</v>
      </c>
      <c r="G184" s="213" t="s">
        <v>1195</v>
      </c>
    </row>
    <row r="185" spans="2:7" ht="17">
      <c r="B185" s="211" t="s">
        <v>412</v>
      </c>
      <c r="C185" s="212" t="s">
        <v>413</v>
      </c>
      <c r="D185" s="212" t="s">
        <v>857</v>
      </c>
      <c r="E185" s="215" t="s">
        <v>1196</v>
      </c>
      <c r="F185" s="107" t="str">
        <f t="shared" si="10"/>
        <v>TPGL</v>
      </c>
      <c r="G185" s="213" t="s">
        <v>1195</v>
      </c>
    </row>
    <row r="186" spans="2:7" ht="17">
      <c r="B186" s="211" t="s">
        <v>631</v>
      </c>
      <c r="C186" s="212" t="s">
        <v>632</v>
      </c>
      <c r="D186" s="212" t="s">
        <v>343</v>
      </c>
      <c r="E186" s="215" t="s">
        <v>1275</v>
      </c>
      <c r="F186" s="107" t="str">
        <f t="shared" si="10"/>
        <v>TPGL</v>
      </c>
      <c r="G186" s="213" t="s">
        <v>1276</v>
      </c>
    </row>
    <row r="187" spans="2:7" ht="17">
      <c r="B187" s="211" t="s">
        <v>796</v>
      </c>
      <c r="C187" s="212" t="s">
        <v>797</v>
      </c>
      <c r="D187" s="212" t="s">
        <v>36</v>
      </c>
      <c r="E187" s="215" t="s">
        <v>1275</v>
      </c>
      <c r="F187" s="107" t="str">
        <f t="shared" si="10"/>
        <v>TPGL</v>
      </c>
      <c r="G187" s="213" t="s">
        <v>1276</v>
      </c>
    </row>
    <row r="188" spans="2:7" ht="17">
      <c r="B188" s="211" t="s">
        <v>1263</v>
      </c>
      <c r="C188" s="212" t="s">
        <v>1264</v>
      </c>
      <c r="D188" s="212" t="s">
        <v>52</v>
      </c>
      <c r="E188" s="215" t="s">
        <v>1275</v>
      </c>
      <c r="F188" s="107" t="str">
        <f t="shared" si="10"/>
        <v>TPGL</v>
      </c>
      <c r="G188" s="213" t="s">
        <v>1276</v>
      </c>
    </row>
    <row r="189" spans="2:7" ht="17">
      <c r="B189" s="211" t="s">
        <v>1265</v>
      </c>
      <c r="C189" s="212" t="s">
        <v>1266</v>
      </c>
      <c r="D189" s="212" t="s">
        <v>52</v>
      </c>
      <c r="E189" s="215" t="s">
        <v>1275</v>
      </c>
      <c r="F189" s="107" t="str">
        <f t="shared" si="10"/>
        <v>TPGL</v>
      </c>
      <c r="G189" s="213" t="s">
        <v>1276</v>
      </c>
    </row>
    <row r="190" spans="2:7" ht="17">
      <c r="B190" s="211" t="s">
        <v>1267</v>
      </c>
      <c r="C190" s="212" t="s">
        <v>1268</v>
      </c>
      <c r="D190" s="212" t="s">
        <v>217</v>
      </c>
      <c r="E190" s="215" t="s">
        <v>1275</v>
      </c>
      <c r="F190" s="107" t="str">
        <f t="shared" si="10"/>
        <v>TPGL</v>
      </c>
      <c r="G190" s="213" t="s">
        <v>1276</v>
      </c>
    </row>
    <row r="191" spans="2:7" ht="17">
      <c r="B191" s="211" t="s">
        <v>1282</v>
      </c>
      <c r="C191" s="212" t="s">
        <v>565</v>
      </c>
      <c r="D191" s="212" t="s">
        <v>217</v>
      </c>
      <c r="E191" s="215" t="s">
        <v>1275</v>
      </c>
      <c r="F191" s="107" t="str">
        <f t="shared" si="10"/>
        <v>TPGL</v>
      </c>
      <c r="G191" s="213" t="s">
        <v>1276</v>
      </c>
    </row>
    <row r="192" spans="2:7" ht="17">
      <c r="B192" s="211" t="s">
        <v>414</v>
      </c>
      <c r="C192" s="212" t="s">
        <v>415</v>
      </c>
      <c r="D192" s="212" t="s">
        <v>217</v>
      </c>
      <c r="E192" s="215" t="s">
        <v>416</v>
      </c>
      <c r="F192" s="107" t="str">
        <f t="shared" si="10"/>
        <v>SN</v>
      </c>
    </row>
    <row r="193" spans="2:6" ht="17">
      <c r="B193" s="211" t="s">
        <v>417</v>
      </c>
      <c r="C193" s="212" t="s">
        <v>356</v>
      </c>
      <c r="D193" s="212" t="s">
        <v>217</v>
      </c>
      <c r="E193" s="215" t="s">
        <v>418</v>
      </c>
      <c r="F193" s="107" t="str">
        <f t="shared" si="10"/>
        <v>GKK</v>
      </c>
    </row>
    <row r="194" spans="2:6" ht="17">
      <c r="B194" s="211" t="s">
        <v>419</v>
      </c>
      <c r="C194" s="212" t="s">
        <v>420</v>
      </c>
      <c r="D194" s="212" t="s">
        <v>217</v>
      </c>
      <c r="E194" s="215" t="s">
        <v>421</v>
      </c>
      <c r="F194" s="107" t="str">
        <f t="shared" si="10"/>
        <v>BK</v>
      </c>
    </row>
    <row r="195" spans="2:6" ht="17">
      <c r="B195" s="211" t="s">
        <v>422</v>
      </c>
      <c r="C195" s="212" t="s">
        <v>36</v>
      </c>
      <c r="D195" s="212" t="s">
        <v>36</v>
      </c>
      <c r="E195" s="215" t="s">
        <v>423</v>
      </c>
      <c r="F195" s="107" t="str">
        <f t="shared" ref="F195:F258" si="11">UPPER(LEFT(B195,1)) &amp; IFERROR(UPPER(LEFT(MID(B195,FIND(" ",B195)+1,LEN(B195)),1)),"") &amp; IFERROR(UPPER(LEFT(MID(B195,FIND(" ",B195,FIND(" ",B195)+1)+1,LEN(B195)),1)),"") &amp; IFERROR(UPPER(LEFT(MID(B195,FIND(" ",B195,FIND(" ",B195,FIND(" ",B195)+1)+1)+1,LEN(B195)),1)),"")</f>
        <v>GA</v>
      </c>
    </row>
    <row r="196" spans="2:6" ht="34">
      <c r="B196" s="211" t="s">
        <v>424</v>
      </c>
      <c r="C196" s="212" t="s">
        <v>425</v>
      </c>
      <c r="D196" s="212" t="s">
        <v>36</v>
      </c>
      <c r="E196" s="215" t="s">
        <v>426</v>
      </c>
      <c r="F196" s="107" t="str">
        <f t="shared" si="11"/>
        <v>MN</v>
      </c>
    </row>
    <row r="197" spans="2:6" ht="17">
      <c r="B197" s="211" t="s">
        <v>1772</v>
      </c>
      <c r="C197" s="212" t="s">
        <v>36</v>
      </c>
      <c r="D197" s="212" t="s">
        <v>957</v>
      </c>
      <c r="E197" s="215" t="s">
        <v>428</v>
      </c>
      <c r="F197" s="107" t="str">
        <f t="shared" si="11"/>
        <v>DB-D</v>
      </c>
    </row>
    <row r="198" spans="2:6" ht="17">
      <c r="B198" s="211" t="s">
        <v>429</v>
      </c>
      <c r="C198" s="212" t="s">
        <v>158</v>
      </c>
      <c r="D198" s="212" t="s">
        <v>217</v>
      </c>
      <c r="E198" s="215">
        <v>0</v>
      </c>
      <c r="F198" s="107" t="str">
        <f t="shared" si="11"/>
        <v>MA</v>
      </c>
    </row>
    <row r="199" spans="2:6" ht="17">
      <c r="B199" s="211" t="s">
        <v>430</v>
      </c>
      <c r="C199" s="212" t="s">
        <v>356</v>
      </c>
      <c r="D199" s="212" t="s">
        <v>217</v>
      </c>
      <c r="E199" s="215" t="s">
        <v>431</v>
      </c>
      <c r="F199" s="107" t="str">
        <f t="shared" si="11"/>
        <v>TSLW</v>
      </c>
    </row>
    <row r="200" spans="2:6" ht="17">
      <c r="B200" s="211" t="s">
        <v>432</v>
      </c>
      <c r="C200" s="212" t="s">
        <v>43</v>
      </c>
      <c r="D200" s="212" t="s">
        <v>957</v>
      </c>
      <c r="E200" s="215">
        <v>0</v>
      </c>
      <c r="F200" s="107" t="str">
        <f t="shared" si="11"/>
        <v>HFI</v>
      </c>
    </row>
    <row r="201" spans="2:6" ht="17">
      <c r="B201" s="211" t="s">
        <v>433</v>
      </c>
      <c r="C201" s="212" t="s">
        <v>242</v>
      </c>
      <c r="D201" s="212" t="s">
        <v>217</v>
      </c>
      <c r="E201" s="215" t="s">
        <v>360</v>
      </c>
      <c r="F201" s="107" t="str">
        <f t="shared" si="11"/>
        <v>ROTT</v>
      </c>
    </row>
    <row r="202" spans="2:6" ht="17">
      <c r="B202" s="211" t="s">
        <v>434</v>
      </c>
      <c r="C202" s="212" t="s">
        <v>47</v>
      </c>
      <c r="D202" s="212" t="s">
        <v>217</v>
      </c>
      <c r="E202" s="215" t="s">
        <v>435</v>
      </c>
      <c r="F202" s="107" t="str">
        <f t="shared" si="11"/>
        <v>KAN</v>
      </c>
    </row>
    <row r="203" spans="2:6" ht="17">
      <c r="B203" s="211" t="s">
        <v>436</v>
      </c>
      <c r="C203" s="212" t="s">
        <v>420</v>
      </c>
      <c r="D203" s="212" t="s">
        <v>217</v>
      </c>
      <c r="E203" s="215" t="s">
        <v>437</v>
      </c>
      <c r="F203" s="107" t="str">
        <f t="shared" si="11"/>
        <v>EA</v>
      </c>
    </row>
    <row r="204" spans="2:6" ht="17">
      <c r="B204" s="211" t="s">
        <v>438</v>
      </c>
      <c r="C204" s="212" t="s">
        <v>439</v>
      </c>
      <c r="D204" s="212" t="s">
        <v>217</v>
      </c>
      <c r="E204" s="215" t="s">
        <v>440</v>
      </c>
      <c r="F204" s="107" t="str">
        <f t="shared" si="11"/>
        <v>CP</v>
      </c>
    </row>
    <row r="205" spans="2:6" ht="17">
      <c r="B205" s="211" t="s">
        <v>441</v>
      </c>
      <c r="C205" s="212" t="s">
        <v>39</v>
      </c>
      <c r="D205" s="212" t="s">
        <v>217</v>
      </c>
      <c r="E205" s="215" t="s">
        <v>442</v>
      </c>
      <c r="F205" s="107" t="str">
        <f t="shared" si="11"/>
        <v>MH</v>
      </c>
    </row>
    <row r="206" spans="2:6" ht="17">
      <c r="B206" s="211" t="s">
        <v>443</v>
      </c>
      <c r="C206" s="212" t="s">
        <v>36</v>
      </c>
      <c r="D206" s="212" t="s">
        <v>36</v>
      </c>
      <c r="E206" s="215">
        <v>0</v>
      </c>
      <c r="F206" s="107" t="str">
        <f t="shared" si="11"/>
        <v>MPM</v>
      </c>
    </row>
    <row r="207" spans="2:6" ht="34">
      <c r="B207" s="211" t="s">
        <v>444</v>
      </c>
      <c r="C207" s="212" t="s">
        <v>425</v>
      </c>
      <c r="D207" s="212" t="s">
        <v>36</v>
      </c>
      <c r="E207" s="215" t="s">
        <v>445</v>
      </c>
      <c r="F207" s="107" t="str">
        <f t="shared" si="11"/>
        <v>MB</v>
      </c>
    </row>
    <row r="208" spans="2:6" ht="17">
      <c r="B208" s="211" t="s">
        <v>446</v>
      </c>
      <c r="C208" s="212" t="s">
        <v>447</v>
      </c>
      <c r="D208" s="212" t="s">
        <v>36</v>
      </c>
      <c r="E208" s="215" t="s">
        <v>448</v>
      </c>
      <c r="F208" s="107" t="str">
        <f t="shared" si="11"/>
        <v>ME</v>
      </c>
    </row>
    <row r="209" spans="2:6" ht="17">
      <c r="B209" s="211" t="s">
        <v>449</v>
      </c>
      <c r="C209" s="212" t="s">
        <v>242</v>
      </c>
      <c r="D209" s="212" t="s">
        <v>217</v>
      </c>
      <c r="E209" s="215" t="s">
        <v>450</v>
      </c>
      <c r="F209" s="107" t="str">
        <f t="shared" si="11"/>
        <v>JN</v>
      </c>
    </row>
    <row r="210" spans="2:6" ht="17">
      <c r="B210" s="211" t="s">
        <v>451</v>
      </c>
      <c r="C210" s="212" t="s">
        <v>410</v>
      </c>
      <c r="D210" s="212" t="s">
        <v>217</v>
      </c>
      <c r="E210" s="215" t="s">
        <v>452</v>
      </c>
      <c r="F210" s="107" t="str">
        <f t="shared" si="11"/>
        <v>GA</v>
      </c>
    </row>
    <row r="211" spans="2:6" ht="34">
      <c r="B211" s="211" t="s">
        <v>453</v>
      </c>
      <c r="C211" s="212" t="s">
        <v>454</v>
      </c>
      <c r="D211" s="212" t="s">
        <v>36</v>
      </c>
      <c r="E211" s="215" t="s">
        <v>1328</v>
      </c>
      <c r="F211" s="107" t="str">
        <f t="shared" si="11"/>
        <v>M&amp;MA</v>
      </c>
    </row>
    <row r="212" spans="2:6" ht="17">
      <c r="B212" s="211" t="s">
        <v>455</v>
      </c>
      <c r="C212" s="212" t="s">
        <v>456</v>
      </c>
      <c r="D212" s="212" t="s">
        <v>36</v>
      </c>
      <c r="E212" s="215" t="s">
        <v>457</v>
      </c>
      <c r="F212" s="107" t="str">
        <f t="shared" si="11"/>
        <v>JL</v>
      </c>
    </row>
    <row r="213" spans="2:6" ht="17">
      <c r="B213" s="211" t="s">
        <v>458</v>
      </c>
      <c r="C213" s="212" t="s">
        <v>420</v>
      </c>
      <c r="D213" s="212" t="s">
        <v>217</v>
      </c>
      <c r="E213" s="215" t="s">
        <v>459</v>
      </c>
      <c r="F213" s="107" t="str">
        <f t="shared" si="11"/>
        <v>EC</v>
      </c>
    </row>
    <row r="214" spans="2:6" ht="17">
      <c r="B214" s="211" t="s">
        <v>460</v>
      </c>
      <c r="C214" s="212" t="s">
        <v>370</v>
      </c>
      <c r="D214" s="212" t="s">
        <v>217</v>
      </c>
      <c r="E214" s="215" t="s">
        <v>461</v>
      </c>
      <c r="F214" s="107" t="str">
        <f t="shared" si="11"/>
        <v>EAT</v>
      </c>
    </row>
    <row r="215" spans="2:6" ht="17">
      <c r="B215" s="211" t="s">
        <v>462</v>
      </c>
      <c r="C215" s="212" t="s">
        <v>463</v>
      </c>
      <c r="D215" s="212" t="s">
        <v>217</v>
      </c>
      <c r="E215" s="215" t="s">
        <v>384</v>
      </c>
      <c r="F215" s="107" t="str">
        <f t="shared" si="11"/>
        <v>MB-T</v>
      </c>
    </row>
    <row r="216" spans="2:6" ht="17">
      <c r="B216" s="211" t="s">
        <v>464</v>
      </c>
      <c r="C216" s="212" t="s">
        <v>465</v>
      </c>
      <c r="D216" s="212" t="s">
        <v>217</v>
      </c>
      <c r="E216" s="215" t="s">
        <v>466</v>
      </c>
      <c r="F216" s="107" t="str">
        <f t="shared" si="11"/>
        <v>FD</v>
      </c>
    </row>
    <row r="217" spans="2:6" ht="17">
      <c r="B217" s="211" t="s">
        <v>1303</v>
      </c>
      <c r="C217" s="212" t="s">
        <v>467</v>
      </c>
      <c r="D217" s="212" t="s">
        <v>217</v>
      </c>
      <c r="E217" s="215" t="s">
        <v>468</v>
      </c>
      <c r="F217" s="107" t="str">
        <f t="shared" si="11"/>
        <v>SO-A</v>
      </c>
    </row>
    <row r="218" spans="2:6" ht="17">
      <c r="B218" s="211" t="s">
        <v>1302</v>
      </c>
      <c r="C218" s="212" t="s">
        <v>1304</v>
      </c>
      <c r="D218" s="212" t="s">
        <v>956</v>
      </c>
      <c r="E218" s="215" t="s">
        <v>468</v>
      </c>
      <c r="F218" s="107" t="str">
        <f t="shared" si="11"/>
        <v>SO-A</v>
      </c>
    </row>
    <row r="219" spans="2:6" ht="17">
      <c r="B219" s="211" t="s">
        <v>469</v>
      </c>
      <c r="C219" s="212" t="s">
        <v>340</v>
      </c>
      <c r="D219" s="212" t="s">
        <v>217</v>
      </c>
      <c r="E219" s="215" t="s">
        <v>468</v>
      </c>
      <c r="F219" s="107" t="str">
        <f t="shared" si="11"/>
        <v>OES-</v>
      </c>
    </row>
    <row r="220" spans="2:6" ht="17">
      <c r="B220" s="211" t="s">
        <v>470</v>
      </c>
      <c r="C220" s="212" t="s">
        <v>960</v>
      </c>
      <c r="D220" s="212" t="s">
        <v>217</v>
      </c>
      <c r="E220" s="215" t="s">
        <v>471</v>
      </c>
      <c r="F220" s="107" t="str">
        <f t="shared" si="11"/>
        <v>JKK</v>
      </c>
    </row>
    <row r="221" spans="2:6" ht="17">
      <c r="B221" s="211" t="s">
        <v>472</v>
      </c>
      <c r="C221" s="212" t="s">
        <v>465</v>
      </c>
      <c r="D221" s="212" t="s">
        <v>217</v>
      </c>
      <c r="E221" s="215" t="s">
        <v>473</v>
      </c>
      <c r="F221" s="107" t="str">
        <f t="shared" si="11"/>
        <v>DYA</v>
      </c>
    </row>
    <row r="222" spans="2:6" ht="17">
      <c r="B222" s="211" t="s">
        <v>474</v>
      </c>
      <c r="C222" s="212" t="s">
        <v>33</v>
      </c>
      <c r="D222" s="212" t="s">
        <v>217</v>
      </c>
      <c r="E222" s="215" t="s">
        <v>475</v>
      </c>
      <c r="F222" s="107" t="str">
        <f t="shared" si="11"/>
        <v>PJA</v>
      </c>
    </row>
    <row r="223" spans="2:6" ht="17">
      <c r="B223" s="211" t="s">
        <v>476</v>
      </c>
      <c r="C223" s="212" t="s">
        <v>477</v>
      </c>
      <c r="D223" s="212" t="s">
        <v>217</v>
      </c>
      <c r="E223" s="215">
        <v>0</v>
      </c>
      <c r="F223" s="107" t="str">
        <f t="shared" si="11"/>
        <v>MWJ</v>
      </c>
    </row>
    <row r="224" spans="2:6" ht="17">
      <c r="B224" s="211" t="s">
        <v>478</v>
      </c>
      <c r="C224" s="212" t="s">
        <v>479</v>
      </c>
      <c r="D224" s="212" t="s">
        <v>959</v>
      </c>
      <c r="E224" s="215">
        <v>0</v>
      </c>
      <c r="F224" s="107" t="str">
        <f t="shared" si="11"/>
        <v>C3OA</v>
      </c>
    </row>
    <row r="225" spans="2:7" ht="17">
      <c r="B225" s="211" t="s">
        <v>480</v>
      </c>
      <c r="C225" s="212" t="s">
        <v>121</v>
      </c>
      <c r="D225" s="212" t="s">
        <v>217</v>
      </c>
      <c r="E225" s="215" t="s">
        <v>481</v>
      </c>
      <c r="F225" s="107" t="str">
        <f t="shared" si="11"/>
        <v>KB</v>
      </c>
    </row>
    <row r="226" spans="2:7" ht="17">
      <c r="B226" s="211" t="s">
        <v>482</v>
      </c>
      <c r="C226" s="212" t="s">
        <v>483</v>
      </c>
      <c r="D226" s="212" t="s">
        <v>36</v>
      </c>
      <c r="E226" s="215" t="s">
        <v>484</v>
      </c>
      <c r="F226" s="107" t="str">
        <f t="shared" si="11"/>
        <v>DA</v>
      </c>
    </row>
    <row r="227" spans="2:7" ht="17">
      <c r="B227" s="211" t="s">
        <v>485</v>
      </c>
      <c r="C227" s="212" t="s">
        <v>70</v>
      </c>
      <c r="D227" s="212" t="s">
        <v>217</v>
      </c>
      <c r="E227" s="215" t="s">
        <v>486</v>
      </c>
      <c r="F227" s="107" t="str">
        <f t="shared" si="11"/>
        <v>MV</v>
      </c>
    </row>
    <row r="228" spans="2:7" ht="17">
      <c r="B228" s="211" t="s">
        <v>487</v>
      </c>
      <c r="C228" s="212" t="s">
        <v>488</v>
      </c>
      <c r="D228" s="212" t="s">
        <v>955</v>
      </c>
      <c r="E228" s="215" t="s">
        <v>489</v>
      </c>
      <c r="F228" s="107" t="str">
        <f t="shared" si="11"/>
        <v>P</v>
      </c>
    </row>
    <row r="229" spans="2:7" ht="17">
      <c r="B229" s="211" t="s">
        <v>490</v>
      </c>
      <c r="C229" s="212" t="s">
        <v>491</v>
      </c>
      <c r="D229" s="212" t="s">
        <v>36</v>
      </c>
      <c r="E229" s="215" t="s">
        <v>492</v>
      </c>
      <c r="F229" s="107" t="str">
        <f t="shared" si="11"/>
        <v>MSA</v>
      </c>
    </row>
    <row r="230" spans="2:7" ht="17">
      <c r="B230" s="211" t="s">
        <v>493</v>
      </c>
      <c r="C230" s="212" t="s">
        <v>494</v>
      </c>
      <c r="D230" s="212" t="s">
        <v>36</v>
      </c>
      <c r="E230" s="215" t="s">
        <v>495</v>
      </c>
      <c r="F230" s="107" t="str">
        <f t="shared" si="11"/>
        <v>MAF</v>
      </c>
    </row>
    <row r="231" spans="2:7" ht="17">
      <c r="B231" s="211" t="s">
        <v>496</v>
      </c>
      <c r="C231" s="212" t="s">
        <v>497</v>
      </c>
      <c r="D231" s="212" t="s">
        <v>217</v>
      </c>
      <c r="E231" s="215" t="s">
        <v>498</v>
      </c>
      <c r="F231" s="107" t="str">
        <f t="shared" si="11"/>
        <v>PCA</v>
      </c>
    </row>
    <row r="232" spans="2:7" ht="17">
      <c r="B232" s="211" t="s">
        <v>499</v>
      </c>
      <c r="C232" s="212" t="s">
        <v>106</v>
      </c>
      <c r="D232" s="212" t="s">
        <v>217</v>
      </c>
      <c r="E232" s="215" t="s">
        <v>500</v>
      </c>
      <c r="F232" s="107" t="str">
        <f t="shared" si="11"/>
        <v>VD</v>
      </c>
    </row>
    <row r="233" spans="2:7" ht="17">
      <c r="B233" s="211" t="s">
        <v>501</v>
      </c>
      <c r="C233" s="212" t="s">
        <v>502</v>
      </c>
      <c r="D233" s="212" t="s">
        <v>36</v>
      </c>
      <c r="E233" s="215" t="s">
        <v>503</v>
      </c>
      <c r="F233" s="107" t="str">
        <f t="shared" si="11"/>
        <v>T</v>
      </c>
    </row>
    <row r="234" spans="2:7" ht="34">
      <c r="B234" s="211" t="s">
        <v>965</v>
      </c>
      <c r="C234" s="212" t="s">
        <v>966</v>
      </c>
      <c r="D234" s="212" t="s">
        <v>217</v>
      </c>
      <c r="E234" s="215" t="s">
        <v>2703</v>
      </c>
      <c r="F234" s="107" t="str">
        <f t="shared" si="11"/>
        <v>DPGL</v>
      </c>
      <c r="G234" s="213" t="s">
        <v>2704</v>
      </c>
    </row>
    <row r="235" spans="2:7" ht="34">
      <c r="B235" s="211" t="s">
        <v>965</v>
      </c>
      <c r="C235" s="212" t="s">
        <v>966</v>
      </c>
      <c r="D235" s="212" t="s">
        <v>217</v>
      </c>
      <c r="E235" s="215" t="s">
        <v>504</v>
      </c>
      <c r="F235" s="107" t="str">
        <f t="shared" si="11"/>
        <v>DPGL</v>
      </c>
      <c r="G235" s="213" t="s">
        <v>1560</v>
      </c>
    </row>
    <row r="236" spans="2:7" ht="34">
      <c r="B236" s="211" t="s">
        <v>965</v>
      </c>
      <c r="C236" s="212" t="s">
        <v>966</v>
      </c>
      <c r="D236" s="212" t="s">
        <v>217</v>
      </c>
      <c r="E236" s="215" t="s">
        <v>1590</v>
      </c>
      <c r="F236" s="107" t="str">
        <f t="shared" si="11"/>
        <v>DPGL</v>
      </c>
      <c r="G236" s="213" t="s">
        <v>1589</v>
      </c>
    </row>
    <row r="237" spans="2:7" ht="17">
      <c r="B237" s="211" t="s">
        <v>505</v>
      </c>
      <c r="C237" s="212" t="s">
        <v>506</v>
      </c>
      <c r="D237" s="212" t="s">
        <v>217</v>
      </c>
      <c r="E237" s="215" t="s">
        <v>507</v>
      </c>
      <c r="F237" s="107" t="str">
        <f t="shared" si="11"/>
        <v>MDA</v>
      </c>
    </row>
    <row r="238" spans="2:7" ht="17">
      <c r="B238" s="211" t="s">
        <v>508</v>
      </c>
      <c r="C238" s="212" t="s">
        <v>112</v>
      </c>
      <c r="D238" s="212" t="s">
        <v>217</v>
      </c>
      <c r="E238" s="215" t="s">
        <v>509</v>
      </c>
      <c r="F238" s="107" t="str">
        <f t="shared" si="11"/>
        <v>SFR</v>
      </c>
    </row>
    <row r="239" spans="2:7" ht="17">
      <c r="B239" s="211" t="s">
        <v>510</v>
      </c>
      <c r="C239" s="212" t="s">
        <v>112</v>
      </c>
      <c r="D239" s="212" t="s">
        <v>217</v>
      </c>
      <c r="E239" s="215" t="s">
        <v>509</v>
      </c>
      <c r="F239" s="107" t="str">
        <f t="shared" si="11"/>
        <v>SFSB</v>
      </c>
    </row>
    <row r="240" spans="2:7" ht="17">
      <c r="B240" s="211" t="s">
        <v>511</v>
      </c>
      <c r="C240" s="212" t="s">
        <v>112</v>
      </c>
      <c r="D240" s="212" t="s">
        <v>217</v>
      </c>
      <c r="E240" s="215" t="s">
        <v>509</v>
      </c>
      <c r="F240" s="107" t="str">
        <f t="shared" si="11"/>
        <v>SFSB</v>
      </c>
    </row>
    <row r="241" spans="2:6" ht="17">
      <c r="B241" s="211" t="s">
        <v>512</v>
      </c>
      <c r="C241" s="212" t="s">
        <v>513</v>
      </c>
      <c r="D241" s="212" t="s">
        <v>957</v>
      </c>
      <c r="E241" s="215" t="s">
        <v>514</v>
      </c>
      <c r="F241" s="107" t="str">
        <f t="shared" si="11"/>
        <v>TIBA</v>
      </c>
    </row>
    <row r="242" spans="2:6" ht="17">
      <c r="B242" s="211" t="s">
        <v>515</v>
      </c>
      <c r="C242" s="212" t="s">
        <v>516</v>
      </c>
      <c r="D242" s="212" t="s">
        <v>217</v>
      </c>
      <c r="E242" s="215" t="s">
        <v>517</v>
      </c>
      <c r="F242" s="107" t="str">
        <f t="shared" si="11"/>
        <v>DGKO</v>
      </c>
    </row>
    <row r="243" spans="2:6" ht="17">
      <c r="B243" s="211" t="s">
        <v>518</v>
      </c>
      <c r="C243" s="212" t="s">
        <v>519</v>
      </c>
      <c r="D243" s="212" t="s">
        <v>955</v>
      </c>
      <c r="E243" s="215">
        <v>0</v>
      </c>
      <c r="F243" s="107" t="str">
        <f t="shared" si="11"/>
        <v>V</v>
      </c>
    </row>
    <row r="244" spans="2:6" ht="17">
      <c r="B244" s="211" t="s">
        <v>1370</v>
      </c>
      <c r="C244" s="212" t="s">
        <v>520</v>
      </c>
      <c r="D244" s="212" t="s">
        <v>217</v>
      </c>
      <c r="E244" s="215" t="s">
        <v>521</v>
      </c>
      <c r="F244" s="107" t="str">
        <f t="shared" si="11"/>
        <v>OC-R</v>
      </c>
    </row>
    <row r="245" spans="2:6" ht="17">
      <c r="B245" s="211" t="s">
        <v>522</v>
      </c>
      <c r="C245" s="212" t="s">
        <v>523</v>
      </c>
      <c r="D245" s="212" t="s">
        <v>217</v>
      </c>
      <c r="E245" s="215" t="s">
        <v>524</v>
      </c>
      <c r="F245" s="107" t="str">
        <f t="shared" si="11"/>
        <v>VA</v>
      </c>
    </row>
    <row r="246" spans="2:6" ht="17">
      <c r="B246" s="211" t="s">
        <v>525</v>
      </c>
      <c r="C246" s="212" t="s">
        <v>467</v>
      </c>
      <c r="D246" s="212" t="s">
        <v>955</v>
      </c>
      <c r="E246" s="215" t="s">
        <v>526</v>
      </c>
      <c r="F246" s="107" t="str">
        <f t="shared" si="11"/>
        <v>MPT</v>
      </c>
    </row>
    <row r="247" spans="2:6" ht="17">
      <c r="B247" s="211" t="s">
        <v>527</v>
      </c>
      <c r="C247" s="212" t="s">
        <v>36</v>
      </c>
      <c r="D247" s="212" t="s">
        <v>36</v>
      </c>
      <c r="E247" s="215">
        <v>0</v>
      </c>
      <c r="F247" s="107" t="str">
        <f t="shared" si="11"/>
        <v>SOF</v>
      </c>
    </row>
    <row r="248" spans="2:6" ht="17">
      <c r="B248" s="211" t="s">
        <v>528</v>
      </c>
      <c r="C248" s="212" t="s">
        <v>529</v>
      </c>
      <c r="D248" s="212" t="s">
        <v>36</v>
      </c>
      <c r="E248" s="215" t="s">
        <v>459</v>
      </c>
      <c r="F248" s="107" t="str">
        <f t="shared" si="11"/>
        <v>AD-W</v>
      </c>
    </row>
    <row r="249" spans="2:6" ht="17">
      <c r="B249" s="211" t="s">
        <v>530</v>
      </c>
      <c r="C249" s="212" t="s">
        <v>338</v>
      </c>
      <c r="D249" s="212" t="s">
        <v>217</v>
      </c>
      <c r="E249" s="215" t="s">
        <v>531</v>
      </c>
      <c r="F249" s="107" t="str">
        <f t="shared" si="11"/>
        <v>VT</v>
      </c>
    </row>
    <row r="250" spans="2:6" ht="17">
      <c r="B250" s="211" t="s">
        <v>532</v>
      </c>
      <c r="C250" s="212" t="s">
        <v>533</v>
      </c>
      <c r="D250" s="212" t="s">
        <v>217</v>
      </c>
      <c r="E250" s="215" t="s">
        <v>534</v>
      </c>
      <c r="F250" s="107" t="str">
        <f t="shared" si="11"/>
        <v>DG</v>
      </c>
    </row>
    <row r="251" spans="2:6" ht="17">
      <c r="B251" s="211" t="s">
        <v>535</v>
      </c>
      <c r="C251" s="212" t="s">
        <v>47</v>
      </c>
      <c r="D251" s="212" t="s">
        <v>217</v>
      </c>
      <c r="E251" s="215" t="s">
        <v>536</v>
      </c>
      <c r="F251" s="107" t="str">
        <f t="shared" si="11"/>
        <v xml:space="preserve"> MND</v>
      </c>
    </row>
    <row r="252" spans="2:6" ht="17">
      <c r="B252" s="211" t="s">
        <v>537</v>
      </c>
      <c r="C252" s="212" t="s">
        <v>538</v>
      </c>
      <c r="D252" s="212" t="s">
        <v>217</v>
      </c>
      <c r="E252" s="215" t="s">
        <v>539</v>
      </c>
      <c r="F252" s="107" t="str">
        <f t="shared" si="11"/>
        <v>MA</v>
      </c>
    </row>
    <row r="253" spans="2:6" ht="17">
      <c r="B253" s="211" t="s">
        <v>540</v>
      </c>
      <c r="C253" s="212" t="s">
        <v>183</v>
      </c>
      <c r="D253" s="212" t="s">
        <v>217</v>
      </c>
      <c r="E253" s="215">
        <v>0</v>
      </c>
      <c r="F253" s="107" t="str">
        <f t="shared" si="11"/>
        <v>MAY</v>
      </c>
    </row>
    <row r="254" spans="2:6" ht="17">
      <c r="B254" s="211" t="s">
        <v>541</v>
      </c>
      <c r="C254" s="212" t="s">
        <v>103</v>
      </c>
      <c r="D254" s="212" t="s">
        <v>217</v>
      </c>
      <c r="E254" s="215" t="s">
        <v>542</v>
      </c>
      <c r="F254" s="107" t="str">
        <f t="shared" si="11"/>
        <v>EA</v>
      </c>
    </row>
    <row r="255" spans="2:6" ht="17">
      <c r="B255" s="211" t="s">
        <v>543</v>
      </c>
      <c r="C255" s="212" t="s">
        <v>544</v>
      </c>
      <c r="D255" s="212" t="s">
        <v>217</v>
      </c>
      <c r="E255" s="215" t="s">
        <v>545</v>
      </c>
      <c r="F255" s="107" t="str">
        <f t="shared" si="11"/>
        <v>KB</v>
      </c>
    </row>
    <row r="256" spans="2:6" ht="17">
      <c r="B256" s="211" t="s">
        <v>546</v>
      </c>
      <c r="C256" s="212" t="s">
        <v>547</v>
      </c>
      <c r="D256" s="212" t="s">
        <v>217</v>
      </c>
      <c r="E256" s="215" t="s">
        <v>548</v>
      </c>
      <c r="F256" s="107" t="str">
        <f t="shared" si="11"/>
        <v>JA</v>
      </c>
    </row>
    <row r="257" spans="2:6" ht="17">
      <c r="B257" s="211" t="s">
        <v>549</v>
      </c>
      <c r="C257" s="212" t="s">
        <v>550</v>
      </c>
      <c r="D257" s="212" t="s">
        <v>217</v>
      </c>
      <c r="E257" s="215" t="s">
        <v>551</v>
      </c>
      <c r="F257" s="107" t="str">
        <f t="shared" si="11"/>
        <v>ND</v>
      </c>
    </row>
    <row r="258" spans="2:6" ht="17">
      <c r="B258" s="211" t="s">
        <v>552</v>
      </c>
      <c r="C258" s="212" t="s">
        <v>33</v>
      </c>
      <c r="D258" s="212" t="s">
        <v>217</v>
      </c>
      <c r="E258" s="215" t="s">
        <v>553</v>
      </c>
      <c r="F258" s="107" t="str">
        <f t="shared" si="11"/>
        <v>NS</v>
      </c>
    </row>
    <row r="259" spans="2:6" ht="17">
      <c r="B259" s="211" t="s">
        <v>554</v>
      </c>
      <c r="C259" s="212" t="s">
        <v>555</v>
      </c>
      <c r="D259" s="212" t="s">
        <v>217</v>
      </c>
      <c r="E259" s="215" t="s">
        <v>556</v>
      </c>
      <c r="F259" s="107" t="str">
        <f t="shared" ref="F259:F322" si="12">UPPER(LEFT(B259,1)) &amp; IFERROR(UPPER(LEFT(MID(B259,FIND(" ",B259)+1,LEN(B259)),1)),"") &amp; IFERROR(UPPER(LEFT(MID(B259,FIND(" ",B259,FIND(" ",B259)+1)+1,LEN(B259)),1)),"") &amp; IFERROR(UPPER(LEFT(MID(B259,FIND(" ",B259,FIND(" ",B259,FIND(" ",B259)+1)+1)+1,LEN(B259)),1)),"")</f>
        <v>JQ</v>
      </c>
    </row>
    <row r="260" spans="2:6" ht="17">
      <c r="B260" s="211" t="s">
        <v>557</v>
      </c>
      <c r="C260" s="212" t="s">
        <v>558</v>
      </c>
      <c r="D260" s="212" t="s">
        <v>217</v>
      </c>
      <c r="E260" s="215" t="s">
        <v>559</v>
      </c>
      <c r="F260" s="107" t="str">
        <f t="shared" si="12"/>
        <v>SBA</v>
      </c>
    </row>
    <row r="261" spans="2:6" ht="17">
      <c r="B261" s="211" t="s">
        <v>560</v>
      </c>
      <c r="C261" s="212" t="s">
        <v>561</v>
      </c>
      <c r="D261" s="212" t="s">
        <v>955</v>
      </c>
      <c r="E261" s="215" t="s">
        <v>562</v>
      </c>
      <c r="F261" s="107" t="str">
        <f t="shared" si="12"/>
        <v>AMC</v>
      </c>
    </row>
    <row r="262" spans="2:6" ht="17">
      <c r="B262" s="211" t="s">
        <v>563</v>
      </c>
      <c r="C262" s="212" t="s">
        <v>27</v>
      </c>
      <c r="D262" s="212" t="s">
        <v>856</v>
      </c>
      <c r="E262" s="215">
        <v>0</v>
      </c>
      <c r="F262" s="107" t="str">
        <f t="shared" si="12"/>
        <v>MBR</v>
      </c>
    </row>
    <row r="263" spans="2:6" ht="17">
      <c r="B263" s="211" t="s">
        <v>564</v>
      </c>
      <c r="C263" s="212" t="s">
        <v>565</v>
      </c>
      <c r="D263" s="212" t="s">
        <v>217</v>
      </c>
      <c r="E263" s="215">
        <v>0</v>
      </c>
      <c r="F263" s="107" t="str">
        <f t="shared" si="12"/>
        <v>T-TF</v>
      </c>
    </row>
    <row r="264" spans="2:6" ht="17">
      <c r="B264" s="211" t="s">
        <v>566</v>
      </c>
      <c r="C264" s="212" t="s">
        <v>567</v>
      </c>
      <c r="D264" s="212" t="s">
        <v>217</v>
      </c>
      <c r="E264" s="215" t="s">
        <v>568</v>
      </c>
      <c r="F264" s="107" t="str">
        <f t="shared" si="12"/>
        <v>FM</v>
      </c>
    </row>
    <row r="265" spans="2:6" ht="17">
      <c r="B265" s="211" t="s">
        <v>569</v>
      </c>
      <c r="C265" s="212" t="s">
        <v>275</v>
      </c>
      <c r="D265" s="212" t="s">
        <v>217</v>
      </c>
      <c r="E265" s="215">
        <v>0</v>
      </c>
      <c r="F265" s="107" t="str">
        <f t="shared" si="12"/>
        <v>SGL</v>
      </c>
    </row>
    <row r="266" spans="2:6" ht="17">
      <c r="B266" s="211" t="s">
        <v>570</v>
      </c>
      <c r="C266" s="212" t="s">
        <v>571</v>
      </c>
      <c r="D266" s="212" t="s">
        <v>961</v>
      </c>
      <c r="E266" s="215" t="s">
        <v>572</v>
      </c>
      <c r="F266" s="107" t="str">
        <f t="shared" si="12"/>
        <v>ILBA</v>
      </c>
    </row>
    <row r="267" spans="2:6" ht="17">
      <c r="B267" s="211" t="s">
        <v>573</v>
      </c>
      <c r="C267" s="212" t="s">
        <v>47</v>
      </c>
      <c r="D267" s="212" t="s">
        <v>47</v>
      </c>
      <c r="E267" s="215" t="s">
        <v>574</v>
      </c>
      <c r="F267" s="107" t="str">
        <f t="shared" si="12"/>
        <v>MN</v>
      </c>
    </row>
    <row r="268" spans="2:6" ht="17">
      <c r="B268" s="211" t="s">
        <v>575</v>
      </c>
      <c r="C268" s="212" t="s">
        <v>73</v>
      </c>
      <c r="D268" s="212" t="s">
        <v>217</v>
      </c>
      <c r="E268" s="215">
        <v>0</v>
      </c>
      <c r="F268" s="107" t="str">
        <f t="shared" si="12"/>
        <v>PT</v>
      </c>
    </row>
    <row r="269" spans="2:6" ht="17">
      <c r="B269" s="211" t="s">
        <v>576</v>
      </c>
      <c r="C269" s="212" t="s">
        <v>577</v>
      </c>
      <c r="D269" s="212" t="s">
        <v>577</v>
      </c>
      <c r="E269" s="215" t="s">
        <v>578</v>
      </c>
      <c r="F269" s="107" t="str">
        <f t="shared" si="12"/>
        <v>FPK</v>
      </c>
    </row>
    <row r="270" spans="2:6" ht="17">
      <c r="B270" s="211" t="s">
        <v>579</v>
      </c>
      <c r="C270" s="212" t="s">
        <v>338</v>
      </c>
      <c r="D270" s="212" t="s">
        <v>217</v>
      </c>
      <c r="E270" s="215" t="s">
        <v>580</v>
      </c>
      <c r="F270" s="107" t="str">
        <f t="shared" si="12"/>
        <v>MB</v>
      </c>
    </row>
    <row r="271" spans="2:6" ht="17">
      <c r="B271" s="211" t="s">
        <v>581</v>
      </c>
      <c r="C271" s="212" t="s">
        <v>582</v>
      </c>
      <c r="D271" s="212" t="s">
        <v>582</v>
      </c>
      <c r="E271" s="215" t="s">
        <v>583</v>
      </c>
      <c r="F271" s="107" t="str">
        <f t="shared" si="12"/>
        <v>ASAL</v>
      </c>
    </row>
    <row r="272" spans="2:6" ht="17">
      <c r="B272" s="211" t="s">
        <v>584</v>
      </c>
      <c r="C272" s="212" t="s">
        <v>43</v>
      </c>
      <c r="D272" s="212" t="s">
        <v>43</v>
      </c>
      <c r="E272" s="215" t="s">
        <v>562</v>
      </c>
      <c r="F272" s="107" t="str">
        <f t="shared" si="12"/>
        <v>T</v>
      </c>
    </row>
    <row r="273" spans="2:7" ht="17">
      <c r="B273" s="211" t="s">
        <v>585</v>
      </c>
      <c r="C273" s="212" t="s">
        <v>103</v>
      </c>
      <c r="D273" s="212" t="s">
        <v>103</v>
      </c>
      <c r="E273" s="215" t="s">
        <v>586</v>
      </c>
      <c r="F273" s="107" t="str">
        <f t="shared" si="12"/>
        <v>BAT</v>
      </c>
    </row>
    <row r="274" spans="2:7" ht="17">
      <c r="B274" s="211" t="s">
        <v>587</v>
      </c>
      <c r="C274" s="212" t="s">
        <v>296</v>
      </c>
      <c r="D274" s="212" t="s">
        <v>296</v>
      </c>
      <c r="E274" s="215" t="s">
        <v>588</v>
      </c>
      <c r="F274" s="107" t="str">
        <f t="shared" si="12"/>
        <v>JA</v>
      </c>
    </row>
    <row r="275" spans="2:7" ht="17">
      <c r="B275" s="211" t="s">
        <v>590</v>
      </c>
      <c r="C275" s="212" t="s">
        <v>121</v>
      </c>
      <c r="D275" s="212" t="s">
        <v>121</v>
      </c>
      <c r="E275" s="215" t="s">
        <v>591</v>
      </c>
      <c r="F275" s="107" t="str">
        <f t="shared" si="12"/>
        <v>MMD</v>
      </c>
    </row>
    <row r="276" spans="2:7" ht="17">
      <c r="B276" s="211" t="s">
        <v>592</v>
      </c>
      <c r="C276" s="212" t="s">
        <v>121</v>
      </c>
      <c r="D276" s="212" t="s">
        <v>121</v>
      </c>
      <c r="E276" s="215" t="s">
        <v>591</v>
      </c>
      <c r="F276" s="107" t="str">
        <f t="shared" si="12"/>
        <v>MMD</v>
      </c>
    </row>
    <row r="277" spans="2:7" ht="17">
      <c r="B277" s="211" t="s">
        <v>593</v>
      </c>
      <c r="C277" s="212" t="s">
        <v>594</v>
      </c>
      <c r="D277" s="212" t="s">
        <v>594</v>
      </c>
      <c r="E277" s="215">
        <v>0</v>
      </c>
      <c r="F277" s="107" t="str">
        <f t="shared" si="12"/>
        <v>CH2</v>
      </c>
    </row>
    <row r="278" spans="2:7" ht="17">
      <c r="B278" s="211" t="s">
        <v>595</v>
      </c>
      <c r="C278" s="212" t="s">
        <v>596</v>
      </c>
      <c r="D278" s="212" t="s">
        <v>596</v>
      </c>
      <c r="E278" s="215" t="s">
        <v>597</v>
      </c>
      <c r="F278" s="107" t="str">
        <f t="shared" si="12"/>
        <v>B</v>
      </c>
    </row>
    <row r="279" spans="2:7" ht="17">
      <c r="B279" s="211" t="s">
        <v>598</v>
      </c>
      <c r="C279" s="212" t="s">
        <v>599</v>
      </c>
      <c r="D279" s="212" t="s">
        <v>599</v>
      </c>
      <c r="E279" s="215" t="s">
        <v>600</v>
      </c>
      <c r="F279" s="107" t="str">
        <f t="shared" si="12"/>
        <v>MSA</v>
      </c>
    </row>
    <row r="280" spans="2:7" ht="17">
      <c r="B280" s="211" t="s">
        <v>601</v>
      </c>
      <c r="C280" s="212" t="s">
        <v>602</v>
      </c>
      <c r="D280" s="212" t="s">
        <v>602</v>
      </c>
      <c r="E280" s="215" t="s">
        <v>603</v>
      </c>
      <c r="F280" s="107" t="str">
        <f t="shared" si="12"/>
        <v>EM</v>
      </c>
    </row>
    <row r="281" spans="2:7" ht="17">
      <c r="B281" s="211" t="s">
        <v>604</v>
      </c>
      <c r="C281" s="212" t="s">
        <v>605</v>
      </c>
      <c r="D281" s="212" t="s">
        <v>605</v>
      </c>
      <c r="E281" s="215" t="s">
        <v>606</v>
      </c>
      <c r="F281" s="107" t="str">
        <f t="shared" si="12"/>
        <v>MA</v>
      </c>
    </row>
    <row r="282" spans="2:7" ht="17">
      <c r="B282" s="211" t="s">
        <v>607</v>
      </c>
      <c r="C282" s="212" t="s">
        <v>608</v>
      </c>
      <c r="D282" s="212" t="s">
        <v>608</v>
      </c>
      <c r="E282" s="215" t="s">
        <v>609</v>
      </c>
      <c r="F282" s="107" t="str">
        <f t="shared" si="12"/>
        <v>N</v>
      </c>
    </row>
    <row r="283" spans="2:7" ht="17">
      <c r="B283" s="211" t="s">
        <v>610</v>
      </c>
      <c r="C283" s="212" t="s">
        <v>608</v>
      </c>
      <c r="D283" s="212" t="s">
        <v>608</v>
      </c>
      <c r="E283" s="215" t="s">
        <v>609</v>
      </c>
      <c r="F283" s="107" t="str">
        <f t="shared" si="12"/>
        <v>N</v>
      </c>
    </row>
    <row r="284" spans="2:7" ht="17">
      <c r="B284" s="211" t="s">
        <v>611</v>
      </c>
      <c r="C284" s="212" t="s">
        <v>338</v>
      </c>
      <c r="D284" s="212" t="s">
        <v>217</v>
      </c>
      <c r="E284" s="215" t="s">
        <v>609</v>
      </c>
      <c r="F284" s="107" t="str">
        <f t="shared" si="12"/>
        <v>GM</v>
      </c>
    </row>
    <row r="285" spans="2:7" ht="17">
      <c r="B285" s="211" t="s">
        <v>612</v>
      </c>
      <c r="C285" s="212" t="s">
        <v>613</v>
      </c>
      <c r="D285" s="212" t="s">
        <v>613</v>
      </c>
      <c r="E285" s="215" t="s">
        <v>614</v>
      </c>
      <c r="F285" s="107" t="str">
        <f t="shared" si="12"/>
        <v>MK</v>
      </c>
    </row>
    <row r="286" spans="2:7" ht="17">
      <c r="B286" s="211" t="s">
        <v>615</v>
      </c>
      <c r="C286" s="212" t="s">
        <v>106</v>
      </c>
      <c r="D286" s="212" t="s">
        <v>106</v>
      </c>
      <c r="E286" s="215" t="s">
        <v>616</v>
      </c>
      <c r="F286" s="107" t="str">
        <f t="shared" si="12"/>
        <v>FP E</v>
      </c>
    </row>
    <row r="287" spans="2:7" ht="17">
      <c r="B287" s="211" t="s">
        <v>617</v>
      </c>
      <c r="C287" s="212" t="s">
        <v>618</v>
      </c>
      <c r="D287" s="212" t="s">
        <v>618</v>
      </c>
      <c r="E287" s="215" t="s">
        <v>619</v>
      </c>
      <c r="F287" s="107" t="str">
        <f t="shared" si="12"/>
        <v>HBC</v>
      </c>
      <c r="G287" s="213" t="s">
        <v>1540</v>
      </c>
    </row>
    <row r="288" spans="2:7" ht="17">
      <c r="B288" s="211" t="s">
        <v>620</v>
      </c>
      <c r="C288" s="212" t="s">
        <v>94</v>
      </c>
      <c r="D288" s="212" t="s">
        <v>94</v>
      </c>
      <c r="E288" s="215">
        <v>0</v>
      </c>
      <c r="F288" s="107" t="str">
        <f t="shared" si="12"/>
        <v>OES</v>
      </c>
    </row>
    <row r="289" spans="2:6" ht="17">
      <c r="B289" s="211" t="s">
        <v>621</v>
      </c>
      <c r="C289" s="212" t="s">
        <v>39</v>
      </c>
      <c r="D289" s="212" t="s">
        <v>39</v>
      </c>
      <c r="E289" s="215" t="s">
        <v>622</v>
      </c>
      <c r="F289" s="107" t="str">
        <f t="shared" si="12"/>
        <v>BE</v>
      </c>
    </row>
    <row r="290" spans="2:6" ht="17">
      <c r="B290" s="211" t="s">
        <v>623</v>
      </c>
      <c r="C290" s="212" t="s">
        <v>624</v>
      </c>
      <c r="D290" s="212" t="s">
        <v>624</v>
      </c>
      <c r="E290" s="215" t="s">
        <v>625</v>
      </c>
      <c r="F290" s="107" t="str">
        <f t="shared" si="12"/>
        <v>HP</v>
      </c>
    </row>
    <row r="291" spans="2:6" ht="17">
      <c r="B291" s="211" t="s">
        <v>626</v>
      </c>
      <c r="C291" s="212" t="s">
        <v>410</v>
      </c>
      <c r="D291" s="212" t="s">
        <v>410</v>
      </c>
      <c r="E291" s="215" t="s">
        <v>627</v>
      </c>
      <c r="F291" s="107" t="str">
        <f t="shared" si="12"/>
        <v>MBY</v>
      </c>
    </row>
    <row r="292" spans="2:6" ht="17">
      <c r="B292" s="211" t="s">
        <v>633</v>
      </c>
      <c r="C292" s="212" t="s">
        <v>343</v>
      </c>
      <c r="D292" s="212" t="s">
        <v>343</v>
      </c>
      <c r="E292" s="215" t="s">
        <v>562</v>
      </c>
      <c r="F292" s="107" t="str">
        <f t="shared" si="12"/>
        <v>TF</v>
      </c>
    </row>
    <row r="293" spans="2:6" ht="17">
      <c r="B293" s="211" t="s">
        <v>634</v>
      </c>
      <c r="C293" s="212" t="s">
        <v>635</v>
      </c>
      <c r="D293" s="212" t="s">
        <v>635</v>
      </c>
      <c r="E293" s="215" t="s">
        <v>636</v>
      </c>
      <c r="F293" s="107" t="str">
        <f t="shared" si="12"/>
        <v>T(1</v>
      </c>
    </row>
    <row r="294" spans="2:6" ht="17">
      <c r="B294" s="211" t="s">
        <v>637</v>
      </c>
      <c r="C294" s="212" t="s">
        <v>635</v>
      </c>
      <c r="D294" s="212" t="s">
        <v>635</v>
      </c>
      <c r="E294" s="215" t="s">
        <v>636</v>
      </c>
      <c r="F294" s="107" t="str">
        <f t="shared" si="12"/>
        <v>T(2</v>
      </c>
    </row>
    <row r="295" spans="2:6" ht="17">
      <c r="B295" s="211" t="s">
        <v>638</v>
      </c>
      <c r="C295" s="212" t="s">
        <v>635</v>
      </c>
      <c r="D295" s="212" t="s">
        <v>635</v>
      </c>
      <c r="E295" s="215" t="s">
        <v>636</v>
      </c>
      <c r="F295" s="107" t="str">
        <f t="shared" si="12"/>
        <v>T(3</v>
      </c>
    </row>
    <row r="296" spans="2:6" ht="17">
      <c r="B296" s="211" t="s">
        <v>639</v>
      </c>
      <c r="C296" s="212" t="s">
        <v>635</v>
      </c>
      <c r="D296" s="212" t="s">
        <v>635</v>
      </c>
      <c r="E296" s="215" t="s">
        <v>636</v>
      </c>
      <c r="F296" s="107" t="str">
        <f t="shared" si="12"/>
        <v>T(4</v>
      </c>
    </row>
    <row r="297" spans="2:6" ht="17">
      <c r="B297" s="211" t="s">
        <v>640</v>
      </c>
      <c r="C297" s="212" t="s">
        <v>635</v>
      </c>
      <c r="D297" s="212" t="s">
        <v>635</v>
      </c>
      <c r="E297" s="215" t="s">
        <v>636</v>
      </c>
      <c r="F297" s="107" t="str">
        <f t="shared" si="12"/>
        <v>T(5</v>
      </c>
    </row>
    <row r="298" spans="2:6" ht="17">
      <c r="B298" s="211" t="s">
        <v>641</v>
      </c>
      <c r="C298" s="212" t="s">
        <v>635</v>
      </c>
      <c r="D298" s="212" t="s">
        <v>635</v>
      </c>
      <c r="E298" s="215" t="s">
        <v>636</v>
      </c>
      <c r="F298" s="107" t="str">
        <f t="shared" si="12"/>
        <v>T(6</v>
      </c>
    </row>
    <row r="299" spans="2:6" ht="17">
      <c r="B299" s="211" t="s">
        <v>642</v>
      </c>
      <c r="C299" s="212" t="s">
        <v>635</v>
      </c>
      <c r="D299" s="212" t="s">
        <v>635</v>
      </c>
      <c r="E299" s="215" t="s">
        <v>636</v>
      </c>
      <c r="F299" s="107" t="str">
        <f t="shared" si="12"/>
        <v>T(7</v>
      </c>
    </row>
    <row r="300" spans="2:6" ht="17">
      <c r="B300" s="211" t="s">
        <v>643</v>
      </c>
      <c r="C300" s="212" t="s">
        <v>635</v>
      </c>
      <c r="D300" s="212" t="s">
        <v>635</v>
      </c>
      <c r="E300" s="215" t="s">
        <v>636</v>
      </c>
      <c r="F300" s="107" t="str">
        <f t="shared" si="12"/>
        <v>T(8</v>
      </c>
    </row>
    <row r="301" spans="2:6" ht="17">
      <c r="B301" s="211" t="s">
        <v>644</v>
      </c>
      <c r="C301" s="212" t="s">
        <v>635</v>
      </c>
      <c r="D301" s="212" t="s">
        <v>635</v>
      </c>
      <c r="E301" s="215" t="s">
        <v>636</v>
      </c>
      <c r="F301" s="107" t="str">
        <f t="shared" si="12"/>
        <v>T(9</v>
      </c>
    </row>
    <row r="302" spans="2:6" ht="17">
      <c r="B302" s="211" t="s">
        <v>645</v>
      </c>
      <c r="C302" s="212" t="s">
        <v>635</v>
      </c>
      <c r="D302" s="212" t="s">
        <v>635</v>
      </c>
      <c r="E302" s="215" t="s">
        <v>636</v>
      </c>
      <c r="F302" s="107" t="str">
        <f t="shared" si="12"/>
        <v>T(1</v>
      </c>
    </row>
    <row r="303" spans="2:6" ht="17">
      <c r="B303" s="211" t="s">
        <v>646</v>
      </c>
      <c r="C303" s="212" t="s">
        <v>635</v>
      </c>
      <c r="D303" s="212" t="s">
        <v>635</v>
      </c>
      <c r="E303" s="215" t="s">
        <v>636</v>
      </c>
      <c r="F303" s="107" t="str">
        <f t="shared" si="12"/>
        <v>T(1</v>
      </c>
    </row>
    <row r="304" spans="2:6" ht="17">
      <c r="B304" s="211" t="s">
        <v>647</v>
      </c>
      <c r="C304" s="212" t="s">
        <v>635</v>
      </c>
      <c r="D304" s="212" t="s">
        <v>635</v>
      </c>
      <c r="E304" s="215" t="s">
        <v>636</v>
      </c>
      <c r="F304" s="107" t="str">
        <f t="shared" si="12"/>
        <v>T(1</v>
      </c>
    </row>
    <row r="305" spans="2:6" ht="17">
      <c r="B305" s="211" t="s">
        <v>648</v>
      </c>
      <c r="C305" s="212" t="s">
        <v>635</v>
      </c>
      <c r="D305" s="212" t="s">
        <v>635</v>
      </c>
      <c r="E305" s="215" t="s">
        <v>636</v>
      </c>
      <c r="F305" s="107" t="str">
        <f t="shared" si="12"/>
        <v>T(1</v>
      </c>
    </row>
    <row r="306" spans="2:6" ht="17">
      <c r="B306" s="211" t="s">
        <v>649</v>
      </c>
      <c r="C306" s="212" t="s">
        <v>635</v>
      </c>
      <c r="D306" s="212" t="s">
        <v>635</v>
      </c>
      <c r="E306" s="215" t="s">
        <v>636</v>
      </c>
      <c r="F306" s="107" t="str">
        <f t="shared" si="12"/>
        <v>T(1A</v>
      </c>
    </row>
    <row r="307" spans="2:6" ht="17">
      <c r="B307" s="211" t="s">
        <v>650</v>
      </c>
      <c r="C307" s="212" t="s">
        <v>635</v>
      </c>
      <c r="D307" s="212" t="s">
        <v>635</v>
      </c>
      <c r="E307" s="215" t="s">
        <v>636</v>
      </c>
      <c r="F307" s="107" t="str">
        <f t="shared" si="12"/>
        <v>T(1</v>
      </c>
    </row>
    <row r="308" spans="2:6" ht="17">
      <c r="B308" s="211" t="s">
        <v>651</v>
      </c>
      <c r="C308" s="212" t="s">
        <v>47</v>
      </c>
      <c r="D308" s="212" t="s">
        <v>47</v>
      </c>
      <c r="E308" s="215" t="s">
        <v>652</v>
      </c>
      <c r="F308" s="107" t="str">
        <f t="shared" si="12"/>
        <v>GOA</v>
      </c>
    </row>
    <row r="309" spans="2:6" ht="17">
      <c r="B309" s="211" t="s">
        <v>653</v>
      </c>
      <c r="C309" s="212" t="s">
        <v>654</v>
      </c>
      <c r="D309" s="212" t="s">
        <v>654</v>
      </c>
      <c r="E309" s="215" t="s">
        <v>655</v>
      </c>
      <c r="F309" s="107" t="str">
        <f t="shared" si="12"/>
        <v>PC-B</v>
      </c>
    </row>
    <row r="310" spans="2:6" ht="17">
      <c r="B310" s="211" t="s">
        <v>656</v>
      </c>
      <c r="C310" s="212" t="s">
        <v>50</v>
      </c>
      <c r="D310" s="212" t="s">
        <v>50</v>
      </c>
      <c r="E310" s="215" t="s">
        <v>652</v>
      </c>
      <c r="F310" s="107" t="str">
        <f t="shared" si="12"/>
        <v>CBB</v>
      </c>
    </row>
    <row r="311" spans="2:6" ht="17">
      <c r="B311" s="211" t="s">
        <v>657</v>
      </c>
      <c r="C311" s="212" t="s">
        <v>658</v>
      </c>
      <c r="D311" s="212" t="s">
        <v>658</v>
      </c>
      <c r="E311" s="215">
        <v>0</v>
      </c>
      <c r="F311" s="107" t="str">
        <f t="shared" si="12"/>
        <v>JEA</v>
      </c>
    </row>
    <row r="312" spans="2:6" ht="17">
      <c r="B312" s="211" t="s">
        <v>659</v>
      </c>
      <c r="C312" s="212" t="s">
        <v>121</v>
      </c>
      <c r="D312" s="212" t="s">
        <v>121</v>
      </c>
      <c r="E312" s="215" t="s">
        <v>660</v>
      </c>
      <c r="F312" s="107" t="str">
        <f t="shared" si="12"/>
        <v>AM</v>
      </c>
    </row>
    <row r="313" spans="2:6" ht="17">
      <c r="B313" s="211" t="s">
        <v>661</v>
      </c>
      <c r="C313" s="212" t="s">
        <v>33</v>
      </c>
      <c r="D313" s="212" t="s">
        <v>33</v>
      </c>
      <c r="E313" s="215" t="s">
        <v>662</v>
      </c>
      <c r="F313" s="107" t="str">
        <f t="shared" si="12"/>
        <v>H</v>
      </c>
    </row>
    <row r="314" spans="2:6" ht="17">
      <c r="B314" s="211" t="s">
        <v>663</v>
      </c>
      <c r="C314" s="212" t="s">
        <v>589</v>
      </c>
      <c r="D314" s="212" t="s">
        <v>589</v>
      </c>
      <c r="E314" s="215" t="s">
        <v>664</v>
      </c>
      <c r="F314" s="107" t="str">
        <f t="shared" si="12"/>
        <v>APS</v>
      </c>
    </row>
    <row r="315" spans="2:6" ht="17">
      <c r="B315" s="211" t="s">
        <v>665</v>
      </c>
      <c r="C315" s="212" t="s">
        <v>47</v>
      </c>
      <c r="D315" s="212" t="s">
        <v>47</v>
      </c>
      <c r="E315" s="215">
        <v>0</v>
      </c>
      <c r="F315" s="107" t="str">
        <f t="shared" si="12"/>
        <v>MO</v>
      </c>
    </row>
    <row r="316" spans="2:6" ht="17">
      <c r="B316" s="211" t="s">
        <v>666</v>
      </c>
      <c r="C316" s="212" t="s">
        <v>667</v>
      </c>
      <c r="D316" s="212" t="s">
        <v>667</v>
      </c>
      <c r="E316" s="215" t="s">
        <v>668</v>
      </c>
      <c r="F316" s="107" t="str">
        <f t="shared" si="12"/>
        <v>JA</v>
      </c>
    </row>
    <row r="317" spans="2:6" ht="17">
      <c r="B317" s="211" t="s">
        <v>669</v>
      </c>
      <c r="C317" s="212" t="s">
        <v>670</v>
      </c>
      <c r="D317" s="212" t="s">
        <v>670</v>
      </c>
      <c r="E317" s="215" t="s">
        <v>671</v>
      </c>
      <c r="F317" s="107" t="str">
        <f t="shared" si="12"/>
        <v>MTB</v>
      </c>
    </row>
    <row r="318" spans="2:6" ht="17">
      <c r="B318" s="211" t="s">
        <v>403</v>
      </c>
      <c r="C318" s="212" t="s">
        <v>672</v>
      </c>
      <c r="D318" s="212" t="s">
        <v>672</v>
      </c>
      <c r="E318" s="215" t="s">
        <v>673</v>
      </c>
      <c r="F318" s="107" t="str">
        <f t="shared" si="12"/>
        <v>M</v>
      </c>
    </row>
    <row r="319" spans="2:6" ht="17">
      <c r="B319" s="211" t="s">
        <v>674</v>
      </c>
      <c r="C319" s="212" t="s">
        <v>672</v>
      </c>
      <c r="D319" s="212" t="s">
        <v>672</v>
      </c>
      <c r="E319" s="215" t="s">
        <v>675</v>
      </c>
      <c r="F319" s="107" t="str">
        <f t="shared" si="12"/>
        <v>JA</v>
      </c>
    </row>
    <row r="320" spans="2:6" ht="17">
      <c r="B320" s="211" t="s">
        <v>676</v>
      </c>
      <c r="C320" s="212" t="s">
        <v>672</v>
      </c>
      <c r="D320" s="212" t="s">
        <v>672</v>
      </c>
      <c r="E320" s="215">
        <v>0</v>
      </c>
      <c r="F320" s="107" t="str">
        <f t="shared" si="12"/>
        <v>EB</v>
      </c>
    </row>
    <row r="321" spans="2:6" ht="17">
      <c r="B321" s="211" t="s">
        <v>677</v>
      </c>
      <c r="C321" s="212" t="s">
        <v>70</v>
      </c>
      <c r="D321" s="212" t="s">
        <v>70</v>
      </c>
      <c r="E321" s="215">
        <v>0</v>
      </c>
      <c r="F321" s="107" t="str">
        <f t="shared" si="12"/>
        <v>KNF</v>
      </c>
    </row>
    <row r="322" spans="2:6" ht="17">
      <c r="B322" s="211" t="s">
        <v>678</v>
      </c>
      <c r="C322" s="212" t="s">
        <v>52</v>
      </c>
      <c r="D322" s="212" t="s">
        <v>52</v>
      </c>
      <c r="E322" s="215">
        <v>0</v>
      </c>
      <c r="F322" s="107" t="str">
        <f t="shared" si="12"/>
        <v>MV</v>
      </c>
    </row>
    <row r="323" spans="2:6" ht="17">
      <c r="B323" s="211" t="s">
        <v>679</v>
      </c>
      <c r="C323" s="212" t="s">
        <v>33</v>
      </c>
      <c r="D323" s="212" t="s">
        <v>33</v>
      </c>
      <c r="E323" s="215">
        <v>0</v>
      </c>
      <c r="F323" s="107" t="str">
        <f t="shared" ref="F323:F386" si="13">UPPER(LEFT(B323,1)) &amp; IFERROR(UPPER(LEFT(MID(B323,FIND(" ",B323)+1,LEN(B323)),1)),"") &amp; IFERROR(UPPER(LEFT(MID(B323,FIND(" ",B323,FIND(" ",B323)+1)+1,LEN(B323)),1)),"") &amp; IFERROR(UPPER(LEFT(MID(B323,FIND(" ",B323,FIND(" ",B323,FIND(" ",B323)+1)+1)+1,LEN(B323)),1)),"")</f>
        <v>MK</v>
      </c>
    </row>
    <row r="324" spans="2:6" ht="17">
      <c r="B324" s="211" t="s">
        <v>680</v>
      </c>
      <c r="C324" s="212" t="s">
        <v>112</v>
      </c>
      <c r="D324" s="212" t="s">
        <v>217</v>
      </c>
      <c r="E324" s="215" t="s">
        <v>681</v>
      </c>
      <c r="F324" s="107" t="str">
        <f t="shared" si="13"/>
        <v>BICL</v>
      </c>
    </row>
    <row r="325" spans="2:6" ht="17">
      <c r="B325" s="211" t="s">
        <v>682</v>
      </c>
      <c r="C325" s="212" t="s">
        <v>171</v>
      </c>
      <c r="D325" s="212" t="s">
        <v>171</v>
      </c>
      <c r="E325" s="215">
        <v>0</v>
      </c>
      <c r="F325" s="107" t="str">
        <f t="shared" si="13"/>
        <v>TP</v>
      </c>
    </row>
    <row r="326" spans="2:6" ht="17">
      <c r="B326" s="211" t="s">
        <v>683</v>
      </c>
      <c r="C326" s="212" t="s">
        <v>684</v>
      </c>
      <c r="D326" s="212" t="s">
        <v>684</v>
      </c>
      <c r="E326" s="215">
        <v>0</v>
      </c>
      <c r="F326" s="107" t="str">
        <f t="shared" si="13"/>
        <v>MP(</v>
      </c>
    </row>
    <row r="327" spans="2:6" ht="17">
      <c r="B327" s="211" t="s">
        <v>686</v>
      </c>
      <c r="C327" s="212" t="s">
        <v>171</v>
      </c>
      <c r="D327" s="212" t="s">
        <v>171</v>
      </c>
      <c r="E327" s="215">
        <v>0</v>
      </c>
      <c r="F327" s="107" t="str">
        <f t="shared" si="13"/>
        <v>MP(</v>
      </c>
    </row>
    <row r="328" spans="2:6" ht="17">
      <c r="B328" s="211" t="s">
        <v>687</v>
      </c>
      <c r="C328" s="212" t="s">
        <v>121</v>
      </c>
      <c r="D328" s="212" t="s">
        <v>121</v>
      </c>
      <c r="E328" s="215" t="s">
        <v>688</v>
      </c>
      <c r="F328" s="107" t="str">
        <f t="shared" si="13"/>
        <v>JT</v>
      </c>
    </row>
    <row r="329" spans="2:6" ht="17">
      <c r="B329" s="211" t="s">
        <v>689</v>
      </c>
      <c r="C329" s="212" t="s">
        <v>338</v>
      </c>
      <c r="D329" s="212" t="s">
        <v>338</v>
      </c>
      <c r="E329" s="215" t="s">
        <v>690</v>
      </c>
      <c r="F329" s="107" t="str">
        <f t="shared" si="13"/>
        <v>GC</v>
      </c>
    </row>
    <row r="330" spans="2:6" ht="17">
      <c r="B330" s="211" t="s">
        <v>691</v>
      </c>
      <c r="C330" s="212" t="s">
        <v>692</v>
      </c>
      <c r="D330" s="212" t="s">
        <v>692</v>
      </c>
      <c r="E330" s="215">
        <v>0</v>
      </c>
      <c r="F330" s="107" t="str">
        <f t="shared" si="13"/>
        <v>JSS</v>
      </c>
    </row>
    <row r="331" spans="2:6" ht="34">
      <c r="B331" s="211" t="s">
        <v>693</v>
      </c>
      <c r="C331" s="212" t="s">
        <v>694</v>
      </c>
      <c r="D331" s="212" t="s">
        <v>694</v>
      </c>
      <c r="E331" s="215" t="s">
        <v>695</v>
      </c>
      <c r="F331" s="107" t="str">
        <f t="shared" si="13"/>
        <v>EZ</v>
      </c>
    </row>
    <row r="332" spans="2:6" ht="17">
      <c r="B332" s="211" t="s">
        <v>696</v>
      </c>
      <c r="C332" s="212" t="s">
        <v>697</v>
      </c>
      <c r="D332" s="212" t="s">
        <v>697</v>
      </c>
      <c r="E332" s="215" t="s">
        <v>698</v>
      </c>
      <c r="F332" s="107" t="str">
        <f t="shared" si="13"/>
        <v>BLBA</v>
      </c>
    </row>
    <row r="333" spans="2:6" ht="17">
      <c r="B333" s="211" t="s">
        <v>699</v>
      </c>
      <c r="C333" s="212" t="s">
        <v>47</v>
      </c>
      <c r="D333" s="212" t="s">
        <v>47</v>
      </c>
      <c r="E333" s="215" t="s">
        <v>700</v>
      </c>
      <c r="F333" s="107" t="str">
        <f t="shared" si="13"/>
        <v>DHBA</v>
      </c>
    </row>
    <row r="334" spans="2:6" ht="17">
      <c r="B334" s="211" t="s">
        <v>701</v>
      </c>
      <c r="C334" s="212" t="s">
        <v>702</v>
      </c>
      <c r="D334" s="212" t="s">
        <v>702</v>
      </c>
      <c r="E334" s="215" t="s">
        <v>703</v>
      </c>
      <c r="F334" s="107" t="str">
        <f t="shared" si="13"/>
        <v>KD</v>
      </c>
    </row>
    <row r="335" spans="2:6" ht="17">
      <c r="B335" s="211" t="s">
        <v>704</v>
      </c>
      <c r="C335" s="212" t="s">
        <v>705</v>
      </c>
      <c r="D335" s="212" t="s">
        <v>705</v>
      </c>
      <c r="E335" s="215" t="s">
        <v>681</v>
      </c>
      <c r="F335" s="107" t="str">
        <f t="shared" si="13"/>
        <v>BIR1</v>
      </c>
    </row>
    <row r="336" spans="2:6" ht="17">
      <c r="B336" s="211" t="s">
        <v>706</v>
      </c>
      <c r="C336" s="212" t="s">
        <v>705</v>
      </c>
      <c r="D336" s="212" t="s">
        <v>705</v>
      </c>
      <c r="E336" s="215" t="s">
        <v>681</v>
      </c>
      <c r="F336" s="107" t="str">
        <f t="shared" si="13"/>
        <v>BIR2</v>
      </c>
    </row>
    <row r="337" spans="2:6" ht="17">
      <c r="B337" s="211" t="s">
        <v>707</v>
      </c>
      <c r="C337" s="212" t="s">
        <v>708</v>
      </c>
      <c r="D337" s="212" t="s">
        <v>708</v>
      </c>
      <c r="E337" s="215" t="s">
        <v>709</v>
      </c>
      <c r="F337" s="107" t="str">
        <f t="shared" si="13"/>
        <v>R</v>
      </c>
    </row>
    <row r="338" spans="2:6" ht="17">
      <c r="B338" s="211" t="s">
        <v>710</v>
      </c>
      <c r="C338" s="212" t="s">
        <v>711</v>
      </c>
      <c r="D338" s="212" t="s">
        <v>711</v>
      </c>
      <c r="E338" s="215" t="s">
        <v>712</v>
      </c>
      <c r="F338" s="107" t="str">
        <f t="shared" si="13"/>
        <v>MSC</v>
      </c>
    </row>
    <row r="339" spans="2:6" ht="17">
      <c r="B339" s="211" t="s">
        <v>713</v>
      </c>
      <c r="C339" s="212" t="s">
        <v>296</v>
      </c>
      <c r="D339" s="212" t="s">
        <v>296</v>
      </c>
      <c r="E339" s="215">
        <v>0</v>
      </c>
      <c r="F339" s="107" t="str">
        <f t="shared" si="13"/>
        <v>D</v>
      </c>
    </row>
    <row r="340" spans="2:6" ht="17">
      <c r="B340" s="211" t="s">
        <v>714</v>
      </c>
      <c r="C340" s="212" t="s">
        <v>390</v>
      </c>
      <c r="D340" s="212" t="s">
        <v>390</v>
      </c>
      <c r="E340" s="215" t="s">
        <v>715</v>
      </c>
      <c r="F340" s="107" t="str">
        <f t="shared" si="13"/>
        <v>SL</v>
      </c>
    </row>
    <row r="341" spans="2:6" ht="17">
      <c r="B341" s="211" t="s">
        <v>716</v>
      </c>
      <c r="C341" s="212" t="s">
        <v>717</v>
      </c>
      <c r="D341" s="212" t="s">
        <v>717</v>
      </c>
      <c r="E341" s="215" t="s">
        <v>718</v>
      </c>
      <c r="F341" s="107" t="str">
        <f t="shared" si="13"/>
        <v>MGD</v>
      </c>
    </row>
    <row r="342" spans="2:6" ht="17">
      <c r="B342" s="211" t="s">
        <v>719</v>
      </c>
      <c r="C342" s="212" t="s">
        <v>47</v>
      </c>
      <c r="D342" s="212" t="s">
        <v>47</v>
      </c>
      <c r="E342" s="215">
        <v>0</v>
      </c>
      <c r="F342" s="107" t="str">
        <f t="shared" si="13"/>
        <v>DB</v>
      </c>
    </row>
    <row r="343" spans="2:6" ht="17">
      <c r="B343" s="211" t="s">
        <v>720</v>
      </c>
      <c r="C343" s="212" t="s">
        <v>33</v>
      </c>
      <c r="D343" s="212" t="s">
        <v>33</v>
      </c>
      <c r="E343" s="215" t="s">
        <v>721</v>
      </c>
      <c r="F343" s="107" t="str">
        <f t="shared" si="13"/>
        <v>PA</v>
      </c>
    </row>
    <row r="344" spans="2:6" ht="17">
      <c r="B344" s="211" t="s">
        <v>722</v>
      </c>
      <c r="C344" s="212" t="s">
        <v>94</v>
      </c>
      <c r="D344" s="212" t="s">
        <v>94</v>
      </c>
      <c r="E344" s="215">
        <v>0</v>
      </c>
      <c r="F344" s="107" t="str">
        <f t="shared" si="13"/>
        <v>TSNW</v>
      </c>
    </row>
    <row r="345" spans="2:6" ht="17">
      <c r="B345" s="211" t="s">
        <v>723</v>
      </c>
      <c r="C345" s="212" t="s">
        <v>333</v>
      </c>
      <c r="D345" s="212" t="s">
        <v>333</v>
      </c>
      <c r="E345" s="215">
        <v>0</v>
      </c>
      <c r="F345" s="107" t="str">
        <f t="shared" si="13"/>
        <v>FADA</v>
      </c>
    </row>
    <row r="346" spans="2:6" ht="17">
      <c r="B346" s="211" t="s">
        <v>724</v>
      </c>
      <c r="C346" s="212" t="s">
        <v>725</v>
      </c>
      <c r="D346" s="212" t="s">
        <v>725</v>
      </c>
      <c r="E346" s="215" t="s">
        <v>726</v>
      </c>
      <c r="F346" s="107" t="str">
        <f t="shared" si="13"/>
        <v>SH</v>
      </c>
    </row>
    <row r="347" spans="2:6" ht="17">
      <c r="B347" s="211" t="s">
        <v>727</v>
      </c>
      <c r="C347" s="212" t="s">
        <v>836</v>
      </c>
      <c r="D347" s="212" t="s">
        <v>836</v>
      </c>
      <c r="E347" s="215">
        <v>0</v>
      </c>
      <c r="F347" s="107" t="str">
        <f t="shared" si="13"/>
        <v>BO</v>
      </c>
    </row>
    <row r="348" spans="2:6" ht="17">
      <c r="B348" s="211" t="s">
        <v>728</v>
      </c>
      <c r="C348" s="212" t="s">
        <v>685</v>
      </c>
      <c r="D348" s="212" t="s">
        <v>685</v>
      </c>
      <c r="E348" s="215" t="s">
        <v>729</v>
      </c>
      <c r="F348" s="107" t="str">
        <f t="shared" si="13"/>
        <v>FE</v>
      </c>
    </row>
    <row r="349" spans="2:6" ht="17">
      <c r="B349" s="211" t="s">
        <v>730</v>
      </c>
      <c r="C349" s="212" t="s">
        <v>731</v>
      </c>
      <c r="D349" s="212" t="s">
        <v>731</v>
      </c>
      <c r="E349" s="215" t="s">
        <v>732</v>
      </c>
      <c r="F349" s="107" t="str">
        <f t="shared" si="13"/>
        <v>E-IC</v>
      </c>
    </row>
    <row r="350" spans="2:6" ht="17">
      <c r="B350" s="211" t="s">
        <v>733</v>
      </c>
      <c r="C350" s="212" t="s">
        <v>171</v>
      </c>
      <c r="D350" s="212" t="s">
        <v>171</v>
      </c>
      <c r="E350" s="215" t="s">
        <v>734</v>
      </c>
      <c r="F350" s="107" t="str">
        <f t="shared" si="13"/>
        <v>MTA</v>
      </c>
    </row>
    <row r="351" spans="2:6" ht="17">
      <c r="B351" s="211" t="s">
        <v>735</v>
      </c>
      <c r="C351" s="212" t="s">
        <v>736</v>
      </c>
      <c r="D351" s="212" t="s">
        <v>736</v>
      </c>
      <c r="E351" s="215" t="s">
        <v>737</v>
      </c>
      <c r="F351" s="107" t="str">
        <f t="shared" si="13"/>
        <v>MIT</v>
      </c>
    </row>
    <row r="352" spans="2:6" ht="17">
      <c r="B352" s="211" t="s">
        <v>738</v>
      </c>
      <c r="C352" s="212" t="s">
        <v>61</v>
      </c>
      <c r="D352" s="212" t="s">
        <v>61</v>
      </c>
      <c r="E352" s="215" t="s">
        <v>62</v>
      </c>
      <c r="F352" s="107" t="str">
        <f t="shared" si="13"/>
        <v>NR</v>
      </c>
    </row>
    <row r="353" spans="2:7" ht="17">
      <c r="B353" s="211" t="s">
        <v>739</v>
      </c>
      <c r="C353" s="212" t="s">
        <v>121</v>
      </c>
      <c r="D353" s="212" t="s">
        <v>121</v>
      </c>
      <c r="E353" s="215" t="s">
        <v>740</v>
      </c>
      <c r="F353" s="107" t="str">
        <f t="shared" si="13"/>
        <v>VKK</v>
      </c>
    </row>
    <row r="354" spans="2:7" ht="17">
      <c r="B354" s="211" t="s">
        <v>741</v>
      </c>
      <c r="C354" s="212" t="s">
        <v>439</v>
      </c>
      <c r="D354" s="212" t="s">
        <v>439</v>
      </c>
      <c r="E354" s="215">
        <v>0</v>
      </c>
      <c r="F354" s="107" t="str">
        <f t="shared" si="13"/>
        <v>VL</v>
      </c>
    </row>
    <row r="355" spans="2:7" ht="17">
      <c r="B355" s="211" t="s">
        <v>742</v>
      </c>
      <c r="C355" s="212" t="s">
        <v>743</v>
      </c>
      <c r="D355" s="212" t="s">
        <v>743</v>
      </c>
      <c r="E355" s="215" t="s">
        <v>744</v>
      </c>
      <c r="F355" s="107" t="str">
        <f t="shared" si="13"/>
        <v>FB</v>
      </c>
    </row>
    <row r="356" spans="2:7" ht="17">
      <c r="B356" s="211" t="s">
        <v>745</v>
      </c>
      <c r="C356" s="212" t="s">
        <v>281</v>
      </c>
      <c r="D356" s="212" t="s">
        <v>281</v>
      </c>
      <c r="E356" s="215">
        <v>0</v>
      </c>
      <c r="F356" s="107" t="str">
        <f t="shared" si="13"/>
        <v>LOU</v>
      </c>
    </row>
    <row r="357" spans="2:7" ht="17">
      <c r="B357" s="211" t="s">
        <v>746</v>
      </c>
      <c r="C357" s="212" t="s">
        <v>747</v>
      </c>
      <c r="D357" s="212" t="s">
        <v>747</v>
      </c>
      <c r="E357" s="215" t="s">
        <v>748</v>
      </c>
      <c r="F357" s="107" t="str">
        <f t="shared" si="13"/>
        <v>JT</v>
      </c>
    </row>
    <row r="358" spans="2:7" ht="17">
      <c r="B358" s="211" t="s">
        <v>749</v>
      </c>
      <c r="C358" s="212" t="s">
        <v>73</v>
      </c>
      <c r="D358" s="212" t="s">
        <v>73</v>
      </c>
      <c r="E358" s="215" t="s">
        <v>261</v>
      </c>
      <c r="F358" s="107" t="str">
        <f t="shared" si="13"/>
        <v>NGLH</v>
      </c>
    </row>
    <row r="359" spans="2:7" ht="17">
      <c r="B359" s="211" t="s">
        <v>750</v>
      </c>
      <c r="C359" s="212" t="s">
        <v>751</v>
      </c>
      <c r="D359" s="212" t="s">
        <v>751</v>
      </c>
      <c r="E359" s="215">
        <v>0</v>
      </c>
      <c r="F359" s="107" t="str">
        <f t="shared" si="13"/>
        <v>JAH</v>
      </c>
    </row>
    <row r="360" spans="2:7" ht="17">
      <c r="B360" s="211" t="s">
        <v>752</v>
      </c>
      <c r="C360" s="212" t="s">
        <v>753</v>
      </c>
      <c r="D360" s="212" t="s">
        <v>753</v>
      </c>
      <c r="E360" s="215" t="s">
        <v>754</v>
      </c>
      <c r="F360" s="107" t="str">
        <f t="shared" si="13"/>
        <v>DC</v>
      </c>
    </row>
    <row r="361" spans="2:7" ht="17">
      <c r="B361" s="211" t="s">
        <v>1286</v>
      </c>
      <c r="C361" s="212" t="s">
        <v>217</v>
      </c>
      <c r="D361" s="212" t="s">
        <v>217</v>
      </c>
      <c r="E361" s="215" t="s">
        <v>310</v>
      </c>
      <c r="F361" s="107" t="str">
        <f t="shared" si="13"/>
        <v>SSE</v>
      </c>
      <c r="G361" s="213" t="s">
        <v>1356</v>
      </c>
    </row>
    <row r="362" spans="2:7" ht="17">
      <c r="B362" s="211" t="s">
        <v>755</v>
      </c>
      <c r="C362" s="212" t="s">
        <v>301</v>
      </c>
      <c r="D362" s="212" t="s">
        <v>301</v>
      </c>
      <c r="E362" s="215">
        <v>0</v>
      </c>
      <c r="F362" s="107" t="str">
        <f t="shared" si="13"/>
        <v>D</v>
      </c>
    </row>
    <row r="363" spans="2:7" ht="17">
      <c r="B363" s="211" t="s">
        <v>756</v>
      </c>
      <c r="C363" s="212" t="s">
        <v>753</v>
      </c>
      <c r="D363" s="212" t="s">
        <v>753</v>
      </c>
      <c r="E363" s="215">
        <v>0</v>
      </c>
      <c r="F363" s="107" t="str">
        <f t="shared" si="13"/>
        <v>AMW</v>
      </c>
    </row>
    <row r="364" spans="2:7" ht="17">
      <c r="B364" s="211" t="s">
        <v>757</v>
      </c>
      <c r="C364" s="212" t="s">
        <v>33</v>
      </c>
      <c r="D364" s="212" t="s">
        <v>33</v>
      </c>
      <c r="E364" s="215">
        <v>0</v>
      </c>
      <c r="F364" s="107" t="str">
        <f t="shared" si="13"/>
        <v>VN</v>
      </c>
    </row>
    <row r="365" spans="2:7" ht="17">
      <c r="B365" s="211" t="s">
        <v>758</v>
      </c>
      <c r="C365" s="212" t="s">
        <v>50</v>
      </c>
      <c r="D365" s="212" t="s">
        <v>50</v>
      </c>
      <c r="E365" s="215">
        <v>0</v>
      </c>
      <c r="F365" s="107" t="str">
        <f t="shared" si="13"/>
        <v>RA</v>
      </c>
    </row>
    <row r="366" spans="2:7" ht="17">
      <c r="B366" s="211" t="s">
        <v>759</v>
      </c>
      <c r="C366" s="212" t="s">
        <v>121</v>
      </c>
      <c r="D366" s="212" t="s">
        <v>121</v>
      </c>
      <c r="E366" s="215">
        <v>0</v>
      </c>
      <c r="F366" s="107" t="str">
        <f t="shared" si="13"/>
        <v>MEM</v>
      </c>
    </row>
    <row r="367" spans="2:7" ht="17">
      <c r="B367" s="211" t="s">
        <v>760</v>
      </c>
      <c r="C367" s="212" t="s">
        <v>582</v>
      </c>
      <c r="D367" s="212" t="s">
        <v>582</v>
      </c>
      <c r="E367" s="215">
        <v>0</v>
      </c>
      <c r="F367" s="107" t="str">
        <f t="shared" si="13"/>
        <v>MAG</v>
      </c>
    </row>
    <row r="368" spans="2:7" ht="17">
      <c r="B368" s="211" t="s">
        <v>761</v>
      </c>
      <c r="C368" s="212" t="s">
        <v>762</v>
      </c>
      <c r="D368" s="212" t="s">
        <v>762</v>
      </c>
      <c r="E368" s="215" t="s">
        <v>1549</v>
      </c>
      <c r="F368" s="107" t="str">
        <f t="shared" si="13"/>
        <v>BS</v>
      </c>
      <c r="G368" s="213" t="s">
        <v>1554</v>
      </c>
    </row>
    <row r="369" spans="2:6" ht="17">
      <c r="B369" s="211" t="s">
        <v>763</v>
      </c>
      <c r="C369" s="212" t="s">
        <v>628</v>
      </c>
      <c r="D369" s="212" t="s">
        <v>628</v>
      </c>
      <c r="E369" s="215" t="s">
        <v>764</v>
      </c>
      <c r="F369" s="107" t="str">
        <f t="shared" si="13"/>
        <v>SA-Q</v>
      </c>
    </row>
    <row r="370" spans="2:6" ht="17">
      <c r="B370" s="211" t="s">
        <v>765</v>
      </c>
      <c r="C370" s="212" t="s">
        <v>410</v>
      </c>
      <c r="D370" s="212" t="s">
        <v>410</v>
      </c>
      <c r="E370" s="215">
        <v>0</v>
      </c>
      <c r="F370" s="107" t="str">
        <f t="shared" si="13"/>
        <v>NO</v>
      </c>
    </row>
    <row r="371" spans="2:6" ht="17">
      <c r="B371" s="211" t="s">
        <v>766</v>
      </c>
      <c r="C371" s="212" t="s">
        <v>767</v>
      </c>
      <c r="D371" s="212" t="s">
        <v>767</v>
      </c>
      <c r="E371" s="215">
        <v>0</v>
      </c>
      <c r="F371" s="107" t="str">
        <f t="shared" si="13"/>
        <v>PI</v>
      </c>
    </row>
    <row r="372" spans="2:6" ht="17">
      <c r="B372" s="211" t="s">
        <v>769</v>
      </c>
      <c r="C372" s="212" t="s">
        <v>427</v>
      </c>
      <c r="D372" s="212" t="s">
        <v>427</v>
      </c>
      <c r="E372" s="215" t="s">
        <v>770</v>
      </c>
      <c r="F372" s="107" t="str">
        <f t="shared" si="13"/>
        <v>PG-P</v>
      </c>
    </row>
    <row r="373" spans="2:6" ht="17">
      <c r="B373" s="211" t="s">
        <v>773</v>
      </c>
      <c r="C373" s="212" t="s">
        <v>774</v>
      </c>
      <c r="D373" s="212" t="s">
        <v>774</v>
      </c>
      <c r="E373" s="215">
        <v>0</v>
      </c>
      <c r="F373" s="107" t="str">
        <f t="shared" si="13"/>
        <v>TO</v>
      </c>
    </row>
    <row r="374" spans="2:6" ht="17">
      <c r="B374" s="211" t="s">
        <v>775</v>
      </c>
      <c r="C374" s="212" t="s">
        <v>776</v>
      </c>
      <c r="D374" s="212" t="s">
        <v>776</v>
      </c>
      <c r="E374" s="215">
        <v>0</v>
      </c>
      <c r="F374" s="107" t="str">
        <f t="shared" si="13"/>
        <v>OL</v>
      </c>
    </row>
    <row r="375" spans="2:6" ht="17">
      <c r="B375" s="211" t="s">
        <v>777</v>
      </c>
      <c r="C375" s="212" t="s">
        <v>778</v>
      </c>
      <c r="D375" s="212" t="s">
        <v>778</v>
      </c>
      <c r="E375" s="215">
        <v>0</v>
      </c>
      <c r="F375" s="107" t="str">
        <f t="shared" si="13"/>
        <v>PPF</v>
      </c>
    </row>
    <row r="376" spans="2:6" ht="17">
      <c r="B376" s="211" t="s">
        <v>779</v>
      </c>
      <c r="C376" s="212" t="s">
        <v>780</v>
      </c>
      <c r="D376" s="212" t="s">
        <v>780</v>
      </c>
      <c r="E376" s="215" t="s">
        <v>781</v>
      </c>
      <c r="F376" s="107" t="str">
        <f t="shared" si="13"/>
        <v>SCL</v>
      </c>
    </row>
    <row r="377" spans="2:6" ht="17">
      <c r="B377" s="211" t="s">
        <v>835</v>
      </c>
      <c r="C377" s="212" t="s">
        <v>124</v>
      </c>
      <c r="D377" s="212" t="s">
        <v>124</v>
      </c>
      <c r="E377" s="215">
        <v>0</v>
      </c>
      <c r="F377" s="107" t="str">
        <f t="shared" si="13"/>
        <v>U</v>
      </c>
    </row>
    <row r="378" spans="2:6" ht="17">
      <c r="B378" s="211" t="s">
        <v>782</v>
      </c>
      <c r="C378" s="212" t="s">
        <v>685</v>
      </c>
      <c r="D378" s="212" t="s">
        <v>685</v>
      </c>
      <c r="E378" s="215">
        <v>0</v>
      </c>
      <c r="F378" s="107" t="str">
        <f t="shared" si="13"/>
        <v>MGA</v>
      </c>
    </row>
    <row r="379" spans="2:6" ht="17">
      <c r="B379" s="211" t="s">
        <v>783</v>
      </c>
      <c r="C379" s="212" t="s">
        <v>692</v>
      </c>
      <c r="D379" s="212" t="s">
        <v>692</v>
      </c>
      <c r="E379" s="215">
        <v>0</v>
      </c>
      <c r="F379" s="107" t="str">
        <f t="shared" si="13"/>
        <v>AAL</v>
      </c>
    </row>
    <row r="380" spans="2:6" ht="17">
      <c r="B380" s="211" t="s">
        <v>834</v>
      </c>
      <c r="C380" s="212" t="s">
        <v>785</v>
      </c>
      <c r="D380" s="212" t="s">
        <v>785</v>
      </c>
      <c r="E380" s="215">
        <v>0</v>
      </c>
      <c r="F380" s="107" t="str">
        <f t="shared" si="13"/>
        <v>RHPA</v>
      </c>
    </row>
    <row r="381" spans="2:6" ht="17">
      <c r="B381" s="211" t="s">
        <v>784</v>
      </c>
      <c r="C381" s="212" t="s">
        <v>785</v>
      </c>
      <c r="D381" s="212" t="s">
        <v>785</v>
      </c>
      <c r="E381" s="215">
        <v>0</v>
      </c>
      <c r="F381" s="107" t="str">
        <f t="shared" si="13"/>
        <v>RPAM</v>
      </c>
    </row>
    <row r="382" spans="2:6" ht="17">
      <c r="B382" s="211" t="s">
        <v>786</v>
      </c>
      <c r="C382" s="212" t="s">
        <v>787</v>
      </c>
      <c r="D382" s="212" t="s">
        <v>787</v>
      </c>
      <c r="E382" s="215" t="s">
        <v>788</v>
      </c>
      <c r="F382" s="107" t="str">
        <f t="shared" si="13"/>
        <v>NAC</v>
      </c>
    </row>
    <row r="383" spans="2:6" ht="17">
      <c r="B383" s="211" t="s">
        <v>833</v>
      </c>
      <c r="C383" s="212" t="s">
        <v>787</v>
      </c>
      <c r="D383" s="212" t="s">
        <v>787</v>
      </c>
      <c r="E383" s="215" t="s">
        <v>788</v>
      </c>
      <c r="F383" s="107" t="str">
        <f t="shared" si="13"/>
        <v>NAC</v>
      </c>
    </row>
    <row r="384" spans="2:6" ht="17">
      <c r="B384" s="211" t="s">
        <v>789</v>
      </c>
      <c r="C384" s="212" t="s">
        <v>832</v>
      </c>
      <c r="D384" s="212" t="s">
        <v>832</v>
      </c>
      <c r="E384" s="215">
        <v>0</v>
      </c>
      <c r="F384" s="107" t="str">
        <f t="shared" si="13"/>
        <v>P</v>
      </c>
    </row>
    <row r="385" spans="2:6" ht="17">
      <c r="B385" s="211" t="s">
        <v>790</v>
      </c>
      <c r="C385" s="212" t="s">
        <v>45</v>
      </c>
      <c r="D385" s="212" t="s">
        <v>45</v>
      </c>
      <c r="E385" s="215" t="s">
        <v>791</v>
      </c>
      <c r="F385" s="107" t="str">
        <f t="shared" si="13"/>
        <v>AA</v>
      </c>
    </row>
    <row r="386" spans="2:6" ht="17">
      <c r="B386" s="211" t="s">
        <v>792</v>
      </c>
      <c r="C386" s="212" t="s">
        <v>793</v>
      </c>
      <c r="D386" s="212" t="s">
        <v>793</v>
      </c>
      <c r="E386" s="215">
        <v>0</v>
      </c>
      <c r="F386" s="107" t="str">
        <f t="shared" si="13"/>
        <v>DLPR</v>
      </c>
    </row>
    <row r="387" spans="2:6" ht="17">
      <c r="B387" s="211" t="s">
        <v>794</v>
      </c>
      <c r="C387" s="212" t="s">
        <v>795</v>
      </c>
      <c r="D387" s="212" t="s">
        <v>795</v>
      </c>
      <c r="E387" s="215">
        <v>0</v>
      </c>
      <c r="F387" s="107" t="str">
        <f t="shared" ref="F387:F450" si="14">UPPER(LEFT(B387,1)) &amp; IFERROR(UPPER(LEFT(MID(B387,FIND(" ",B387)+1,LEN(B387)),1)),"") &amp; IFERROR(UPPER(LEFT(MID(B387,FIND(" ",B387,FIND(" ",B387)+1)+1,LEN(B387)),1)),"") &amp; IFERROR(UPPER(LEFT(MID(B387,FIND(" ",B387,FIND(" ",B387,FIND(" ",B387)+1)+1)+1,LEN(B387)),1)),"")</f>
        <v>ALPR</v>
      </c>
    </row>
    <row r="388" spans="2:6" ht="17">
      <c r="B388" s="211" t="s">
        <v>831</v>
      </c>
      <c r="C388" s="212" t="s">
        <v>36</v>
      </c>
      <c r="D388" s="212" t="s">
        <v>36</v>
      </c>
      <c r="E388" s="215">
        <v>0</v>
      </c>
      <c r="F388" s="107" t="str">
        <f t="shared" si="14"/>
        <v>BSCL</v>
      </c>
    </row>
    <row r="389" spans="2:6" ht="17">
      <c r="B389" s="211" t="s">
        <v>830</v>
      </c>
      <c r="C389" s="212" t="s">
        <v>829</v>
      </c>
      <c r="D389" s="212" t="s">
        <v>829</v>
      </c>
      <c r="E389" s="215">
        <v>0</v>
      </c>
      <c r="F389" s="107" t="str">
        <f t="shared" si="14"/>
        <v>AS</v>
      </c>
    </row>
    <row r="390" spans="2:6" ht="17">
      <c r="B390" s="211" t="s">
        <v>828</v>
      </c>
      <c r="C390" s="212" t="s">
        <v>827</v>
      </c>
      <c r="D390" s="212" t="s">
        <v>827</v>
      </c>
      <c r="E390" s="215">
        <v>0</v>
      </c>
      <c r="F390" s="107" t="str">
        <f t="shared" si="14"/>
        <v>SF</v>
      </c>
    </row>
    <row r="391" spans="2:6" ht="17">
      <c r="B391" s="211" t="s">
        <v>826</v>
      </c>
      <c r="C391" s="212" t="s">
        <v>772</v>
      </c>
      <c r="D391" s="212" t="s">
        <v>772</v>
      </c>
      <c r="E391" s="215" t="s">
        <v>764</v>
      </c>
      <c r="F391" s="107" t="str">
        <f t="shared" si="14"/>
        <v>SA-R</v>
      </c>
    </row>
    <row r="392" spans="2:6" ht="17">
      <c r="B392" s="211" t="s">
        <v>825</v>
      </c>
      <c r="C392" s="212" t="s">
        <v>824</v>
      </c>
      <c r="D392" s="212" t="s">
        <v>824</v>
      </c>
      <c r="E392" s="215">
        <v>0</v>
      </c>
      <c r="F392" s="107" t="str">
        <f t="shared" si="14"/>
        <v>ME</v>
      </c>
    </row>
    <row r="393" spans="2:6" ht="17">
      <c r="B393" s="211" t="s">
        <v>823</v>
      </c>
      <c r="C393" s="212" t="s">
        <v>36</v>
      </c>
      <c r="D393" s="212" t="s">
        <v>36</v>
      </c>
      <c r="E393" s="215" t="s">
        <v>257</v>
      </c>
      <c r="F393" s="107" t="str">
        <f t="shared" si="14"/>
        <v>NG4C</v>
      </c>
    </row>
    <row r="394" spans="2:6" ht="17">
      <c r="B394" s="211" t="s">
        <v>822</v>
      </c>
      <c r="C394" s="212" t="s">
        <v>36</v>
      </c>
      <c r="D394" s="212" t="s">
        <v>36</v>
      </c>
      <c r="E394" s="215" t="s">
        <v>257</v>
      </c>
      <c r="F394" s="107" t="str">
        <f t="shared" si="14"/>
        <v>NG4B</v>
      </c>
    </row>
    <row r="395" spans="2:6" ht="17">
      <c r="B395" s="211" t="s">
        <v>821</v>
      </c>
      <c r="C395" s="212" t="s">
        <v>36</v>
      </c>
      <c r="D395" s="212" t="s">
        <v>36</v>
      </c>
      <c r="E395" s="215" t="s">
        <v>257</v>
      </c>
      <c r="F395" s="107" t="str">
        <f t="shared" si="14"/>
        <v>NG4D</v>
      </c>
    </row>
    <row r="396" spans="2:6" ht="17">
      <c r="B396" s="211" t="s">
        <v>820</v>
      </c>
      <c r="C396" s="212" t="s">
        <v>36</v>
      </c>
      <c r="D396" s="212" t="s">
        <v>36</v>
      </c>
      <c r="E396" s="215" t="s">
        <v>257</v>
      </c>
      <c r="F396" s="107" t="str">
        <f t="shared" si="14"/>
        <v>NG4I</v>
      </c>
    </row>
    <row r="397" spans="2:6" ht="17">
      <c r="B397" s="211" t="s">
        <v>819</v>
      </c>
      <c r="C397" s="212" t="s">
        <v>121</v>
      </c>
      <c r="D397" s="212" t="s">
        <v>121</v>
      </c>
      <c r="E397" s="215">
        <v>0</v>
      </c>
      <c r="F397" s="107" t="str">
        <f t="shared" si="14"/>
        <v>B-UI</v>
      </c>
    </row>
    <row r="398" spans="2:6" ht="17">
      <c r="B398" s="211" t="s">
        <v>818</v>
      </c>
      <c r="C398" s="212" t="s">
        <v>81</v>
      </c>
      <c r="D398" s="212" t="s">
        <v>81</v>
      </c>
      <c r="E398" s="215">
        <v>0</v>
      </c>
      <c r="F398" s="107" t="str">
        <f t="shared" si="14"/>
        <v>N</v>
      </c>
    </row>
    <row r="399" spans="2:6" ht="17">
      <c r="B399" s="211" t="s">
        <v>817</v>
      </c>
      <c r="C399" s="212" t="s">
        <v>439</v>
      </c>
      <c r="D399" s="212" t="s">
        <v>439</v>
      </c>
      <c r="E399" s="215">
        <v>0</v>
      </c>
      <c r="F399" s="107" t="str">
        <f t="shared" si="14"/>
        <v>I</v>
      </c>
    </row>
    <row r="400" spans="2:6" ht="17">
      <c r="B400" s="211" t="s">
        <v>816</v>
      </c>
      <c r="C400" s="212" t="s">
        <v>325</v>
      </c>
      <c r="D400" s="212" t="s">
        <v>325</v>
      </c>
      <c r="E400" s="215" t="s">
        <v>815</v>
      </c>
      <c r="F400" s="107" t="str">
        <f t="shared" si="14"/>
        <v>EA</v>
      </c>
    </row>
    <row r="401" spans="2:7" ht="17">
      <c r="B401" s="211" t="s">
        <v>814</v>
      </c>
      <c r="C401" s="212" t="s">
        <v>306</v>
      </c>
      <c r="D401" s="212" t="s">
        <v>306</v>
      </c>
      <c r="E401" s="215">
        <v>0</v>
      </c>
      <c r="F401" s="107" t="str">
        <f t="shared" si="14"/>
        <v>MBH</v>
      </c>
    </row>
    <row r="402" spans="2:7" ht="17">
      <c r="B402" s="211" t="s">
        <v>813</v>
      </c>
      <c r="C402" s="212" t="s">
        <v>338</v>
      </c>
      <c r="D402" s="212" t="s">
        <v>338</v>
      </c>
      <c r="E402" s="215" t="s">
        <v>1691</v>
      </c>
      <c r="F402" s="107" t="str">
        <f t="shared" si="14"/>
        <v>SF</v>
      </c>
      <c r="G402" s="213" t="s">
        <v>1690</v>
      </c>
    </row>
    <row r="403" spans="2:7" ht="17">
      <c r="B403" s="211" t="s">
        <v>812</v>
      </c>
      <c r="C403" s="212" t="s">
        <v>810</v>
      </c>
      <c r="D403" s="212" t="s">
        <v>810</v>
      </c>
      <c r="E403" s="215">
        <v>0</v>
      </c>
      <c r="F403" s="107" t="str">
        <f t="shared" si="14"/>
        <v>CH2</v>
      </c>
    </row>
    <row r="404" spans="2:7" ht="17">
      <c r="B404" s="211" t="s">
        <v>811</v>
      </c>
      <c r="C404" s="212" t="s">
        <v>810</v>
      </c>
      <c r="D404" s="212" t="s">
        <v>810</v>
      </c>
      <c r="E404" s="215">
        <v>0</v>
      </c>
      <c r="F404" s="107" t="str">
        <f t="shared" si="14"/>
        <v>CH2</v>
      </c>
    </row>
    <row r="405" spans="2:7" ht="17">
      <c r="B405" s="211" t="s">
        <v>809</v>
      </c>
      <c r="C405" s="212" t="s">
        <v>340</v>
      </c>
      <c r="D405" s="212" t="s">
        <v>340</v>
      </c>
      <c r="E405" s="215">
        <v>0</v>
      </c>
      <c r="F405" s="107" t="str">
        <f t="shared" si="14"/>
        <v>APWF</v>
      </c>
    </row>
    <row r="406" spans="2:7" ht="17">
      <c r="B406" s="211" t="s">
        <v>808</v>
      </c>
      <c r="C406" s="212" t="s">
        <v>30</v>
      </c>
      <c r="D406" s="212" t="s">
        <v>30</v>
      </c>
      <c r="E406" s="215">
        <v>0</v>
      </c>
      <c r="F406" s="107" t="str">
        <f t="shared" si="14"/>
        <v>KA</v>
      </c>
    </row>
    <row r="407" spans="2:7" ht="17">
      <c r="B407" s="211" t="s">
        <v>807</v>
      </c>
      <c r="C407" s="212" t="s">
        <v>806</v>
      </c>
      <c r="D407" s="212" t="s">
        <v>806</v>
      </c>
      <c r="E407" s="215">
        <v>0</v>
      </c>
      <c r="F407" s="107" t="str">
        <f t="shared" si="14"/>
        <v>KBA</v>
      </c>
    </row>
    <row r="408" spans="2:7" ht="17">
      <c r="B408" s="211" t="s">
        <v>805</v>
      </c>
      <c r="C408" s="212" t="s">
        <v>804</v>
      </c>
      <c r="D408" s="212" t="s">
        <v>804</v>
      </c>
      <c r="E408" s="215">
        <v>0</v>
      </c>
      <c r="F408" s="107" t="str">
        <f t="shared" si="14"/>
        <v>RSP</v>
      </c>
    </row>
    <row r="409" spans="2:7" ht="17">
      <c r="B409" s="211" t="s">
        <v>803</v>
      </c>
      <c r="C409" s="212" t="s">
        <v>477</v>
      </c>
      <c r="D409" s="212" t="s">
        <v>477</v>
      </c>
      <c r="E409" s="215">
        <v>0</v>
      </c>
      <c r="F409" s="107" t="str">
        <f t="shared" si="14"/>
        <v>SKK</v>
      </c>
    </row>
    <row r="410" spans="2:7" ht="17">
      <c r="B410" s="211" t="s">
        <v>802</v>
      </c>
      <c r="C410" s="212" t="s">
        <v>802</v>
      </c>
      <c r="D410" s="212" t="s">
        <v>802</v>
      </c>
      <c r="E410" s="215">
        <v>0</v>
      </c>
      <c r="F410" s="107" t="str">
        <f t="shared" si="14"/>
        <v>AP</v>
      </c>
    </row>
    <row r="411" spans="2:7" ht="34">
      <c r="B411" s="211" t="s">
        <v>858</v>
      </c>
      <c r="C411" s="212" t="s">
        <v>859</v>
      </c>
      <c r="D411" s="212" t="s">
        <v>859</v>
      </c>
      <c r="E411" s="212" t="s">
        <v>860</v>
      </c>
      <c r="F411" s="107" t="str">
        <f t="shared" si="14"/>
        <v>LH</v>
      </c>
    </row>
    <row r="412" spans="2:7" ht="17">
      <c r="B412" s="211" t="s">
        <v>1699</v>
      </c>
      <c r="C412" s="212" t="s">
        <v>410</v>
      </c>
      <c r="D412" s="212" t="s">
        <v>217</v>
      </c>
      <c r="E412" s="215" t="s">
        <v>950</v>
      </c>
      <c r="F412" s="107" t="str">
        <f t="shared" si="14"/>
        <v>IA</v>
      </c>
      <c r="G412" s="213" t="s">
        <v>1700</v>
      </c>
    </row>
    <row r="413" spans="2:7" ht="17">
      <c r="B413" s="211" t="s">
        <v>962</v>
      </c>
      <c r="C413" s="212" t="s">
        <v>628</v>
      </c>
      <c r="D413" s="212" t="s">
        <v>217</v>
      </c>
      <c r="E413" s="215" t="s">
        <v>963</v>
      </c>
      <c r="F413" s="107" t="str">
        <f t="shared" si="14"/>
        <v>DNKH</v>
      </c>
      <c r="G413" s="216" t="s">
        <v>964</v>
      </c>
    </row>
    <row r="414" spans="2:7" ht="17">
      <c r="B414" s="211" t="s">
        <v>967</v>
      </c>
      <c r="C414" s="212" t="s">
        <v>217</v>
      </c>
      <c r="D414" s="212" t="s">
        <v>217</v>
      </c>
      <c r="E414" s="215" t="s">
        <v>968</v>
      </c>
      <c r="F414" s="107" t="str">
        <f t="shared" si="14"/>
        <v>MA</v>
      </c>
    </row>
    <row r="415" spans="2:7" ht="17">
      <c r="B415" s="211" t="s">
        <v>971</v>
      </c>
      <c r="C415" s="212" t="s">
        <v>972</v>
      </c>
      <c r="D415" s="212" t="s">
        <v>217</v>
      </c>
      <c r="E415" s="215" t="s">
        <v>973</v>
      </c>
      <c r="F415" s="107" t="str">
        <f t="shared" si="14"/>
        <v>CO</v>
      </c>
    </row>
    <row r="416" spans="2:7" ht="17">
      <c r="B416" s="211" t="s">
        <v>978</v>
      </c>
      <c r="C416" s="212" t="s">
        <v>979</v>
      </c>
      <c r="D416" s="212" t="s">
        <v>217</v>
      </c>
      <c r="E416" s="215" t="s">
        <v>980</v>
      </c>
      <c r="F416" s="107" t="str">
        <f t="shared" si="14"/>
        <v>SA</v>
      </c>
      <c r="G416" s="213" t="str">
        <f ca="1">MID(CELL("filename",B2),FIND("]",CELL("filename",B2))+1,256)</f>
        <v>Client List</v>
      </c>
    </row>
    <row r="417" spans="2:6" ht="17">
      <c r="B417" s="211" t="s">
        <v>981</v>
      </c>
      <c r="C417" s="212" t="s">
        <v>982</v>
      </c>
      <c r="D417" s="212" t="s">
        <v>958</v>
      </c>
      <c r="E417" s="215" t="s">
        <v>983</v>
      </c>
      <c r="F417" s="107" t="str">
        <f t="shared" si="14"/>
        <v>JRB</v>
      </c>
    </row>
    <row r="418" spans="2:6" ht="17">
      <c r="B418" s="211" t="s">
        <v>993</v>
      </c>
      <c r="C418" s="212" t="s">
        <v>994</v>
      </c>
      <c r="D418" s="212" t="s">
        <v>958</v>
      </c>
      <c r="E418" s="215" t="s">
        <v>983</v>
      </c>
      <c r="F418" s="107" t="str">
        <f t="shared" si="14"/>
        <v>JRB-</v>
      </c>
    </row>
    <row r="419" spans="2:6" ht="17">
      <c r="B419" s="211" t="s">
        <v>995</v>
      </c>
      <c r="C419" s="212" t="s">
        <v>996</v>
      </c>
      <c r="D419" s="212" t="s">
        <v>956</v>
      </c>
      <c r="E419" s="215" t="s">
        <v>997</v>
      </c>
      <c r="F419" s="107" t="str">
        <f t="shared" si="14"/>
        <v>PO</v>
      </c>
    </row>
    <row r="420" spans="2:6" ht="17">
      <c r="B420" s="211" t="s">
        <v>1003</v>
      </c>
      <c r="C420" s="212" t="s">
        <v>1004</v>
      </c>
      <c r="D420" s="212" t="s">
        <v>217</v>
      </c>
      <c r="F420" s="107" t="str">
        <f t="shared" si="14"/>
        <v>BGB</v>
      </c>
    </row>
    <row r="421" spans="2:6" ht="17">
      <c r="B421" s="211" t="s">
        <v>1005</v>
      </c>
      <c r="C421" s="212" t="s">
        <v>220</v>
      </c>
      <c r="D421" s="212" t="s">
        <v>217</v>
      </c>
      <c r="E421" s="215" t="s">
        <v>1006</v>
      </c>
      <c r="F421" s="107" t="str">
        <f t="shared" si="14"/>
        <v>RO</v>
      </c>
    </row>
    <row r="422" spans="2:6" ht="17">
      <c r="B422" s="211" t="s">
        <v>1069</v>
      </c>
      <c r="C422" s="212" t="s">
        <v>281</v>
      </c>
      <c r="D422" s="212" t="s">
        <v>217</v>
      </c>
      <c r="E422" s="215" t="s">
        <v>1070</v>
      </c>
      <c r="F422" s="107" t="str">
        <f t="shared" si="14"/>
        <v>ROC</v>
      </c>
    </row>
    <row r="423" spans="2:6" ht="17">
      <c r="B423" s="211" t="s">
        <v>1072</v>
      </c>
      <c r="C423" s="212" t="s">
        <v>217</v>
      </c>
      <c r="D423" s="212" t="s">
        <v>217</v>
      </c>
      <c r="F423" s="107" t="str">
        <f t="shared" si="14"/>
        <v>U-S1</v>
      </c>
    </row>
    <row r="424" spans="2:6" ht="17">
      <c r="B424" s="211" t="s">
        <v>1073</v>
      </c>
      <c r="C424" s="212" t="s">
        <v>217</v>
      </c>
      <c r="D424" s="212" t="s">
        <v>217</v>
      </c>
      <c r="F424" s="107" t="str">
        <f t="shared" si="14"/>
        <v>U-S2</v>
      </c>
    </row>
    <row r="425" spans="2:6" ht="34">
      <c r="B425" s="211" t="s">
        <v>1074</v>
      </c>
      <c r="C425" s="212" t="s">
        <v>1075</v>
      </c>
      <c r="D425" s="212" t="s">
        <v>217</v>
      </c>
      <c r="E425" s="215" t="s">
        <v>1076</v>
      </c>
      <c r="F425" s="107" t="str">
        <f t="shared" si="14"/>
        <v>AP</v>
      </c>
    </row>
    <row r="426" spans="2:6" ht="17">
      <c r="B426" s="211" t="s">
        <v>1078</v>
      </c>
      <c r="C426" s="212" t="s">
        <v>217</v>
      </c>
      <c r="D426" s="212" t="s">
        <v>217</v>
      </c>
      <c r="E426" s="215" t="s">
        <v>1077</v>
      </c>
      <c r="F426" s="107" t="str">
        <f t="shared" si="14"/>
        <v>EA</v>
      </c>
    </row>
    <row r="427" spans="2:6" ht="17">
      <c r="B427" s="211" t="s">
        <v>1341</v>
      </c>
      <c r="C427" s="212" t="s">
        <v>217</v>
      </c>
      <c r="D427" s="212" t="s">
        <v>217</v>
      </c>
      <c r="E427" s="215" t="s">
        <v>1079</v>
      </c>
      <c r="F427" s="107" t="str">
        <f t="shared" si="14"/>
        <v>J-A</v>
      </c>
    </row>
    <row r="428" spans="2:6" ht="17">
      <c r="B428" s="211" t="s">
        <v>1095</v>
      </c>
      <c r="C428" s="212" t="s">
        <v>217</v>
      </c>
      <c r="D428" s="212" t="s">
        <v>217</v>
      </c>
      <c r="E428" s="215" t="s">
        <v>1096</v>
      </c>
      <c r="F428" s="107" t="str">
        <f t="shared" si="14"/>
        <v>RI</v>
      </c>
    </row>
    <row r="429" spans="2:6" ht="17">
      <c r="B429" s="211" t="s">
        <v>1097</v>
      </c>
      <c r="C429" s="212" t="s">
        <v>353</v>
      </c>
      <c r="D429" s="212" t="s">
        <v>217</v>
      </c>
      <c r="E429" s="215" t="s">
        <v>1098</v>
      </c>
      <c r="F429" s="107" t="str">
        <f t="shared" si="14"/>
        <v>AB</v>
      </c>
    </row>
    <row r="430" spans="2:6" ht="17">
      <c r="B430" s="211" t="s">
        <v>1099</v>
      </c>
      <c r="C430" s="212" t="s">
        <v>217</v>
      </c>
      <c r="D430" s="212" t="s">
        <v>217</v>
      </c>
      <c r="E430" s="215" t="s">
        <v>1100</v>
      </c>
      <c r="F430" s="107" t="str">
        <f t="shared" si="14"/>
        <v>DWA</v>
      </c>
    </row>
    <row r="431" spans="2:6" ht="17">
      <c r="B431" s="211" t="s">
        <v>1101</v>
      </c>
      <c r="C431" s="212" t="s">
        <v>45</v>
      </c>
      <c r="D431" s="212" t="s">
        <v>36</v>
      </c>
      <c r="E431" s="215" t="s">
        <v>1102</v>
      </c>
      <c r="F431" s="107" t="str">
        <f t="shared" si="14"/>
        <v>T</v>
      </c>
    </row>
    <row r="432" spans="2:6" ht="17">
      <c r="B432" s="211" t="s">
        <v>1103</v>
      </c>
      <c r="C432" s="212" t="s">
        <v>1104</v>
      </c>
      <c r="D432" s="212" t="s">
        <v>1087</v>
      </c>
      <c r="F432" s="107" t="str">
        <f t="shared" si="14"/>
        <v>RS</v>
      </c>
    </row>
    <row r="433" spans="2:7" ht="17">
      <c r="B433" s="211" t="s">
        <v>1131</v>
      </c>
      <c r="C433" s="212" t="s">
        <v>43</v>
      </c>
      <c r="D433" s="212" t="s">
        <v>957</v>
      </c>
      <c r="E433" s="215" t="s">
        <v>1132</v>
      </c>
      <c r="F433" s="107" t="str">
        <f t="shared" si="14"/>
        <v>P</v>
      </c>
    </row>
    <row r="434" spans="2:7" ht="17">
      <c r="B434" s="211" t="s">
        <v>1133</v>
      </c>
      <c r="C434" s="212" t="s">
        <v>217</v>
      </c>
      <c r="D434" s="212" t="s">
        <v>217</v>
      </c>
      <c r="E434" s="215" t="s">
        <v>1134</v>
      </c>
      <c r="F434" s="107" t="str">
        <f t="shared" si="14"/>
        <v>P</v>
      </c>
    </row>
    <row r="435" spans="2:7" ht="17">
      <c r="B435" s="211" t="s">
        <v>1150</v>
      </c>
      <c r="C435" s="212" t="s">
        <v>1151</v>
      </c>
      <c r="D435" s="212" t="s">
        <v>955</v>
      </c>
      <c r="E435" s="212" t="s">
        <v>1152</v>
      </c>
      <c r="F435" s="107" t="str">
        <f t="shared" si="14"/>
        <v>JA-D</v>
      </c>
    </row>
    <row r="436" spans="2:7" ht="17">
      <c r="B436" s="211" t="s">
        <v>1696</v>
      </c>
      <c r="C436" s="212" t="s">
        <v>363</v>
      </c>
      <c r="D436" s="212" t="s">
        <v>217</v>
      </c>
      <c r="E436" s="215" t="s">
        <v>1152</v>
      </c>
      <c r="F436" s="107" t="str">
        <f t="shared" si="14"/>
        <v>JA</v>
      </c>
    </row>
    <row r="437" spans="2:7" ht="17">
      <c r="B437" s="211" t="s">
        <v>1173</v>
      </c>
      <c r="C437" s="212" t="s">
        <v>427</v>
      </c>
      <c r="D437" s="212" t="s">
        <v>217</v>
      </c>
      <c r="E437" s="212" t="s">
        <v>1152</v>
      </c>
      <c r="F437" s="107" t="str">
        <f t="shared" si="14"/>
        <v>JA-A</v>
      </c>
    </row>
    <row r="438" spans="2:7" ht="17">
      <c r="B438" s="211" t="s">
        <v>1156</v>
      </c>
      <c r="C438" s="212" t="s">
        <v>397</v>
      </c>
      <c r="D438" s="212" t="s">
        <v>217</v>
      </c>
      <c r="E438" s="215" t="s">
        <v>1157</v>
      </c>
      <c r="F438" s="107" t="str">
        <f t="shared" si="14"/>
        <v>FGL</v>
      </c>
    </row>
    <row r="439" spans="2:7" ht="17">
      <c r="B439" s="211" t="s">
        <v>1161</v>
      </c>
      <c r="C439" s="212" t="s">
        <v>397</v>
      </c>
      <c r="D439" s="212" t="s">
        <v>217</v>
      </c>
      <c r="F439" s="107" t="str">
        <f t="shared" si="14"/>
        <v>SGIS</v>
      </c>
    </row>
    <row r="440" spans="2:7" ht="17">
      <c r="B440" s="211" t="s">
        <v>1162</v>
      </c>
      <c r="C440" s="212" t="s">
        <v>397</v>
      </c>
      <c r="D440" s="212" t="s">
        <v>217</v>
      </c>
      <c r="F440" s="107" t="str">
        <f t="shared" si="14"/>
        <v>SGIS</v>
      </c>
    </row>
    <row r="441" spans="2:7" ht="17">
      <c r="B441" s="211" t="s">
        <v>1164</v>
      </c>
      <c r="C441" s="212" t="s">
        <v>121</v>
      </c>
      <c r="D441" s="212" t="s">
        <v>217</v>
      </c>
      <c r="E441" s="215" t="s">
        <v>1163</v>
      </c>
      <c r="F441" s="107" t="str">
        <f t="shared" si="14"/>
        <v>LNT</v>
      </c>
    </row>
    <row r="442" spans="2:7" ht="17">
      <c r="B442" s="211" t="s">
        <v>1167</v>
      </c>
      <c r="C442" s="212" t="s">
        <v>1166</v>
      </c>
      <c r="D442" s="212" t="s">
        <v>955</v>
      </c>
      <c r="E442" s="215" t="s">
        <v>1168</v>
      </c>
      <c r="F442" s="107" t="str">
        <f t="shared" si="14"/>
        <v>YGL-</v>
      </c>
    </row>
    <row r="443" spans="2:7" ht="17">
      <c r="B443" s="211" t="s">
        <v>1176</v>
      </c>
      <c r="C443" s="212" t="s">
        <v>670</v>
      </c>
      <c r="D443" s="212" t="s">
        <v>36</v>
      </c>
      <c r="E443" s="215" t="s">
        <v>1177</v>
      </c>
      <c r="F443" s="107" t="str">
        <f t="shared" si="14"/>
        <v>KL</v>
      </c>
    </row>
    <row r="444" spans="2:7" ht="17">
      <c r="B444" s="211" t="s">
        <v>1178</v>
      </c>
      <c r="C444" s="212" t="s">
        <v>1179</v>
      </c>
      <c r="D444" s="212" t="s">
        <v>217</v>
      </c>
      <c r="E444" s="215" t="s">
        <v>1180</v>
      </c>
      <c r="F444" s="107" t="str">
        <f t="shared" si="14"/>
        <v>BK</v>
      </c>
    </row>
    <row r="445" spans="2:7" s="217" customFormat="1" ht="34">
      <c r="B445" s="211" t="s">
        <v>1181</v>
      </c>
      <c r="C445" s="212" t="s">
        <v>1182</v>
      </c>
      <c r="D445" s="212" t="s">
        <v>1183</v>
      </c>
      <c r="E445" s="215" t="s">
        <v>1184</v>
      </c>
      <c r="F445" s="107" t="str">
        <f t="shared" si="14"/>
        <v>SS1L</v>
      </c>
      <c r="G445" s="213" t="s">
        <v>1185</v>
      </c>
    </row>
    <row r="446" spans="2:7" ht="17">
      <c r="B446" s="211" t="s">
        <v>1193</v>
      </c>
      <c r="C446" s="212" t="s">
        <v>33</v>
      </c>
      <c r="D446" s="212" t="s">
        <v>217</v>
      </c>
      <c r="F446" s="107" t="str">
        <f t="shared" si="14"/>
        <v>EA</v>
      </c>
    </row>
    <row r="447" spans="2:7" ht="17">
      <c r="B447" s="211" t="s">
        <v>1217</v>
      </c>
      <c r="C447" s="212" t="s">
        <v>810</v>
      </c>
      <c r="D447" s="212" t="s">
        <v>217</v>
      </c>
      <c r="E447" s="212" t="s">
        <v>217</v>
      </c>
      <c r="F447" s="107" t="str">
        <f t="shared" si="14"/>
        <v>CH2</v>
      </c>
    </row>
    <row r="448" spans="2:7" ht="34">
      <c r="B448" s="211" t="s">
        <v>1221</v>
      </c>
      <c r="C448" s="212" t="s">
        <v>1222</v>
      </c>
      <c r="D448" s="212" t="s">
        <v>1503</v>
      </c>
      <c r="E448" s="215" t="s">
        <v>1223</v>
      </c>
      <c r="F448" s="107" t="str">
        <f t="shared" si="14"/>
        <v>EEFT</v>
      </c>
    </row>
    <row r="449" spans="2:7" ht="17">
      <c r="B449" s="211" t="s">
        <v>1226</v>
      </c>
      <c r="C449" s="212" t="s">
        <v>121</v>
      </c>
      <c r="D449" s="212" t="s">
        <v>217</v>
      </c>
      <c r="E449" s="215" t="s">
        <v>1227</v>
      </c>
      <c r="F449" s="107" t="str">
        <f t="shared" si="14"/>
        <v>CCBC</v>
      </c>
    </row>
    <row r="450" spans="2:7" ht="17">
      <c r="B450" s="211" t="s">
        <v>1230</v>
      </c>
      <c r="C450" s="212" t="s">
        <v>33</v>
      </c>
      <c r="D450" s="212" t="s">
        <v>217</v>
      </c>
      <c r="E450" s="215" t="s">
        <v>1231</v>
      </c>
      <c r="F450" s="107" t="str">
        <f t="shared" si="14"/>
        <v>DMCL</v>
      </c>
    </row>
    <row r="451" spans="2:7" ht="17">
      <c r="B451" s="211" t="s">
        <v>1235</v>
      </c>
      <c r="C451" s="212" t="s">
        <v>73</v>
      </c>
      <c r="D451" s="212" t="s">
        <v>217</v>
      </c>
      <c r="F451" s="107" t="str">
        <f t="shared" ref="F451:F514" si="15">UPPER(LEFT(B451,1)) &amp; IFERROR(UPPER(LEFT(MID(B451,FIND(" ",B451)+1,LEN(B451)),1)),"") &amp; IFERROR(UPPER(LEFT(MID(B451,FIND(" ",B451,FIND(" ",B451)+1)+1,LEN(B451)),1)),"") &amp; IFERROR(UPPER(LEFT(MID(B451,FIND(" ",B451,FIND(" ",B451,FIND(" ",B451)+1)+1)+1,LEN(B451)),1)),"")</f>
        <v>AS-D</v>
      </c>
    </row>
    <row r="452" spans="2:7" ht="17">
      <c r="B452" s="211" t="s">
        <v>2432</v>
      </c>
      <c r="C452" s="212" t="s">
        <v>73</v>
      </c>
      <c r="D452" s="212" t="s">
        <v>217</v>
      </c>
      <c r="F452" s="107" t="str">
        <f t="shared" si="15"/>
        <v>AS-A</v>
      </c>
    </row>
    <row r="453" spans="2:7" ht="17">
      <c r="B453" s="211" t="s">
        <v>2433</v>
      </c>
      <c r="C453" s="212" t="s">
        <v>73</v>
      </c>
      <c r="D453" s="212" t="s">
        <v>217</v>
      </c>
      <c r="F453" s="107" t="str">
        <f t="shared" si="15"/>
        <v>AS-R</v>
      </c>
    </row>
    <row r="454" spans="2:7" ht="17">
      <c r="B454" s="211" t="s">
        <v>1238</v>
      </c>
      <c r="C454" s="212" t="s">
        <v>58</v>
      </c>
      <c r="D454" s="212" t="s">
        <v>955</v>
      </c>
      <c r="E454" s="215" t="s">
        <v>1239</v>
      </c>
      <c r="F454" s="107" t="str">
        <f t="shared" si="15"/>
        <v>MMG</v>
      </c>
    </row>
    <row r="455" spans="2:7" ht="17">
      <c r="B455" s="211" t="s">
        <v>1240</v>
      </c>
      <c r="C455" s="212" t="s">
        <v>1241</v>
      </c>
      <c r="D455" s="212" t="s">
        <v>217</v>
      </c>
      <c r="E455" s="215" t="s">
        <v>1242</v>
      </c>
      <c r="F455" s="107" t="str">
        <f t="shared" si="15"/>
        <v>DA</v>
      </c>
    </row>
    <row r="456" spans="2:7" ht="17">
      <c r="B456" s="211" t="s">
        <v>1244</v>
      </c>
      <c r="C456" s="212" t="s">
        <v>824</v>
      </c>
      <c r="D456" s="212" t="s">
        <v>217</v>
      </c>
      <c r="E456" s="215" t="s">
        <v>1245</v>
      </c>
      <c r="F456" s="107" t="str">
        <f t="shared" si="15"/>
        <v>HCL</v>
      </c>
    </row>
    <row r="457" spans="2:7" ht="17">
      <c r="B457" s="211" t="s">
        <v>1248</v>
      </c>
      <c r="C457" s="212" t="s">
        <v>217</v>
      </c>
      <c r="D457" s="212" t="s">
        <v>217</v>
      </c>
      <c r="E457" s="215" t="s">
        <v>1249</v>
      </c>
      <c r="F457" s="107" t="str">
        <f t="shared" si="15"/>
        <v>SI</v>
      </c>
      <c r="G457" s="213" t="s">
        <v>1250</v>
      </c>
    </row>
    <row r="458" spans="2:7" ht="34">
      <c r="B458" s="211" t="s">
        <v>1257</v>
      </c>
      <c r="C458" s="212" t="s">
        <v>1258</v>
      </c>
      <c r="D458" s="212" t="s">
        <v>1258</v>
      </c>
      <c r="E458" s="215" t="s">
        <v>1260</v>
      </c>
      <c r="F458" s="107" t="str">
        <f t="shared" si="15"/>
        <v>AAP</v>
      </c>
    </row>
    <row r="459" spans="2:7" ht="17">
      <c r="B459" s="211" t="s">
        <v>1261</v>
      </c>
      <c r="C459" s="212" t="s">
        <v>747</v>
      </c>
      <c r="D459" s="212" t="s">
        <v>36</v>
      </c>
      <c r="E459" s="215" t="s">
        <v>1262</v>
      </c>
      <c r="F459" s="107" t="str">
        <f t="shared" si="15"/>
        <v>EM</v>
      </c>
    </row>
    <row r="460" spans="2:7" ht="17">
      <c r="B460" s="211" t="s">
        <v>1278</v>
      </c>
      <c r="C460" s="212" t="s">
        <v>52</v>
      </c>
      <c r="D460" s="212" t="s">
        <v>52</v>
      </c>
      <c r="E460" s="215" t="s">
        <v>1279</v>
      </c>
      <c r="F460" s="107" t="str">
        <f t="shared" si="15"/>
        <v>CGEC</v>
      </c>
    </row>
    <row r="461" spans="2:7" ht="17">
      <c r="B461" s="211" t="s">
        <v>1285</v>
      </c>
      <c r="C461" s="212" t="s">
        <v>217</v>
      </c>
      <c r="D461" s="212" t="s">
        <v>217</v>
      </c>
      <c r="F461" s="107" t="str">
        <f t="shared" si="15"/>
        <v>NAO</v>
      </c>
    </row>
    <row r="462" spans="2:7" ht="17">
      <c r="B462" s="211" t="s">
        <v>1287</v>
      </c>
      <c r="C462" s="212" t="s">
        <v>87</v>
      </c>
      <c r="D462" s="212" t="s">
        <v>217</v>
      </c>
      <c r="F462" s="107" t="str">
        <f t="shared" si="15"/>
        <v>KO</v>
      </c>
    </row>
    <row r="463" spans="2:7" ht="17">
      <c r="B463" s="211" t="s">
        <v>1288</v>
      </c>
      <c r="C463" s="212" t="s">
        <v>1289</v>
      </c>
      <c r="D463" s="212" t="s">
        <v>217</v>
      </c>
      <c r="E463" s="215" t="s">
        <v>1290</v>
      </c>
      <c r="F463" s="107" t="str">
        <f t="shared" si="15"/>
        <v>SA</v>
      </c>
    </row>
    <row r="464" spans="2:7" ht="17">
      <c r="B464" s="211" t="s">
        <v>1291</v>
      </c>
      <c r="C464" s="212" t="s">
        <v>1293</v>
      </c>
      <c r="D464" s="212" t="s">
        <v>961</v>
      </c>
      <c r="E464" s="215" t="s">
        <v>1292</v>
      </c>
      <c r="F464" s="107" t="str">
        <f t="shared" si="15"/>
        <v>AVTI</v>
      </c>
      <c r="G464" s="213" t="s">
        <v>630</v>
      </c>
    </row>
    <row r="465" spans="2:250" ht="34">
      <c r="B465" s="211" t="s">
        <v>1294</v>
      </c>
      <c r="C465" s="212" t="s">
        <v>353</v>
      </c>
      <c r="D465" s="212" t="s">
        <v>217</v>
      </c>
      <c r="E465" s="215" t="s">
        <v>1295</v>
      </c>
      <c r="F465" s="107" t="str">
        <f t="shared" si="15"/>
        <v>PK</v>
      </c>
    </row>
    <row r="466" spans="2:250" ht="17">
      <c r="B466" s="211" t="s">
        <v>1296</v>
      </c>
      <c r="C466" s="212" t="s">
        <v>217</v>
      </c>
      <c r="D466" s="212" t="s">
        <v>217</v>
      </c>
      <c r="F466" s="107" t="str">
        <f t="shared" si="15"/>
        <v>1SS</v>
      </c>
    </row>
    <row r="467" spans="2:250" ht="17">
      <c r="B467" s="211" t="s">
        <v>1298</v>
      </c>
      <c r="C467" s="212" t="s">
        <v>1299</v>
      </c>
      <c r="D467" s="212" t="s">
        <v>36</v>
      </c>
      <c r="E467" s="215" t="s">
        <v>732</v>
      </c>
      <c r="F467" s="107" t="str">
        <f t="shared" si="15"/>
        <v>E-IC</v>
      </c>
    </row>
    <row r="468" spans="2:250" ht="17">
      <c r="B468" s="211" t="s">
        <v>1591</v>
      </c>
      <c r="C468" s="212" t="s">
        <v>30</v>
      </c>
      <c r="D468" s="212" t="s">
        <v>217</v>
      </c>
      <c r="E468" s="215" t="s">
        <v>1306</v>
      </c>
      <c r="F468" s="107" t="str">
        <f t="shared" si="15"/>
        <v>ES-K</v>
      </c>
    </row>
    <row r="469" spans="2:250" ht="17">
      <c r="B469" s="211" t="s">
        <v>1592</v>
      </c>
      <c r="C469" s="212" t="s">
        <v>33</v>
      </c>
      <c r="D469" s="212" t="s">
        <v>217</v>
      </c>
      <c r="E469" s="215" t="s">
        <v>1306</v>
      </c>
      <c r="F469" s="107" t="str">
        <f t="shared" si="15"/>
        <v>ES-E</v>
      </c>
    </row>
    <row r="470" spans="2:250" ht="17">
      <c r="B470" s="211" t="s">
        <v>1307</v>
      </c>
      <c r="C470" s="212" t="s">
        <v>1308</v>
      </c>
      <c r="D470" s="212" t="s">
        <v>217</v>
      </c>
      <c r="E470" s="215" t="s">
        <v>1309</v>
      </c>
      <c r="F470" s="107" t="str">
        <f t="shared" si="15"/>
        <v>KA</v>
      </c>
    </row>
    <row r="471" spans="2:250" ht="17">
      <c r="B471" s="211" t="s">
        <v>1310</v>
      </c>
      <c r="C471" s="212" t="s">
        <v>70</v>
      </c>
      <c r="D471" s="212" t="s">
        <v>217</v>
      </c>
      <c r="E471" s="215" t="s">
        <v>1311</v>
      </c>
      <c r="F471" s="107" t="str">
        <f t="shared" si="15"/>
        <v>G-GH</v>
      </c>
    </row>
    <row r="472" spans="2:250" ht="17">
      <c r="B472" s="211" t="s">
        <v>1312</v>
      </c>
      <c r="C472" s="212" t="s">
        <v>447</v>
      </c>
      <c r="D472" s="212" t="s">
        <v>217</v>
      </c>
      <c r="E472" s="215" t="s">
        <v>1313</v>
      </c>
      <c r="F472" s="107" t="str">
        <f t="shared" si="15"/>
        <v>ELS</v>
      </c>
    </row>
    <row r="473" spans="2:250" ht="80">
      <c r="B473" s="211" t="s">
        <v>1315</v>
      </c>
      <c r="C473" s="212" t="s">
        <v>43</v>
      </c>
      <c r="D473" s="212" t="s">
        <v>957</v>
      </c>
      <c r="F473" s="107" t="str">
        <f t="shared" si="15"/>
        <v>AR</v>
      </c>
      <c r="EC473" s="317" t="s">
        <v>2708</v>
      </c>
      <c r="ED473" s="317" t="s">
        <v>2709</v>
      </c>
      <c r="EE473" s="317" t="s">
        <v>2710</v>
      </c>
      <c r="EF473" s="317" t="s">
        <v>2711</v>
      </c>
      <c r="EG473" s="317" t="s">
        <v>2792</v>
      </c>
      <c r="EH473" s="360" t="s">
        <v>2793</v>
      </c>
      <c r="IK473" s="317" t="s">
        <v>2708</v>
      </c>
      <c r="IL473" s="317" t="s">
        <v>2709</v>
      </c>
      <c r="IM473" s="317" t="s">
        <v>2710</v>
      </c>
      <c r="IN473" s="317" t="s">
        <v>2711</v>
      </c>
      <c r="IO473" s="317" t="s">
        <v>2792</v>
      </c>
      <c r="IP473" s="317" t="s">
        <v>2793</v>
      </c>
    </row>
    <row r="474" spans="2:250" ht="17">
      <c r="B474" s="211" t="s">
        <v>1324</v>
      </c>
      <c r="C474" s="212" t="s">
        <v>1325</v>
      </c>
      <c r="D474" s="212" t="s">
        <v>217</v>
      </c>
      <c r="E474" s="215" t="s">
        <v>1326</v>
      </c>
      <c r="F474" s="107" t="str">
        <f t="shared" si="15"/>
        <v>ET</v>
      </c>
      <c r="EC474" s="214">
        <f ca="1">MIN(EC475:EC491)+IF(SUM(EC477:EC491)=0,1,0)</f>
        <v>3</v>
      </c>
      <c r="ED474" s="214">
        <f ca="1">MIN(ED475:ED491)</f>
        <v>4</v>
      </c>
      <c r="EE474" s="316">
        <f ca="1">IF(EE489=1,2,IF(EE483=1,2,IF(EE477=1,2,IF(EE490=1,3,IF(EE484=1,3,IF(EE478=1,3,IF(EE491=1,4,IF(EE485=1,4,IF(EE479=1,4,0)))))))))</f>
        <v>3</v>
      </c>
      <c r="EF474" s="316">
        <f ca="1">IF(EE474=0,1,EE474)*IF(EG474=250,MIN(AA501,AE498),IF(EG474=150,MIN(AA501,AE497),IF(EG474=100,MIN(AA501,AE496),SUM(Items!A242:A254))))*'Customer Base'!$D26*0.8</f>
        <v>5424</v>
      </c>
      <c r="EG474" s="214">
        <f ca="1">IF(EE489=1,250,IF(EE483=1,150,IF(EE477=1,100,IF(EE490=1,250,IF(EE484=1,150,IF(EE478=1,100,IF(EE491=1,250,IF(EE485=1,150,IF(EE479=1,100,IF(AA501&lt;=AE496,AA496,IF(AA501&lt;=AE497,AA497,IF(AA501&lt;=AE498,AA498,""))))))))))))</f>
        <v>250</v>
      </c>
      <c r="EH474" s="214">
        <f ca="1">IF(AND(EG474=100,'Customer Base'!D8=12,'Client List'!EF474&gt;Items!AQ262),150,IF(AND(EG474=100,'Customer Base'!D8=24,EF474&gt;Items!AR262),150,IF(AND(EG474=100,'Customer Base'!D8=48,'Client List'!EF474&gt;Items!AS260),150,EG474)))</f>
        <v>250</v>
      </c>
      <c r="IK474" s="214">
        <f ca="1">MIN(IK475:IK491)</f>
        <v>1</v>
      </c>
      <c r="IL474" s="214">
        <f ca="1">MIN(IL475:IL491)</f>
        <v>0</v>
      </c>
      <c r="IM474" s="316">
        <f ca="1">IF(IM489=1,2,IF(IM483=1,2,IF(IM477=1,2,IF(IM490=1,3,IF(IM484=1,3,IF(IM478=1,3,IF(IM491=1,4,IF(IM485=1,4,IF(IM479=1,4,0)))))))))</f>
        <v>2</v>
      </c>
      <c r="IN474" s="316">
        <f ca="1">IF(AND(IK474=0,ED474&lt;&gt;0),ED474*'Customer Base'!D26*0.8,IM474*IF(IO474=250,AE498,IF(IO474=150,AE497,IF(IO474=100,AE496,0)))*'Customer Base'!$D26*0.8)</f>
        <v>1808</v>
      </c>
      <c r="IO474" s="214">
        <f ca="1">IF(IM489=1,250,IF(IM483=1,150,IF(IM477=1,100,IF(IM490=1,250,IF(IM484=1,150,IF(IM478=1,100,IF(IM491=1,250,IF(IM485=1,150,IF(IM479=1,100,IF(AND(IK474=0,ED474&lt;&gt;0),100,0))))))))))</f>
        <v>150</v>
      </c>
      <c r="IP474" s="214">
        <f ca="1">IF(AND(IO474=100,'Customer Base'!D8=12,'Client List'!IN474&gt;Items!AQ262),150,IF(AND(IO474=100,'Customer Base'!D8=24,IN474&gt;Items!AR262),150,IF(AND(IO474=100,'Customer Base'!D8=48,IN474&gt;Items!AS260),150,IO474)))</f>
        <v>150</v>
      </c>
    </row>
    <row r="475" spans="2:250" ht="17">
      <c r="B475" s="211" t="s">
        <v>1327</v>
      </c>
      <c r="C475" s="212" t="s">
        <v>217</v>
      </c>
      <c r="D475" s="212" t="s">
        <v>217</v>
      </c>
      <c r="F475" s="107" t="str">
        <f t="shared" si="15"/>
        <v>JT</v>
      </c>
    </row>
    <row r="476" spans="2:250" ht="17">
      <c r="B476" s="211" t="s">
        <v>1330</v>
      </c>
      <c r="C476" s="212" t="s">
        <v>52</v>
      </c>
      <c r="D476" s="212" t="s">
        <v>52</v>
      </c>
      <c r="E476" s="215" t="s">
        <v>1329</v>
      </c>
      <c r="F476" s="107" t="str">
        <f t="shared" si="15"/>
        <v>T-I</v>
      </c>
      <c r="Z476" s="214" t="s">
        <v>2712</v>
      </c>
      <c r="AB476" s="214" t="s">
        <v>2702</v>
      </c>
      <c r="AC476" s="214" t="s">
        <v>2705</v>
      </c>
      <c r="AD476" s="214" t="s">
        <v>2701</v>
      </c>
      <c r="AE476" s="214" t="s">
        <v>800</v>
      </c>
      <c r="AF476" s="214">
        <v>1</v>
      </c>
      <c r="AG476" s="214">
        <v>2</v>
      </c>
      <c r="AH476" s="214">
        <v>3</v>
      </c>
      <c r="AI476" s="214">
        <v>4</v>
      </c>
      <c r="AJ476" s="214">
        <v>5</v>
      </c>
      <c r="AK476" s="214">
        <v>6</v>
      </c>
      <c r="AL476" s="214">
        <v>7</v>
      </c>
      <c r="AM476" s="214">
        <v>8</v>
      </c>
      <c r="AN476" s="214">
        <v>9</v>
      </c>
      <c r="AO476" s="214">
        <v>10</v>
      </c>
      <c r="AP476" s="214">
        <v>11</v>
      </c>
      <c r="AQ476" s="214">
        <v>12</v>
      </c>
      <c r="AR476" s="214">
        <v>13</v>
      </c>
      <c r="AS476" s="214">
        <v>14</v>
      </c>
      <c r="AT476" s="214">
        <v>15</v>
      </c>
      <c r="AU476" s="214">
        <v>16</v>
      </c>
      <c r="AV476" s="214">
        <v>17</v>
      </c>
      <c r="AW476" s="214">
        <v>18</v>
      </c>
      <c r="AX476" s="214">
        <v>19</v>
      </c>
      <c r="AY476" s="214">
        <v>20</v>
      </c>
      <c r="AZ476" s="214">
        <v>21</v>
      </c>
      <c r="BA476" s="214">
        <v>22</v>
      </c>
      <c r="BB476" s="214">
        <v>23</v>
      </c>
      <c r="BC476" s="214">
        <v>24</v>
      </c>
      <c r="BD476" s="214">
        <v>25</v>
      </c>
      <c r="BE476" s="214">
        <v>26</v>
      </c>
      <c r="BF476" s="214">
        <v>27</v>
      </c>
      <c r="BG476" s="214">
        <v>28</v>
      </c>
      <c r="BH476" s="214">
        <v>29</v>
      </c>
      <c r="BI476" s="214">
        <v>30</v>
      </c>
      <c r="BJ476" s="214">
        <v>31</v>
      </c>
      <c r="BK476" s="214">
        <v>32</v>
      </c>
      <c r="BL476" s="214">
        <v>33</v>
      </c>
      <c r="BM476" s="214">
        <v>34</v>
      </c>
      <c r="BN476" s="214">
        <v>35</v>
      </c>
      <c r="BO476" s="214">
        <v>36</v>
      </c>
      <c r="BP476" s="214">
        <v>37</v>
      </c>
      <c r="BQ476" s="214">
        <v>38</v>
      </c>
      <c r="BR476" s="214">
        <v>39</v>
      </c>
      <c r="BS476" s="214">
        <v>40</v>
      </c>
      <c r="BT476" s="214">
        <v>41</v>
      </c>
      <c r="BU476" s="214">
        <v>42</v>
      </c>
      <c r="BV476" s="214">
        <v>43</v>
      </c>
      <c r="BW476" s="214">
        <v>44</v>
      </c>
      <c r="BX476" s="214">
        <v>45</v>
      </c>
      <c r="BY476" s="214">
        <v>46</v>
      </c>
      <c r="BZ476" s="214">
        <v>47</v>
      </c>
      <c r="CA476" s="214">
        <v>48</v>
      </c>
      <c r="CB476" s="214">
        <v>49</v>
      </c>
      <c r="CC476" s="214">
        <v>50</v>
      </c>
      <c r="CD476" s="214">
        <v>51</v>
      </c>
      <c r="CE476" s="214">
        <v>52</v>
      </c>
      <c r="CF476" s="214">
        <v>53</v>
      </c>
      <c r="CG476" s="214">
        <v>54</v>
      </c>
      <c r="CH476" s="214">
        <v>55</v>
      </c>
      <c r="CI476" s="214">
        <v>56</v>
      </c>
      <c r="CJ476" s="214">
        <v>57</v>
      </c>
      <c r="CK476" s="214">
        <v>58</v>
      </c>
      <c r="CL476" s="214">
        <v>59</v>
      </c>
      <c r="CM476" s="214">
        <v>60</v>
      </c>
      <c r="CN476" s="214">
        <v>61</v>
      </c>
      <c r="CO476" s="214">
        <v>62</v>
      </c>
      <c r="CP476" s="214">
        <v>63</v>
      </c>
      <c r="CQ476" s="214">
        <v>64</v>
      </c>
      <c r="CR476" s="214">
        <v>65</v>
      </c>
      <c r="CS476" s="214">
        <v>66</v>
      </c>
      <c r="CT476" s="214">
        <v>67</v>
      </c>
      <c r="CU476" s="214">
        <v>68</v>
      </c>
      <c r="CV476" s="214">
        <v>69</v>
      </c>
      <c r="CW476" s="214">
        <v>70</v>
      </c>
      <c r="CX476" s="214">
        <v>71</v>
      </c>
      <c r="CY476" s="214">
        <v>72</v>
      </c>
      <c r="CZ476" s="214">
        <v>73</v>
      </c>
      <c r="DA476" s="214">
        <v>74</v>
      </c>
      <c r="DB476" s="214">
        <v>75</v>
      </c>
      <c r="DC476" s="214">
        <v>76</v>
      </c>
      <c r="DD476" s="214">
        <v>77</v>
      </c>
      <c r="DE476" s="214">
        <v>78</v>
      </c>
      <c r="DF476" s="214">
        <v>79</v>
      </c>
      <c r="DG476" s="214">
        <v>80</v>
      </c>
      <c r="DH476" s="214">
        <v>81</v>
      </c>
      <c r="DI476" s="214">
        <v>82</v>
      </c>
      <c r="DJ476" s="214">
        <v>83</v>
      </c>
      <c r="DK476" s="214">
        <v>84</v>
      </c>
      <c r="DL476" s="214">
        <v>85</v>
      </c>
      <c r="DM476" s="214">
        <v>86</v>
      </c>
      <c r="DN476" s="214">
        <v>87</v>
      </c>
      <c r="DO476" s="214">
        <v>88</v>
      </c>
      <c r="DP476" s="214">
        <v>89</v>
      </c>
      <c r="DQ476" s="214">
        <v>90</v>
      </c>
      <c r="DR476" s="214">
        <v>91</v>
      </c>
      <c r="DS476" s="214">
        <v>92</v>
      </c>
      <c r="DT476" s="214">
        <v>93</v>
      </c>
      <c r="DU476" s="214">
        <v>94</v>
      </c>
      <c r="DV476" s="214">
        <v>95</v>
      </c>
      <c r="DW476" s="214">
        <v>96</v>
      </c>
      <c r="DX476" s="214">
        <v>97</v>
      </c>
      <c r="DY476" s="214">
        <v>98</v>
      </c>
      <c r="DZ476" s="214">
        <v>99</v>
      </c>
      <c r="EA476" s="214">
        <v>100</v>
      </c>
      <c r="EJ476" s="214" t="s">
        <v>2702</v>
      </c>
      <c r="EK476" s="214" t="s">
        <v>2705</v>
      </c>
      <c r="EL476" s="214" t="s">
        <v>2701</v>
      </c>
      <c r="EM476" s="214" t="s">
        <v>800</v>
      </c>
      <c r="EN476" s="214">
        <v>1</v>
      </c>
      <c r="EO476" s="214">
        <v>2</v>
      </c>
      <c r="EP476" s="214">
        <v>3</v>
      </c>
      <c r="EQ476" s="214">
        <v>4</v>
      </c>
      <c r="ER476" s="214">
        <v>5</v>
      </c>
      <c r="ES476" s="214">
        <v>6</v>
      </c>
      <c r="ET476" s="214">
        <v>7</v>
      </c>
      <c r="EU476" s="214">
        <v>8</v>
      </c>
      <c r="EV476" s="214">
        <v>9</v>
      </c>
      <c r="EW476" s="214">
        <v>10</v>
      </c>
      <c r="EX476" s="214">
        <v>11</v>
      </c>
      <c r="EY476" s="214">
        <v>12</v>
      </c>
      <c r="EZ476" s="214">
        <v>13</v>
      </c>
      <c r="FA476" s="214">
        <v>14</v>
      </c>
      <c r="FB476" s="214">
        <v>15</v>
      </c>
      <c r="FC476" s="214">
        <v>16</v>
      </c>
      <c r="FD476" s="214">
        <v>17</v>
      </c>
      <c r="FE476" s="214">
        <v>18</v>
      </c>
      <c r="FF476" s="214">
        <v>19</v>
      </c>
      <c r="FG476" s="214">
        <v>20</v>
      </c>
      <c r="FH476" s="214">
        <v>21</v>
      </c>
      <c r="FI476" s="214">
        <v>22</v>
      </c>
      <c r="FJ476" s="214">
        <v>23</v>
      </c>
      <c r="FK476" s="214">
        <v>24</v>
      </c>
      <c r="FL476" s="214">
        <v>25</v>
      </c>
      <c r="FM476" s="214">
        <v>26</v>
      </c>
      <c r="FN476" s="214">
        <v>27</v>
      </c>
      <c r="FO476" s="214">
        <v>28</v>
      </c>
      <c r="FP476" s="214">
        <v>29</v>
      </c>
      <c r="FQ476" s="214">
        <v>30</v>
      </c>
      <c r="FR476" s="214">
        <v>31</v>
      </c>
      <c r="FS476" s="214">
        <v>32</v>
      </c>
      <c r="FT476" s="214">
        <v>33</v>
      </c>
      <c r="FU476" s="214">
        <v>34</v>
      </c>
      <c r="FV476" s="214">
        <v>35</v>
      </c>
      <c r="FW476" s="214">
        <v>36</v>
      </c>
      <c r="FX476" s="214">
        <v>37</v>
      </c>
      <c r="FY476" s="214">
        <v>38</v>
      </c>
      <c r="FZ476" s="214">
        <v>39</v>
      </c>
      <c r="GA476" s="214">
        <v>40</v>
      </c>
      <c r="GB476" s="214">
        <v>41</v>
      </c>
      <c r="GC476" s="214">
        <v>42</v>
      </c>
      <c r="GD476" s="214">
        <v>43</v>
      </c>
      <c r="GE476" s="214">
        <v>44</v>
      </c>
      <c r="GF476" s="214">
        <v>45</v>
      </c>
      <c r="GG476" s="214">
        <v>46</v>
      </c>
      <c r="GH476" s="214">
        <v>47</v>
      </c>
      <c r="GI476" s="214">
        <v>48</v>
      </c>
      <c r="GJ476" s="214">
        <v>49</v>
      </c>
      <c r="GK476" s="214">
        <v>50</v>
      </c>
      <c r="GL476" s="214">
        <v>51</v>
      </c>
      <c r="GM476" s="214">
        <v>52</v>
      </c>
      <c r="GN476" s="214">
        <v>53</v>
      </c>
      <c r="GO476" s="214">
        <v>54</v>
      </c>
      <c r="GP476" s="214">
        <v>55</v>
      </c>
      <c r="GQ476" s="214">
        <v>56</v>
      </c>
      <c r="GR476" s="214">
        <v>57</v>
      </c>
      <c r="GS476" s="214">
        <v>58</v>
      </c>
      <c r="GT476" s="214">
        <v>59</v>
      </c>
      <c r="GU476" s="214">
        <v>60</v>
      </c>
      <c r="GV476" s="214">
        <v>61</v>
      </c>
      <c r="GW476" s="214">
        <v>62</v>
      </c>
      <c r="GX476" s="214">
        <v>63</v>
      </c>
      <c r="GY476" s="214">
        <v>64</v>
      </c>
      <c r="GZ476" s="214">
        <v>65</v>
      </c>
      <c r="HA476" s="214">
        <v>66</v>
      </c>
      <c r="HB476" s="214">
        <v>67</v>
      </c>
      <c r="HC476" s="214">
        <v>68</v>
      </c>
      <c r="HD476" s="214">
        <v>69</v>
      </c>
      <c r="HE476" s="214">
        <v>70</v>
      </c>
      <c r="HF476" s="214">
        <v>71</v>
      </c>
      <c r="HG476" s="214">
        <v>72</v>
      </c>
      <c r="HH476" s="214">
        <v>73</v>
      </c>
      <c r="HI476" s="214">
        <v>74</v>
      </c>
      <c r="HJ476" s="214">
        <v>75</v>
      </c>
      <c r="HK476" s="214">
        <v>76</v>
      </c>
      <c r="HL476" s="214">
        <v>77</v>
      </c>
      <c r="HM476" s="214">
        <v>78</v>
      </c>
      <c r="HN476" s="214">
        <v>79</v>
      </c>
      <c r="HO476" s="214">
        <v>80</v>
      </c>
      <c r="HP476" s="214">
        <v>81</v>
      </c>
      <c r="HQ476" s="214">
        <v>82</v>
      </c>
      <c r="HR476" s="214">
        <v>83</v>
      </c>
      <c r="HS476" s="214">
        <v>84</v>
      </c>
      <c r="HT476" s="214">
        <v>85</v>
      </c>
      <c r="HU476" s="214">
        <v>86</v>
      </c>
      <c r="HV476" s="214">
        <v>87</v>
      </c>
      <c r="HW476" s="214">
        <v>88</v>
      </c>
      <c r="HX476" s="214">
        <v>89</v>
      </c>
      <c r="HY476" s="214">
        <v>90</v>
      </c>
      <c r="HZ476" s="214">
        <v>91</v>
      </c>
      <c r="IA476" s="214">
        <v>92</v>
      </c>
      <c r="IB476" s="214">
        <v>93</v>
      </c>
      <c r="IC476" s="214">
        <v>94</v>
      </c>
      <c r="ID476" s="214">
        <v>95</v>
      </c>
      <c r="IE476" s="214">
        <v>96</v>
      </c>
      <c r="IF476" s="214">
        <v>97</v>
      </c>
      <c r="IG476" s="214">
        <v>98</v>
      </c>
      <c r="IH476" s="214">
        <v>99</v>
      </c>
      <c r="II476" s="214">
        <v>100</v>
      </c>
    </row>
    <row r="477" spans="2:250" ht="17">
      <c r="B477" s="211" t="s">
        <v>1331</v>
      </c>
      <c r="C477" s="212" t="s">
        <v>340</v>
      </c>
      <c r="D477" s="212" t="s">
        <v>217</v>
      </c>
      <c r="F477" s="107" t="str">
        <f t="shared" si="15"/>
        <v>D</v>
      </c>
      <c r="AA477" s="214">
        <v>2</v>
      </c>
      <c r="AB477" s="315" t="s">
        <v>2698</v>
      </c>
      <c r="AC477" s="214">
        <f ca="1">IFERROR(MOD(AD$493,AA477),"")</f>
        <v>0</v>
      </c>
      <c r="AD477" s="214">
        <f ca="1">IF(OR(AD483=1,AD483=""),"",IF(AND(AC479&lt;&gt;0,AC478&lt;&gt;0,AC477=0),IF(AC477=0,AA477,""),IF(AND(MAX(AC477:AC479)&lt;=AA477,SUMPRODUCT(AD478:AD479,AE478:AE479)&lt;&gt;AD483),AA477,"")))</f>
        <v>2</v>
      </c>
      <c r="AE477" s="214">
        <f ca="1">IFERROR(IF(AND(AD477&lt;&gt;"",OR(AD478&lt;&gt;"",AD479&lt;&gt;"")),1,(ROUNDDOWN(AD$493/AD477,0))),"")</f>
        <v>1</v>
      </c>
      <c r="AF477" s="214">
        <f ca="1">IF($AE496*$AA477*'Customer Base'!$D$26*0.8&gt;5800,"",IF($AE496*$AA477&gt;$AA501,"",IF(($AA$477*AF$476*$AE$496)&lt;=$AA$501,((MOD($AA$501,($AA$477*AF$476*$AE$496)))),"")))</f>
        <v>0</v>
      </c>
      <c r="AG477" s="214">
        <f ca="1">IF($AE496*$AA477*'Customer Base'!$D$26*0.8&gt;5800,"",IF($AE496*$AA477&gt;$AA501,"",IF(($AA$477*AG$476*$AE$496)&lt;=$AA$501,((MOD($AA$501,($AA$477*AG$476*$AE$496)))),"")))</f>
        <v>0</v>
      </c>
      <c r="AH477" s="214">
        <f ca="1">IF($AE496*$AA477*'Customer Base'!$D$26*0.8&gt;5800,"",IF($AE496*$AA477&gt;$AA501,"",IF(($AA$477*AH$476*$AE$496)&lt;=$AA$501,((MOD($AA$501,($AA$477*AH$476*$AE$496)))),"")))</f>
        <v>4</v>
      </c>
      <c r="AI477" s="214">
        <f ca="1">IF($AE496*$AA477*'Customer Base'!$D$26*0.8&gt;5800,"",IF($AE496*$AA477&gt;$AA501,"",IF(($AA$477*AI$476*$AE$496)&lt;=$AA$501,((MOD($AA$501,($AA$477*AI$476*$AE$496)))),"")))</f>
        <v>0</v>
      </c>
      <c r="AJ477" s="214">
        <f ca="1">IF($AE496*$AA477*'Customer Base'!$D$26*0.8&gt;5800,"",IF($AE496*$AA477&gt;$AA501,"",IF(($AA$477*AJ$476*$AE$496)&lt;=$AA$501,((MOD($AA$501,($AA$477*AJ$476*$AE$496)))),"")))</f>
        <v>0</v>
      </c>
      <c r="AK477" s="214">
        <f ca="1">IF($AE496*$AA477*'Customer Base'!$D$26*0.8&gt;5800,"",IF($AE496*$AA477&gt;$AA501,"",IF(($AA$477*AK$476*$AE$496)&lt;=$AA$501,((MOD($AA$501,($AA$477*AK$476*$AE$496)))),"")))</f>
        <v>4</v>
      </c>
      <c r="AL477" s="214">
        <f ca="1">IF($AE496*$AA477*'Customer Base'!$D$26*0.8&gt;5800,"",IF($AE496*$AA477&gt;$AA501,"",IF(($AA$477*AL$476*$AE$496)&lt;=$AA$501,((MOD($AA$501,($AA$477*AL$476*$AE$496)))),"")))</f>
        <v>12</v>
      </c>
      <c r="AM477" s="214">
        <f ca="1">IF($AE496*$AA477*'Customer Base'!$D$26*0.8&gt;5800,"",IF($AE496*$AA477&gt;$AA501,"",IF(($AA$477*AM$476*$AE$496)&lt;=$AA$501,((MOD($AA$501,($AA$477*AM$476*$AE$496)))),"")))</f>
        <v>8</v>
      </c>
      <c r="AN477" s="214">
        <f ca="1">IF($AE496*$AA477*'Customer Base'!$D$26*0.8&gt;5800,"",IF($AE496*$AA477&gt;$AA501,"",IF(($AA$477*AN$476*$AE$496)&lt;=$AA$501,((MOD($AA$501,($AA$477*AN$476*$AE$496)))),"")))</f>
        <v>4</v>
      </c>
      <c r="AO477" s="214">
        <f ca="1">IF($AE496*$AA477*'Customer Base'!$D$26*0.8&gt;5800,"",IF($AE496*$AA477&gt;$AA501,"",IF(($AA$477*AO$476*$AE$496)&lt;=$AA$501,((MOD($AA$501,($AA$477*AO$476*$AE$496)))),"")))</f>
        <v>0</v>
      </c>
      <c r="AP477" s="214">
        <f ca="1">IF($AE496*$AA477*'Customer Base'!$D$26*0.8&gt;5800,"",IF($AE496*$AA477&gt;$AA501,"",IF(($AA$477*AP$476*$AE$496)&lt;=$AA$501,((MOD($AA$501,($AA$477*AP$476*$AE$496)))),"")))</f>
        <v>18</v>
      </c>
      <c r="AQ477" s="214">
        <f ca="1">IF($AE496*$AA477*'Customer Base'!$D$26*0.8&gt;5800,"",IF($AE496*$AA477&gt;$AA501,"",IF(($AA$477*AQ$476*$AE$496)&lt;=$AA$501,((MOD($AA$501,($AA$477*AQ$476*$AE$496)))),"")))</f>
        <v>16</v>
      </c>
      <c r="AR477" s="214">
        <f ca="1">IF($AE496*$AA477*'Customer Base'!$D$26*0.8&gt;5800,"",IF($AE496*$AA477&gt;$AA501,"",IF(($AA$477*AR$476*$AE$496)&lt;=$AA$501,((MOD($AA$501,($AA$477*AR$476*$AE$496)))),"")))</f>
        <v>14</v>
      </c>
      <c r="AS477" s="214">
        <f ca="1">IF($AE496*$AA477*'Customer Base'!$D$26*0.8&gt;5800,"",IF($AE496*$AA477&gt;$AA501,"",IF(($AA$477*AS$476*$AE$496)&lt;=$AA$501,((MOD($AA$501,($AA$477*AS$476*$AE$496)))),"")))</f>
        <v>12</v>
      </c>
      <c r="AT477" s="214">
        <f ca="1">IF($AE496*$AA477*'Customer Base'!$D$26*0.8&gt;5800,"",IF($AE496*$AA477&gt;$AA501,"",IF(($AA$477*AT$476*$AE$496)&lt;=$AA$501,((MOD($AA$501,($AA$477*AT$476*$AE$496)))),"")))</f>
        <v>10</v>
      </c>
      <c r="AU477" s="214">
        <f ca="1">IF($AE496*$AA477*'Customer Base'!$D$26*0.8&gt;5800,"",IF($AE496*$AA477&gt;$AA501,"",IF(($AA$477*AU$476*$AE$496)&lt;=$AA$501,((MOD($AA$501,($AA$477*AU$476*$AE$496)))),"")))</f>
        <v>8</v>
      </c>
      <c r="AV477" s="214">
        <f ca="1">IF($AE496*$AA477*'Customer Base'!$D$26*0.8&gt;5800,"",IF($AE496*$AA477&gt;$AA501,"",IF(($AA$477*AV$476*$AE$496)&lt;=$AA$501,((MOD($AA$501,($AA$477*AV$476*$AE$496)))),"")))</f>
        <v>6</v>
      </c>
      <c r="AW477" s="214">
        <f ca="1">IF($AE496*$AA477*'Customer Base'!$D$26*0.8&gt;5800,"",IF($AE496*$AA477&gt;$AA501,"",IF(($AA$477*AW$476*$AE$496)&lt;=$AA$501,((MOD($AA$501,($AA$477*AW$476*$AE$496)))),"")))</f>
        <v>4</v>
      </c>
      <c r="AX477" s="214">
        <f ca="1">IF($AE496*$AA477*'Customer Base'!$D$26*0.8&gt;5800,"",IF($AE496*$AA477&gt;$AA501,"",IF(($AA$477*AX$476*$AE$496)&lt;=$AA$501,((MOD($AA$501,($AA$477*AX$476*$AE$496)))),"")))</f>
        <v>2</v>
      </c>
      <c r="AY477" s="214">
        <f ca="1">IF($AE496*$AA477*'Customer Base'!$D$26*0.8&gt;5800,"",IF($AE496*$AA477&gt;$AA501,"",IF(($AA$477*AY$476*$AE$496)&lt;=$AA$501,((MOD($AA$501,($AA$477*AY$476*$AE$496)))),"")))</f>
        <v>0</v>
      </c>
      <c r="AZ477" s="214" t="str">
        <f ca="1">IF($AE496*$AA477*'Customer Base'!$D$26*0.8&gt;5800,"",IF($AE496*$AA477&gt;$AA501,"",IF(($AA$477*AZ$476*$AE$496)&lt;=$AA$501,((MOD($AA$501,($AA$477*AZ$476*$AE$496)))),"")))</f>
        <v/>
      </c>
      <c r="BA477" s="214" t="str">
        <f ca="1">IF($AE496*$AA477*'Customer Base'!$D$26*0.8&gt;5800,"",IF($AE496*$AA477&gt;$AA501,"",IF(($AA$477*BA$476*$AE$496)&lt;=$AA$501,((MOD($AA$501,($AA$477*BA$476*$AE$496)))),"")))</f>
        <v/>
      </c>
      <c r="BB477" s="214" t="str">
        <f ca="1">IF($AE496*$AA477*'Customer Base'!$D$26*0.8&gt;5800,"",IF($AE496*$AA477&gt;$AA501,"",IF(($AA$477*BB$476*$AE$496)&lt;=$AA$501,((MOD($AA$501,($AA$477*BB$476*$AE$496)))),"")))</f>
        <v/>
      </c>
      <c r="BC477" s="214" t="str">
        <f ca="1">IF($AE496*$AA477*'Customer Base'!$D$26*0.8&gt;5800,"",IF($AE496*$AA477&gt;$AA501,"",IF(($AA$477*BC$476*$AE$496)&lt;=$AA$501,((MOD($AA$501,($AA$477*BC$476*$AE$496)))),"")))</f>
        <v/>
      </c>
      <c r="BD477" s="214" t="str">
        <f ca="1">IF($AE496*$AA477*'Customer Base'!$D$26*0.8&gt;5800,"",IF($AE496*$AA477&gt;$AA501,"",IF(($AA$477*BD$476*$AE$496)&lt;=$AA$501,((MOD($AA$501,($AA$477*BD$476*$AE$496)))),"")))</f>
        <v/>
      </c>
      <c r="BE477" s="214" t="str">
        <f ca="1">IF($AE496*$AA477*'Customer Base'!$D$26*0.8&gt;5800,"",IF($AE496*$AA477&gt;$AA501,"",IF(($AA$477*BE$476*$AE$496)&lt;=$AA$501,((MOD($AA$501,($AA$477*BE$476*$AE$496)))),"")))</f>
        <v/>
      </c>
      <c r="BF477" s="214" t="str">
        <f ca="1">IF($AE496*$AA477*'Customer Base'!$D$26*0.8&gt;5800,"",IF($AE496*$AA477&gt;$AA501,"",IF(($AA$477*BF$476*$AE$496)&lt;=$AA$501,((MOD($AA$501,($AA$477*BF$476*$AE$496)))),"")))</f>
        <v/>
      </c>
      <c r="BG477" s="214" t="str">
        <f ca="1">IF($AE496*$AA477*'Customer Base'!$D$26*0.8&gt;5800,"",IF($AE496*$AA477&gt;$AA501,"",IF(($AA$477*BG$476*$AE$496)&lt;=$AA$501,((MOD($AA$501,($AA$477*BG$476*$AE$496)))),"")))</f>
        <v/>
      </c>
      <c r="BH477" s="214" t="str">
        <f ca="1">IF($AE496*$AA477*'Customer Base'!$D$26*0.8&gt;5800,"",IF($AE496*$AA477&gt;$AA501,"",IF(($AA$477*BH$476*$AE$496)&lt;=$AA$501,((MOD($AA$501,($AA$477*BH$476*$AE$496)))),"")))</f>
        <v/>
      </c>
      <c r="BI477" s="214" t="str">
        <f ca="1">IF($AE496*$AA477*'Customer Base'!$D$26*0.8&gt;5800,"",IF($AE496*$AA477&gt;$AA501,"",IF(($AA$477*BI$476*$AE$496)&lt;=$AA$501,((MOD($AA$501,($AA$477*BI$476*$AE$496)))),"")))</f>
        <v/>
      </c>
      <c r="BJ477" s="214" t="str">
        <f ca="1">IF($AE496*$AA477*'Customer Base'!$D$26*0.8&gt;5800,"",IF($AE496*$AA477&gt;$AA501,"",IF(($AA$477*BJ$476*$AE$496)&lt;=$AA$501,((MOD($AA$501,($AA$477*BJ$476*$AE$496)))),"")))</f>
        <v/>
      </c>
      <c r="BK477" s="214" t="str">
        <f ca="1">IF($AE496*$AA477*'Customer Base'!$D$26*0.8&gt;5800,"",IF($AE496*$AA477&gt;$AA501,"",IF(($AA$477*BK$476*$AE$496)&lt;=$AA$501,((MOD($AA$501,($AA$477*BK$476*$AE$496)))),"")))</f>
        <v/>
      </c>
      <c r="BL477" s="214" t="str">
        <f ca="1">IF($AE496*$AA477*'Customer Base'!$D$26*0.8&gt;5800,"",IF($AE496*$AA477&gt;$AA501,"",IF(($AA$477*BL$476*$AE$496)&lt;=$AA$501,((MOD($AA$501,($AA$477*BL$476*$AE$496)))),"")))</f>
        <v/>
      </c>
      <c r="BM477" s="214" t="str">
        <f ca="1">IF($AE496*$AA477*'Customer Base'!$D$26*0.8&gt;5800,"",IF($AE496*$AA477&gt;$AA501,"",IF(($AA$477*BM$476*$AE$496)&lt;=$AA$501,((MOD($AA$501,($AA$477*BM$476*$AE$496)))),"")))</f>
        <v/>
      </c>
      <c r="BN477" s="214" t="str">
        <f ca="1">IF($AE496*$AA477*'Customer Base'!$D$26*0.8&gt;5800,"",IF($AE496*$AA477&gt;$AA501,"",IF(($AA$477*BN$476*$AE$496)&lt;=$AA$501,((MOD($AA$501,($AA$477*BN$476*$AE$496)))),"")))</f>
        <v/>
      </c>
      <c r="BO477" s="214" t="str">
        <f ca="1">IF($AE496*$AA477*'Customer Base'!$D$26*0.8&gt;5800,"",IF($AE496*$AA477&gt;$AA501,"",IF(($AA$477*BO$476*$AE$496)&lt;=$AA$501,((MOD($AA$501,($AA$477*BO$476*$AE$496)))),"")))</f>
        <v/>
      </c>
      <c r="BP477" s="214" t="str">
        <f ca="1">IF($AE496*$AA477*'Customer Base'!$D$26*0.8&gt;5800,"",IF($AE496*$AA477&gt;$AA501,"",IF(($AA$477*BP$476*$AE$496)&lt;=$AA$501,((MOD($AA$501,($AA$477*BP$476*$AE$496)))),"")))</f>
        <v/>
      </c>
      <c r="BQ477" s="214" t="str">
        <f ca="1">IF($AE496*$AA477*'Customer Base'!$D$26*0.8&gt;5800,"",IF($AE496*$AA477&gt;$AA501,"",IF(($AA$477*BQ$476*$AE$496)&lt;=$AA$501,((MOD($AA$501,($AA$477*BQ$476*$AE$496)))),"")))</f>
        <v/>
      </c>
      <c r="BR477" s="214" t="str">
        <f ca="1">IF($AE496*$AA477*'Customer Base'!$D$26*0.8&gt;5800,"",IF($AE496*$AA477&gt;$AA501,"",IF(($AA$477*BR$476*$AE$496)&lt;=$AA$501,((MOD($AA$501,($AA$477*BR$476*$AE$496)))),"")))</f>
        <v/>
      </c>
      <c r="BS477" s="214" t="str">
        <f ca="1">IF($AE496*$AA477*'Customer Base'!$D$26*0.8&gt;5800,"",IF($AE496*$AA477&gt;$AA501,"",IF(($AA$477*BS$476*$AE$496)&lt;=$AA$501,((MOD($AA$501,($AA$477*BS$476*$AE$496)))),"")))</f>
        <v/>
      </c>
      <c r="BT477" s="214" t="str">
        <f ca="1">IF($AE496*$AA477*'Customer Base'!$D$26*0.8&gt;5800,"",IF($AE496*$AA477&gt;$AA501,"",IF(($AA$477*BT$476*$AE$496)&lt;=$AA$501,((MOD($AA$501,($AA$477*BT$476*$AE$496)))),"")))</f>
        <v/>
      </c>
      <c r="BU477" s="214" t="str">
        <f ca="1">IF($AE496*$AA477*'Customer Base'!$D$26*0.8&gt;5800,"",IF($AE496*$AA477&gt;$AA501,"",IF(($AA$477*BU$476*$AE$496)&lt;=$AA$501,((MOD($AA$501,($AA$477*BU$476*$AE$496)))),"")))</f>
        <v/>
      </c>
      <c r="BV477" s="214" t="str">
        <f ca="1">IF($AE496*$AA477*'Customer Base'!$D$26*0.8&gt;5800,"",IF($AE496*$AA477&gt;$AA501,"",IF(($AA$477*BV$476*$AE$496)&lt;=$AA$501,((MOD($AA$501,($AA$477*BV$476*$AE$496)))),"")))</f>
        <v/>
      </c>
      <c r="BW477" s="214" t="str">
        <f ca="1">IF($AE496*$AA477*'Customer Base'!$D$26*0.8&gt;5800,"",IF($AE496*$AA477&gt;$AA501,"",IF(($AA$477*BW$476*$AE$496)&lt;=$AA$501,((MOD($AA$501,($AA$477*BW$476*$AE$496)))),"")))</f>
        <v/>
      </c>
      <c r="BX477" s="214" t="str">
        <f ca="1">IF($AE496*$AA477*'Customer Base'!$D$26*0.8&gt;5800,"",IF($AE496*$AA477&gt;$AA501,"",IF(($AA$477*BX$476*$AE$496)&lt;=$AA$501,((MOD($AA$501,($AA$477*BX$476*$AE$496)))),"")))</f>
        <v/>
      </c>
      <c r="BY477" s="214" t="str">
        <f ca="1">IF($AE496*$AA477*'Customer Base'!$D$26*0.8&gt;5800,"",IF($AE496*$AA477&gt;$AA501,"",IF(($AA$477*BY$476*$AE$496)&lt;=$AA$501,((MOD($AA$501,($AA$477*BY$476*$AE$496)))),"")))</f>
        <v/>
      </c>
      <c r="BZ477" s="214" t="str">
        <f ca="1">IF($AE496*$AA477*'Customer Base'!$D$26*0.8&gt;5800,"",IF($AE496*$AA477&gt;$AA501,"",IF(($AA$477*BZ$476*$AE$496)&lt;=$AA$501,((MOD($AA$501,($AA$477*BZ$476*$AE$496)))),"")))</f>
        <v/>
      </c>
      <c r="CA477" s="214" t="str">
        <f ca="1">IF($AE496*$AA477*'Customer Base'!$D$26*0.8&gt;5800,"",IF($AE496*$AA477&gt;$AA501,"",IF(($AA$477*CA$476*$AE$496)&lt;=$AA$501,((MOD($AA$501,($AA$477*CA$476*$AE$496)))),"")))</f>
        <v/>
      </c>
      <c r="CB477" s="214" t="str">
        <f ca="1">IF($AE496*$AA477*'Customer Base'!$D$26*0.8&gt;5800,"",IF($AE496*$AA477&gt;$AA501,"",IF(($AA$477*CB$476*$AE$496)&lt;=$AA$501,((MOD($AA$501,($AA$477*CB$476*$AE$496)))),"")))</f>
        <v/>
      </c>
      <c r="CC477" s="214" t="str">
        <f ca="1">IF($AE496*$AA477*'Customer Base'!$D$26*0.8&gt;5800,"",IF($AE496*$AA477&gt;$AA501,"",IF(($AA$477*CC$476*$AE$496)&lt;=$AA$501,((MOD($AA$501,($AA$477*CC$476*$AE$496)))),"")))</f>
        <v/>
      </c>
      <c r="CD477" s="214" t="str">
        <f ca="1">IF($AE496*$AA477*'Customer Base'!$D$26*0.8&gt;5800,"",IF($AE496*$AA477&gt;$AA501,"",IF(($AA$477*CD$476*$AE$496)&lt;=$AA$501,((MOD($AA$501,($AA$477*CD$476*$AE$496)))),"")))</f>
        <v/>
      </c>
      <c r="CE477" s="214" t="str">
        <f ca="1">IF($AE496*$AA477*'Customer Base'!$D$26*0.8&gt;5800,"",IF($AE496*$AA477&gt;$AA501,"",IF(($AA$477*CE$476*$AE$496)&lt;=$AA$501,((MOD($AA$501,($AA$477*CE$476*$AE$496)))),"")))</f>
        <v/>
      </c>
      <c r="CF477" s="214" t="str">
        <f ca="1">IF($AE496*$AA477*'Customer Base'!$D$26*0.8&gt;5800,"",IF($AE496*$AA477&gt;$AA501,"",IF(($AA$477*CF$476*$AE$496)&lt;=$AA$501,((MOD($AA$501,($AA$477*CF$476*$AE$496)))),"")))</f>
        <v/>
      </c>
      <c r="CG477" s="214" t="str">
        <f ca="1">IF($AE496*$AA477*'Customer Base'!$D$26*0.8&gt;5800,"",IF($AE496*$AA477&gt;$AA501,"",IF(($AA$477*CG$476*$AE$496)&lt;=$AA$501,((MOD($AA$501,($AA$477*CG$476*$AE$496)))),"")))</f>
        <v/>
      </c>
      <c r="CH477" s="214" t="str">
        <f ca="1">IF($AE496*$AA477*'Customer Base'!$D$26*0.8&gt;5800,"",IF($AE496*$AA477&gt;$AA501,"",IF(($AA$477*CH$476*$AE$496)&lt;=$AA$501,((MOD($AA$501,($AA$477*CH$476*$AE$496)))),"")))</f>
        <v/>
      </c>
      <c r="CI477" s="214" t="str">
        <f ca="1">IF($AE496*$AA477*'Customer Base'!$D$26*0.8&gt;5800,"",IF($AE496*$AA477&gt;$AA501,"",IF(($AA$477*CI$476*$AE$496)&lt;=$AA$501,((MOD($AA$501,($AA$477*CI$476*$AE$496)))),"")))</f>
        <v/>
      </c>
      <c r="CJ477" s="214" t="str">
        <f ca="1">IF($AE496*$AA477*'Customer Base'!$D$26*0.8&gt;5800,"",IF($AE496*$AA477&gt;$AA501,"",IF(($AA$477*CJ$476*$AE$496)&lt;=$AA$501,((MOD($AA$501,($AA$477*CJ$476*$AE$496)))),"")))</f>
        <v/>
      </c>
      <c r="CK477" s="214" t="str">
        <f ca="1">IF($AE496*$AA477*'Customer Base'!$D$26*0.8&gt;5800,"",IF($AE496*$AA477&gt;$AA501,"",IF(($AA$477*CK$476*$AE$496)&lt;=$AA$501,((MOD($AA$501,($AA$477*CK$476*$AE$496)))),"")))</f>
        <v/>
      </c>
      <c r="CL477" s="214" t="str">
        <f ca="1">IF($AE496*$AA477*'Customer Base'!$D$26*0.8&gt;5800,"",IF($AE496*$AA477&gt;$AA501,"",IF(($AA$477*CL$476*$AE$496)&lt;=$AA$501,((MOD($AA$501,($AA$477*CL$476*$AE$496)))),"")))</f>
        <v/>
      </c>
      <c r="CM477" s="214" t="str">
        <f ca="1">IF($AE496*$AA477*'Customer Base'!$D$26*0.8&gt;5800,"",IF($AE496*$AA477&gt;$AA501,"",IF(($AA$477*CM$476*$AE$496)&lt;=$AA$501,((MOD($AA$501,($AA$477*CM$476*$AE$496)))),"")))</f>
        <v/>
      </c>
      <c r="CN477" s="214" t="str">
        <f ca="1">IF($AE496*$AA477*'Customer Base'!$D$26*0.8&gt;5800,"",IF($AE496*$AA477&gt;$AA501,"",IF(($AA$477*CN$476*$AE$496)&lt;=$AA$501,((MOD($AA$501,($AA$477*CN$476*$AE$496)))),"")))</f>
        <v/>
      </c>
      <c r="CO477" s="214" t="str">
        <f ca="1">IF($AE496*$AA477*'Customer Base'!$D$26*0.8&gt;5800,"",IF($AE496*$AA477&gt;$AA501,"",IF(($AA$477*CO$476*$AE$496)&lt;=$AA$501,((MOD($AA$501,($AA$477*CO$476*$AE$496)))),"")))</f>
        <v/>
      </c>
      <c r="CP477" s="214" t="str">
        <f ca="1">IF($AE496*$AA477*'Customer Base'!$D$26*0.8&gt;5800,"",IF($AE496*$AA477&gt;$AA501,"",IF(($AA$477*CP$476*$AE$496)&lt;=$AA$501,((MOD($AA$501,($AA$477*CP$476*$AE$496)))),"")))</f>
        <v/>
      </c>
      <c r="CQ477" s="214" t="str">
        <f ca="1">IF($AE496*$AA477*'Customer Base'!$D$26*0.8&gt;5800,"",IF($AE496*$AA477&gt;$AA501,"",IF(($AA$477*CQ$476*$AE$496)&lt;=$AA$501,((MOD($AA$501,($AA$477*CQ$476*$AE$496)))),"")))</f>
        <v/>
      </c>
      <c r="CR477" s="214" t="str">
        <f ca="1">IF($AE496*$AA477*'Customer Base'!$D$26*0.8&gt;5800,"",IF($AE496*$AA477&gt;$AA501,"",IF(($AA$477*CR$476*$AE$496)&lt;=$AA$501,((MOD($AA$501,($AA$477*CR$476*$AE$496)))),"")))</f>
        <v/>
      </c>
      <c r="CS477" s="214" t="str">
        <f ca="1">IF($AE496*$AA477*'Customer Base'!$D$26*0.8&gt;5800,"",IF($AE496*$AA477&gt;$AA501,"",IF(($AA$477*CS$476*$AE$496)&lt;=$AA$501,((MOD($AA$501,($AA$477*CS$476*$AE$496)))),"")))</f>
        <v/>
      </c>
      <c r="CT477" s="214" t="str">
        <f ca="1">IF($AE496*$AA477*'Customer Base'!$D$26*0.8&gt;5800,"",IF($AE496*$AA477&gt;$AA501,"",IF(($AA$477*CT$476*$AE$496)&lt;=$AA$501,((MOD($AA$501,($AA$477*CT$476*$AE$496)))),"")))</f>
        <v/>
      </c>
      <c r="CU477" s="214" t="str">
        <f ca="1">IF($AE496*$AA477*'Customer Base'!$D$26*0.8&gt;5800,"",IF($AE496*$AA477&gt;$AA501,"",IF(($AA$477*CU$476*$AE$496)&lt;=$AA$501,((MOD($AA$501,($AA$477*CU$476*$AE$496)))),"")))</f>
        <v/>
      </c>
      <c r="CV477" s="214" t="str">
        <f ca="1">IF($AE496*$AA477*'Customer Base'!$D$26*0.8&gt;5800,"",IF($AE496*$AA477&gt;$AA501,"",IF(($AA$477*CV$476*$AE$496)&lt;=$AA$501,((MOD($AA$501,($AA$477*CV$476*$AE$496)))),"")))</f>
        <v/>
      </c>
      <c r="CW477" s="214" t="str">
        <f ca="1">IF($AE496*$AA477*'Customer Base'!$D$26*0.8&gt;5800,"",IF($AE496*$AA477&gt;$AA501,"",IF(($AA$477*CW$476*$AE$496)&lt;=$AA$501,((MOD($AA$501,($AA$477*CW$476*$AE$496)))),"")))</f>
        <v/>
      </c>
      <c r="CX477" s="214" t="str">
        <f ca="1">IF($AE496*$AA477*'Customer Base'!$D$26*0.8&gt;5800,"",IF($AE496*$AA477&gt;$AA501,"",IF(($AA$477*CX$476*$AE$496)&lt;=$AA$501,((MOD($AA$501,($AA$477*CX$476*$AE$496)))),"")))</f>
        <v/>
      </c>
      <c r="CY477" s="214" t="str">
        <f ca="1">IF($AE496*$AA477*'Customer Base'!$D$26*0.8&gt;5800,"",IF($AE496*$AA477&gt;$AA501,"",IF(($AA$477*CY$476*$AE$496)&lt;=$AA$501,((MOD($AA$501,($AA$477*CY$476*$AE$496)))),"")))</f>
        <v/>
      </c>
      <c r="CZ477" s="214" t="str">
        <f ca="1">IF($AE496*$AA477*'Customer Base'!$D$26*0.8&gt;5800,"",IF($AE496*$AA477&gt;$AA501,"",IF(($AA$477*CZ$476*$AE$496)&lt;=$AA$501,((MOD($AA$501,($AA$477*CZ$476*$AE$496)))),"")))</f>
        <v/>
      </c>
      <c r="DA477" s="214" t="str">
        <f ca="1">IF($AE496*$AA477*'Customer Base'!$D$26*0.8&gt;5800,"",IF($AE496*$AA477&gt;$AA501,"",IF(($AA$477*DA$476*$AE$496)&lt;=$AA$501,((MOD($AA$501,($AA$477*DA$476*$AE$496)))),"")))</f>
        <v/>
      </c>
      <c r="DB477" s="214" t="str">
        <f ca="1">IF($AE496*$AA477*'Customer Base'!$D$26*0.8&gt;5800,"",IF($AE496*$AA477&gt;$AA501,"",IF(($AA$477*DB$476*$AE$496)&lt;=$AA$501,((MOD($AA$501,($AA$477*DB$476*$AE$496)))),"")))</f>
        <v/>
      </c>
      <c r="DC477" s="214" t="str">
        <f ca="1">IF($AE496*$AA477*'Customer Base'!$D$26*0.8&gt;5800,"",IF($AE496*$AA477&gt;$AA501,"",IF(($AA$477*DC$476*$AE$496)&lt;=$AA$501,((MOD($AA$501,($AA$477*DC$476*$AE$496)))),"")))</f>
        <v/>
      </c>
      <c r="DD477" s="214" t="str">
        <f ca="1">IF($AE496*$AA477*'Customer Base'!$D$26*0.8&gt;5800,"",IF($AE496*$AA477&gt;$AA501,"",IF(($AA$477*DD$476*$AE$496)&lt;=$AA$501,((MOD($AA$501,($AA$477*DD$476*$AE$496)))),"")))</f>
        <v/>
      </c>
      <c r="DE477" s="214" t="str">
        <f ca="1">IF($AE496*$AA477*'Customer Base'!$D$26*0.8&gt;5800,"",IF($AE496*$AA477&gt;$AA501,"",IF(($AA$477*DE$476*$AE$496)&lt;=$AA$501,((MOD($AA$501,($AA$477*DE$476*$AE$496)))),"")))</f>
        <v/>
      </c>
      <c r="DF477" s="214" t="str">
        <f ca="1">IF($AE496*$AA477*'Customer Base'!$D$26*0.8&gt;5800,"",IF($AE496*$AA477&gt;$AA501,"",IF(($AA$477*DF$476*$AE$496)&lt;=$AA$501,((MOD($AA$501,($AA$477*DF$476*$AE$496)))),"")))</f>
        <v/>
      </c>
      <c r="DG477" s="214" t="str">
        <f ca="1">IF($AE496*$AA477*'Customer Base'!$D$26*0.8&gt;5800,"",IF($AE496*$AA477&gt;$AA501,"",IF(($AA$477*DG$476*$AE$496)&lt;=$AA$501,((MOD($AA$501,($AA$477*DG$476*$AE$496)))),"")))</f>
        <v/>
      </c>
      <c r="DH477" s="214" t="str">
        <f ca="1">IF($AE496*$AA477*'Customer Base'!$D$26*0.8&gt;5800,"",IF($AE496*$AA477&gt;$AA501,"",IF(($AA$477*DH$476*$AE$496)&lt;=$AA$501,((MOD($AA$501,($AA$477*DH$476*$AE$496)))),"")))</f>
        <v/>
      </c>
      <c r="DI477" s="214" t="str">
        <f ca="1">IF($AE496*$AA477*'Customer Base'!$D$26*0.8&gt;5800,"",IF($AE496*$AA477&gt;$AA501,"",IF(($AA$477*DI$476*$AE$496)&lt;=$AA$501,((MOD($AA$501,($AA$477*DI$476*$AE$496)))),"")))</f>
        <v/>
      </c>
      <c r="DJ477" s="214" t="str">
        <f ca="1">IF($AE496*$AA477*'Customer Base'!$D$26*0.8&gt;5800,"",IF($AE496*$AA477&gt;$AA501,"",IF(($AA$477*DJ$476*$AE$496)&lt;=$AA$501,((MOD($AA$501,($AA$477*DJ$476*$AE$496)))),"")))</f>
        <v/>
      </c>
      <c r="DK477" s="214" t="str">
        <f ca="1">IF($AE496*$AA477*'Customer Base'!$D$26*0.8&gt;5800,"",IF($AE496*$AA477&gt;$AA501,"",IF(($AA$477*DK$476*$AE$496)&lt;=$AA$501,((MOD($AA$501,($AA$477*DK$476*$AE$496)))),"")))</f>
        <v/>
      </c>
      <c r="DL477" s="214" t="str">
        <f ca="1">IF($AE496*$AA477*'Customer Base'!$D$26*0.8&gt;5800,"",IF($AE496*$AA477&gt;$AA501,"",IF(($AA$477*DL$476*$AE$496)&lt;=$AA$501,((MOD($AA$501,($AA$477*DL$476*$AE$496)))),"")))</f>
        <v/>
      </c>
      <c r="DM477" s="214" t="str">
        <f ca="1">IF($AE496*$AA477*'Customer Base'!$D$26*0.8&gt;5800,"",IF($AE496*$AA477&gt;$AA501,"",IF(($AA$477*DM$476*$AE$496)&lt;=$AA$501,((MOD($AA$501,($AA$477*DM$476*$AE$496)))),"")))</f>
        <v/>
      </c>
      <c r="DN477" s="214" t="str">
        <f ca="1">IF($AE496*$AA477*'Customer Base'!$D$26*0.8&gt;5800,"",IF($AE496*$AA477&gt;$AA501,"",IF(($AA$477*DN$476*$AE$496)&lt;=$AA$501,((MOD($AA$501,($AA$477*DN$476*$AE$496)))),"")))</f>
        <v/>
      </c>
      <c r="DO477" s="214" t="str">
        <f ca="1">IF($AE496*$AA477*'Customer Base'!$D$26*0.8&gt;5800,"",IF($AE496*$AA477&gt;$AA501,"",IF(($AA$477*DO$476*$AE$496)&lt;=$AA$501,((MOD($AA$501,($AA$477*DO$476*$AE$496)))),"")))</f>
        <v/>
      </c>
      <c r="DP477" s="214" t="str">
        <f ca="1">IF($AE496*$AA477*'Customer Base'!$D$26*0.8&gt;5800,"",IF($AE496*$AA477&gt;$AA501,"",IF(($AA$477*DP$476*$AE$496)&lt;=$AA$501,((MOD($AA$501,($AA$477*DP$476*$AE$496)))),"")))</f>
        <v/>
      </c>
      <c r="DQ477" s="214" t="str">
        <f ca="1">IF($AE496*$AA477*'Customer Base'!$D$26*0.8&gt;5800,"",IF($AE496*$AA477&gt;$AA501,"",IF(($AA$477*DQ$476*$AE$496)&lt;=$AA$501,((MOD($AA$501,($AA$477*DQ$476*$AE$496)))),"")))</f>
        <v/>
      </c>
      <c r="DR477" s="214" t="str">
        <f ca="1">IF($AE496*$AA477*'Customer Base'!$D$26*0.8&gt;5800,"",IF($AE496*$AA477&gt;$AA501,"",IF(($AA$477*DR$476*$AE$496)&lt;=$AA$501,((MOD($AA$501,($AA$477*DR$476*$AE$496)))),"")))</f>
        <v/>
      </c>
      <c r="DS477" s="214" t="str">
        <f ca="1">IF($AE496*$AA477*'Customer Base'!$D$26*0.8&gt;5800,"",IF($AE496*$AA477&gt;$AA501,"",IF(($AA$477*DS$476*$AE$496)&lt;=$AA$501,((MOD($AA$501,($AA$477*DS$476*$AE$496)))),"")))</f>
        <v/>
      </c>
      <c r="DT477" s="214" t="str">
        <f ca="1">IF($AE496*$AA477*'Customer Base'!$D$26*0.8&gt;5800,"",IF($AE496*$AA477&gt;$AA501,"",IF(($AA$477*DT$476*$AE$496)&lt;=$AA$501,((MOD($AA$501,($AA$477*DT$476*$AE$496)))),"")))</f>
        <v/>
      </c>
      <c r="DU477" s="214" t="str">
        <f ca="1">IF($AE496*$AA477*'Customer Base'!$D$26*0.8&gt;5800,"",IF($AE496*$AA477&gt;$AA501,"",IF(($AA$477*DU$476*$AE$496)&lt;=$AA$501,((MOD($AA$501,($AA$477*DU$476*$AE$496)))),"")))</f>
        <v/>
      </c>
      <c r="DV477" s="214" t="str">
        <f ca="1">IF($AE496*$AA477*'Customer Base'!$D$26*0.8&gt;5800,"",IF($AE496*$AA477&gt;$AA501,"",IF(($AA$477*DV$476*$AE$496)&lt;=$AA$501,((MOD($AA$501,($AA$477*DV$476*$AE$496)))),"")))</f>
        <v/>
      </c>
      <c r="DW477" s="214" t="str">
        <f ca="1">IF($AE496*$AA477*'Customer Base'!$D$26*0.8&gt;5800,"",IF($AE496*$AA477&gt;$AA501,"",IF(($AA$477*DW$476*$AE$496)&lt;=$AA$501,((MOD($AA$501,($AA$477*DW$476*$AE$496)))),"")))</f>
        <v/>
      </c>
      <c r="DX477" s="214" t="str">
        <f ca="1">IF($AE496*$AA477*'Customer Base'!$D$26*0.8&gt;5800,"",IF($AE496*$AA477&gt;$AA501,"",IF(($AA$477*DX$476*$AE$496)&lt;=$AA$501,((MOD($AA$501,($AA$477*DX$476*$AE$496)))),"")))</f>
        <v/>
      </c>
      <c r="DY477" s="214" t="str">
        <f ca="1">IF($AE496*$AA477*'Customer Base'!$D$26*0.8&gt;5800,"",IF($AE496*$AA477&gt;$AA501,"",IF(($AA$477*DY$476*$AE$496)&lt;=$AA$501,((MOD($AA$501,($AA$477*DY$476*$AE$496)))),"")))</f>
        <v/>
      </c>
      <c r="DZ477" s="214" t="str">
        <f ca="1">IF($AE496*$AA477*'Customer Base'!$D$26*0.8&gt;5800,"",IF($AE496*$AA477&gt;$AA501,"",IF(($AA$477*DZ$476*$AE$496)&lt;=$AA$501,((MOD($AA$501,($AA$477*DZ$476*$AE$496)))),"")))</f>
        <v/>
      </c>
      <c r="EA477" s="214" t="str">
        <f ca="1">IF($AE496*$AA477*'Customer Base'!$D$26*0.8&gt;5800,"",IF($AE496*$AA477&gt;$AA501,"",IF(($AA$477*EA$476*$AE$496)&lt;=$AA$501,((MOD($AA$501,($AA$477*EA$476*$AE$496)))),"")))</f>
        <v/>
      </c>
      <c r="EC477" s="214" cm="1">
        <f t="array" aca="1" ref="EC477" ca="1">IFERROR(LOOKUP(2,1/(AF477:EA477&lt;&gt;""),AF$482:EA$482),"")</f>
        <v>20</v>
      </c>
      <c r="ED477" s="316" t="str" cm="1">
        <f t="array" aca="1" ref="ED477" ca="1">IF(EC$474=EC477,LOOKUP(2,1/(AF477:EA477&lt;&gt;""),AF477:EA477),"")</f>
        <v/>
      </c>
      <c r="EE477" s="316" t="str">
        <f ca="1">IF(ED477=ED$474,1,"")</f>
        <v/>
      </c>
      <c r="EF477" s="316"/>
      <c r="EG477" s="316"/>
      <c r="EH477" s="316"/>
      <c r="EI477" s="214">
        <v>2</v>
      </c>
      <c r="EJ477" s="315" t="s">
        <v>2698</v>
      </c>
      <c r="EK477" s="214">
        <f>IFERROR(MOD(EL$495,EI477),"")</f>
        <v>0</v>
      </c>
      <c r="EL477" s="214" t="str">
        <f>IF(OR(EL483=1,EL483=""),"",IF(AND(EK479&lt;&gt;0,EK478&lt;&gt;0,EK477=0),IF(EK477=0,EI477,""),IF(AND(MAX(EK477:EK479)&lt;=EI477,SUMPRODUCT(EL478:EL479,EM478:EM479)&lt;&gt;EL483),EI477,"")))</f>
        <v/>
      </c>
      <c r="EM477" s="214" t="str">
        <f>IFERROR(IF(AND(EL477&lt;&gt;"",OR(EL478&lt;&gt;"",EL479&lt;&gt;"")),1,(ROUNDDOWN(EL$495/EL477,0))),"")</f>
        <v/>
      </c>
      <c r="EN477" s="214">
        <f ca="1">IF($AE496*$AA477*'Customer Base'!$D$26*0.8&gt;5800,"",IF($AE496*$AA477&gt;$AA501,"",IF(($AA$477*EN$476*$AE$496)&lt;=$ED$474,((MOD($ED$474,($AA$477*EN$476*$AE$496)))),"")))</f>
        <v>0</v>
      </c>
      <c r="EO477" s="214">
        <f ca="1">IF($AE496*$AA477*'Customer Base'!$D$26*0.8&gt;5800,"",IF($AE496*$AA477&gt;$AA501,"",IF(($AA$477*EO$476*$AE$496)&lt;=$ED$474,((MOD($ED$474,($AA$477*EO$476*$AE$496)))),"")))</f>
        <v>0</v>
      </c>
      <c r="EP477" s="214" t="str">
        <f ca="1">IF($AE496*$AA477*'Customer Base'!$D$26*0.8&gt;5800,"",IF($AE496*$AA477&gt;$AA501,"",IF(($AA$477*EP$476*$AE$496)&lt;=$ED$474,((MOD($ED$474,($AA$477*EP$476*$AE$496)))),"")))</f>
        <v/>
      </c>
      <c r="EQ477" s="214" t="str">
        <f ca="1">IF($AE496*$AA477*'Customer Base'!$D$26*0.8&gt;5800,"",IF($AE496*$AA477&gt;$AA501,"",IF(($AA$477*EQ$476*$AE$496)&lt;=$ED$474,((MOD($ED$474,($AA$477*EQ$476*$AE$496)))),"")))</f>
        <v/>
      </c>
      <c r="ER477" s="214" t="str">
        <f ca="1">IF($AE496*$AA477*'Customer Base'!$D$26*0.8&gt;5800,"",IF($AE496*$AA477&gt;$AA501,"",IF(($AA$477*ER$476*$AE$496)&lt;=$ED$474,((MOD($ED$474,($AA$477*ER$476*$AE$496)))),"")))</f>
        <v/>
      </c>
      <c r="ES477" s="214" t="str">
        <f ca="1">IF($AE496*$AA477*'Customer Base'!$D$26*0.8&gt;5800,"",IF($AE496*$AA477&gt;$AA501,"",IF(($AA$477*ES$476*$AE$496)&lt;=$ED$474,((MOD($ED$474,($AA$477*ES$476*$AE$496)))),"")))</f>
        <v/>
      </c>
      <c r="ET477" s="214" t="str">
        <f ca="1">IF($AE496*$AA477*'Customer Base'!$D$26*0.8&gt;5800,"",IF($AE496*$AA477&gt;$AA501,"",IF(($AA$477*ET$476*$AE$496)&lt;=$ED$474,((MOD($ED$474,($AA$477*ET$476*$AE$496)))),"")))</f>
        <v/>
      </c>
      <c r="EU477" s="214" t="str">
        <f ca="1">IF($AE496*$AA477*'Customer Base'!$D$26*0.8&gt;5800,"",IF($AE496*$AA477&gt;$AA501,"",IF(($AA$477*EU$476*$AE$496)&lt;=$ED$474,((MOD($ED$474,($AA$477*EU$476*$AE$496)))),"")))</f>
        <v/>
      </c>
      <c r="EV477" s="214" t="str">
        <f ca="1">IF($AE496*$AA477*'Customer Base'!$D$26*0.8&gt;5800,"",IF($AE496*$AA477&gt;$AA501,"",IF(($AA$477*EV$476*$AE$496)&lt;=$ED$474,((MOD($ED$474,($AA$477*EV$476*$AE$496)))),"")))</f>
        <v/>
      </c>
      <c r="EW477" s="214" t="str">
        <f ca="1">IF($AE496*$AA477*'Customer Base'!$D$26*0.8&gt;5800,"",IF($AE496*$AA477&gt;$AA501,"",IF(($AA$477*EW$476*$AE$496)&lt;=$ED$474,((MOD($ED$474,($AA$477*EW$476*$AE$496)))),"")))</f>
        <v/>
      </c>
      <c r="EX477" s="214" t="str">
        <f ca="1">IF($AE496*$AA477*'Customer Base'!$D$26*0.8&gt;5800,"",IF($AE496*$AA477&gt;$AA501,"",IF(($AA$477*EX$476*$AE$496)&lt;=$ED$474,((MOD($ED$474,($AA$477*EX$476*$AE$496)))),"")))</f>
        <v/>
      </c>
      <c r="EY477" s="214" t="str">
        <f ca="1">IF($AE496*$AA477*'Customer Base'!$D$26*0.8&gt;5800,"",IF($AE496*$AA477&gt;$AA501,"",IF(($AA$477*EY$476*$AE$496)&lt;=$ED$474,((MOD($ED$474,($AA$477*EY$476*$AE$496)))),"")))</f>
        <v/>
      </c>
      <c r="EZ477" s="214" t="str">
        <f ca="1">IF($AE496*$AA477*'Customer Base'!$D$26*0.8&gt;5800,"",IF($AE496*$AA477&gt;$AA501,"",IF(($AA$477*EZ$476*$AE$496)&lt;=$ED$474,((MOD($ED$474,($AA$477*EZ$476*$AE$496)))),"")))</f>
        <v/>
      </c>
      <c r="FA477" s="214" t="str">
        <f ca="1">IF($AE496*$AA477*'Customer Base'!$D$26*0.8&gt;5800,"",IF($AE496*$AA477&gt;$AA501,"",IF(($AA$477*FA$476*$AE$496)&lt;=$ED$474,((MOD($ED$474,($AA$477*FA$476*$AE$496)))),"")))</f>
        <v/>
      </c>
      <c r="FB477" s="214" t="str">
        <f ca="1">IF($AE496*$AA477*'Customer Base'!$D$26*0.8&gt;5800,"",IF($AE496*$AA477&gt;$AA501,"",IF(($AA$477*FB$476*$AE$496)&lt;=$ED$474,((MOD($ED$474,($AA$477*FB$476*$AE$496)))),"")))</f>
        <v/>
      </c>
      <c r="FC477" s="214" t="str">
        <f ca="1">IF($AE496*$AA477*'Customer Base'!$D$26*0.8&gt;5800,"",IF($AE496*$AA477&gt;$AA501,"",IF(($AA$477*FC$476*$AE$496)&lt;=$ED$474,((MOD($ED$474,($AA$477*FC$476*$AE$496)))),"")))</f>
        <v/>
      </c>
      <c r="FD477" s="214" t="str">
        <f ca="1">IF($AE496*$AA477*'Customer Base'!$D$26*0.8&gt;5800,"",IF($AE496*$AA477&gt;$AA501,"",IF(($AA$477*FD$476*$AE$496)&lt;=$ED$474,((MOD($ED$474,($AA$477*FD$476*$AE$496)))),"")))</f>
        <v/>
      </c>
      <c r="FE477" s="214" t="str">
        <f ca="1">IF($AE496*$AA477*'Customer Base'!$D$26*0.8&gt;5800,"",IF($AE496*$AA477&gt;$AA501,"",IF(($AA$477*FE$476*$AE$496)&lt;=$ED$474,((MOD($ED$474,($AA$477*FE$476*$AE$496)))),"")))</f>
        <v/>
      </c>
      <c r="FF477" s="214" t="str">
        <f ca="1">IF($AE496*$AA477*'Customer Base'!$D$26*0.8&gt;5800,"",IF($AE496*$AA477&gt;$AA501,"",IF(($AA$477*FF$476*$AE$496)&lt;=$ED$474,((MOD($ED$474,($AA$477*FF$476*$AE$496)))),"")))</f>
        <v/>
      </c>
      <c r="FG477" s="214" t="str">
        <f ca="1">IF($AE496*$AA477*'Customer Base'!$D$26*0.8&gt;5800,"",IF($AE496*$AA477&gt;$AA501,"",IF(($AA$477*FG$476*$AE$496)&lt;=$ED$474,((MOD($ED$474,($AA$477*FG$476*$AE$496)))),"")))</f>
        <v/>
      </c>
      <c r="FH477" s="214" t="str">
        <f ca="1">IF($AE496*$AA477*'Customer Base'!$D$26*0.8&gt;5800,"",IF($AE496*$AA477&gt;$AA501,"",IF(($AA$477*FH$476*$AE$496)&lt;=$ED$474,((MOD($ED$474,($AA$477*FH$476*$AE$496)))),"")))</f>
        <v/>
      </c>
      <c r="FI477" s="214" t="str">
        <f ca="1">IF($AE496*$AA477*'Customer Base'!$D$26*0.8&gt;5800,"",IF($AE496*$AA477&gt;$AA501,"",IF(($AA$477*FI$476*$AE$496)&lt;=$ED$474,((MOD($ED$474,($AA$477*FI$476*$AE$496)))),"")))</f>
        <v/>
      </c>
      <c r="FJ477" s="214" t="str">
        <f ca="1">IF($AE496*$AA477*'Customer Base'!$D$26*0.8&gt;5800,"",IF($AE496*$AA477&gt;$AA501,"",IF(($AA$477*FJ$476*$AE$496)&lt;=$ED$474,((MOD($ED$474,($AA$477*FJ$476*$AE$496)))),"")))</f>
        <v/>
      </c>
      <c r="FK477" s="214" t="str">
        <f ca="1">IF($AE496*$AA477*'Customer Base'!$D$26*0.8&gt;5800,"",IF($AE496*$AA477&gt;$AA501,"",IF(($AA$477*FK$476*$AE$496)&lt;=$ED$474,((MOD($ED$474,($AA$477*FK$476*$AE$496)))),"")))</f>
        <v/>
      </c>
      <c r="FL477" s="214" t="str">
        <f ca="1">IF($AE496*$AA477*'Customer Base'!$D$26*0.8&gt;5800,"",IF($AE496*$AA477&gt;$AA501,"",IF(($AA$477*FL$476*$AE$496)&lt;=$ED$474,((MOD($ED$474,($AA$477*FL$476*$AE$496)))),"")))</f>
        <v/>
      </c>
      <c r="FM477" s="214" t="str">
        <f ca="1">IF($AE496*$AA477*'Customer Base'!$D$26*0.8&gt;5800,"",IF($AE496*$AA477&gt;$AA501,"",IF(($AA$477*FM$476*$AE$496)&lt;=$ED$474,((MOD($ED$474,($AA$477*FM$476*$AE$496)))),"")))</f>
        <v/>
      </c>
      <c r="FN477" s="214" t="str">
        <f ca="1">IF($AE496*$AA477*'Customer Base'!$D$26*0.8&gt;5800,"",IF($AE496*$AA477&gt;$AA501,"",IF(($AA$477*FN$476*$AE$496)&lt;=$ED$474,((MOD($ED$474,($AA$477*FN$476*$AE$496)))),"")))</f>
        <v/>
      </c>
      <c r="FO477" s="214" t="str">
        <f ca="1">IF($AE496*$AA477*'Customer Base'!$D$26*0.8&gt;5800,"",IF($AE496*$AA477&gt;$AA501,"",IF(($AA$477*FO$476*$AE$496)&lt;=$ED$474,((MOD($ED$474,($AA$477*FO$476*$AE$496)))),"")))</f>
        <v/>
      </c>
      <c r="FP477" s="214" t="str">
        <f ca="1">IF($AE496*$AA477*'Customer Base'!$D$26*0.8&gt;5800,"",IF($AE496*$AA477&gt;$AA501,"",IF(($AA$477*FP$476*$AE$496)&lt;=$ED$474,((MOD($ED$474,($AA$477*FP$476*$AE$496)))),"")))</f>
        <v/>
      </c>
      <c r="FQ477" s="214" t="str">
        <f ca="1">IF($AE496*$AA477*'Customer Base'!$D$26*0.8&gt;5800,"",IF($AE496*$AA477&gt;$AA501,"",IF(($AA$477*FQ$476*$AE$496)&lt;=$ED$474,((MOD($ED$474,($AA$477*FQ$476*$AE$496)))),"")))</f>
        <v/>
      </c>
      <c r="FR477" s="214" t="str">
        <f ca="1">IF($AE496*$AA477*'Customer Base'!$D$26*0.8&gt;5800,"",IF($AE496*$AA477&gt;$AA501,"",IF(($AA$477*FR$476*$AE$496)&lt;=$ED$474,((MOD($ED$474,($AA$477*FR$476*$AE$496)))),"")))</f>
        <v/>
      </c>
      <c r="FS477" s="214" t="str">
        <f ca="1">IF($AE496*$AA477*'Customer Base'!$D$26*0.8&gt;5800,"",IF($AE496*$AA477&gt;$AA501,"",IF(($AA$477*FS$476*$AE$496)&lt;=$ED$474,((MOD($ED$474,($AA$477*FS$476*$AE$496)))),"")))</f>
        <v/>
      </c>
      <c r="FT477" s="214" t="str">
        <f ca="1">IF($AE496*$AA477*'Customer Base'!$D$26*0.8&gt;5800,"",IF($AE496*$AA477&gt;$AA501,"",IF(($AA$477*FT$476*$AE$496)&lt;=$ED$474,((MOD($ED$474,($AA$477*FT$476*$AE$496)))),"")))</f>
        <v/>
      </c>
      <c r="FU477" s="214" t="str">
        <f ca="1">IF($AE496*$AA477*'Customer Base'!$D$26*0.8&gt;5800,"",IF($AE496*$AA477&gt;$AA501,"",IF(($AA$477*FU$476*$AE$496)&lt;=$ED$474,((MOD($ED$474,($AA$477*FU$476*$AE$496)))),"")))</f>
        <v/>
      </c>
      <c r="FV477" s="214" t="str">
        <f ca="1">IF($AE496*$AA477*'Customer Base'!$D$26*0.8&gt;5800,"",IF($AE496*$AA477&gt;$AA501,"",IF(($AA$477*FV$476*$AE$496)&lt;=$ED$474,((MOD($ED$474,($AA$477*FV$476*$AE$496)))),"")))</f>
        <v/>
      </c>
      <c r="FW477" s="214" t="str">
        <f ca="1">IF($AE496*$AA477*'Customer Base'!$D$26*0.8&gt;5800,"",IF($AE496*$AA477&gt;$AA501,"",IF(($AA$477*FW$476*$AE$496)&lt;=$ED$474,((MOD($ED$474,($AA$477*FW$476*$AE$496)))),"")))</f>
        <v/>
      </c>
      <c r="FX477" s="214" t="str">
        <f ca="1">IF($AE496*$AA477*'Customer Base'!$D$26*0.8&gt;5800,"",IF($AE496*$AA477&gt;$AA501,"",IF(($AA$477*FX$476*$AE$496)&lt;=$ED$474,((MOD($ED$474,($AA$477*FX$476*$AE$496)))),"")))</f>
        <v/>
      </c>
      <c r="FY477" s="214" t="str">
        <f ca="1">IF($AE496*$AA477*'Customer Base'!$D$26*0.8&gt;5800,"",IF($AE496*$AA477&gt;$AA501,"",IF(($AA$477*FY$476*$AE$496)&lt;=$ED$474,((MOD($ED$474,($AA$477*FY$476*$AE$496)))),"")))</f>
        <v/>
      </c>
      <c r="FZ477" s="214" t="str">
        <f ca="1">IF($AE496*$AA477*'Customer Base'!$D$26*0.8&gt;5800,"",IF($AE496*$AA477&gt;$AA501,"",IF(($AA$477*FZ$476*$AE$496)&lt;=$ED$474,((MOD($ED$474,($AA$477*FZ$476*$AE$496)))),"")))</f>
        <v/>
      </c>
      <c r="GA477" s="214" t="str">
        <f ca="1">IF($AE496*$AA477*'Customer Base'!$D$26*0.8&gt;5800,"",IF($AE496*$AA477&gt;$AA501,"",IF(($AA$477*GA$476*$AE$496)&lt;=$ED$474,((MOD($ED$474,($AA$477*GA$476*$AE$496)))),"")))</f>
        <v/>
      </c>
      <c r="GB477" s="214" t="str">
        <f ca="1">IF($AE496*$AA477*'Customer Base'!$D$26*0.8&gt;5800,"",IF($AE496*$AA477&gt;$AA501,"",IF(($AA$477*GB$476*$AE$496)&lt;=$ED$474,((MOD($ED$474,($AA$477*GB$476*$AE$496)))),"")))</f>
        <v/>
      </c>
      <c r="GC477" s="214" t="str">
        <f ca="1">IF($AE496*$AA477*'Customer Base'!$D$26*0.8&gt;5800,"",IF($AE496*$AA477&gt;$AA501,"",IF(($AA$477*GC$476*$AE$496)&lt;=$ED$474,((MOD($ED$474,($AA$477*GC$476*$AE$496)))),"")))</f>
        <v/>
      </c>
      <c r="GD477" s="214" t="str">
        <f ca="1">IF($AE496*$AA477*'Customer Base'!$D$26*0.8&gt;5800,"",IF($AE496*$AA477&gt;$AA501,"",IF(($AA$477*GD$476*$AE$496)&lt;=$ED$474,((MOD($ED$474,($AA$477*GD$476*$AE$496)))),"")))</f>
        <v/>
      </c>
      <c r="GE477" s="214" t="str">
        <f ca="1">IF($AE496*$AA477*'Customer Base'!$D$26*0.8&gt;5800,"",IF($AE496*$AA477&gt;$AA501,"",IF(($AA$477*GE$476*$AE$496)&lt;=$ED$474,((MOD($ED$474,($AA$477*GE$476*$AE$496)))),"")))</f>
        <v/>
      </c>
      <c r="GF477" s="214" t="str">
        <f ca="1">IF($AE496*$AA477*'Customer Base'!$D$26*0.8&gt;5800,"",IF($AE496*$AA477&gt;$AA501,"",IF(($AA$477*GF$476*$AE$496)&lt;=$ED$474,((MOD($ED$474,($AA$477*GF$476*$AE$496)))),"")))</f>
        <v/>
      </c>
      <c r="GG477" s="214" t="str">
        <f ca="1">IF($AE496*$AA477*'Customer Base'!$D$26*0.8&gt;5800,"",IF($AE496*$AA477&gt;$AA501,"",IF(($AA$477*GG$476*$AE$496)&lt;=$ED$474,((MOD($ED$474,($AA$477*GG$476*$AE$496)))),"")))</f>
        <v/>
      </c>
      <c r="GH477" s="214" t="str">
        <f ca="1">IF($AE496*$AA477*'Customer Base'!$D$26*0.8&gt;5800,"",IF($AE496*$AA477&gt;$AA501,"",IF(($AA$477*GH$476*$AE$496)&lt;=$ED$474,((MOD($ED$474,($AA$477*GH$476*$AE$496)))),"")))</f>
        <v/>
      </c>
      <c r="GI477" s="214" t="str">
        <f ca="1">IF($AE496*$AA477*'Customer Base'!$D$26*0.8&gt;5800,"",IF($AE496*$AA477&gt;$AA501,"",IF(($AA$477*GI$476*$AE$496)&lt;=$ED$474,((MOD($ED$474,($AA$477*GI$476*$AE$496)))),"")))</f>
        <v/>
      </c>
      <c r="GJ477" s="214" t="str">
        <f ca="1">IF($AE496*$AA477*'Customer Base'!$D$26*0.8&gt;5800,"",IF($AE496*$AA477&gt;$AA501,"",IF(($AA$477*GJ$476*$AE$496)&lt;=$ED$474,((MOD($ED$474,($AA$477*GJ$476*$AE$496)))),"")))</f>
        <v/>
      </c>
      <c r="GK477" s="214" t="str">
        <f ca="1">IF($AE496*$AA477*'Customer Base'!$D$26*0.8&gt;5800,"",IF($AE496*$AA477&gt;$AA501,"",IF(($AA$477*GK$476*$AE$496)&lt;=$ED$474,((MOD($ED$474,($AA$477*GK$476*$AE$496)))),"")))</f>
        <v/>
      </c>
      <c r="GL477" s="214" t="str">
        <f ca="1">IF($AE496*$AA477*'Customer Base'!$D$26*0.8&gt;5800,"",IF($AE496*$AA477&gt;$AA501,"",IF(($AA$477*GL$476*$AE$496)&lt;=$ED$474,((MOD($ED$474,($AA$477*GL$476*$AE$496)))),"")))</f>
        <v/>
      </c>
      <c r="GM477" s="214" t="str">
        <f ca="1">IF($AE496*$AA477*'Customer Base'!$D$26*0.8&gt;5800,"",IF($AE496*$AA477&gt;$AA501,"",IF(($AA$477*GM$476*$AE$496)&lt;=$ED$474,((MOD($ED$474,($AA$477*GM$476*$AE$496)))),"")))</f>
        <v/>
      </c>
      <c r="GN477" s="214" t="str">
        <f ca="1">IF($AE496*$AA477*'Customer Base'!$D$26*0.8&gt;5800,"",IF($AE496*$AA477&gt;$AA501,"",IF(($AA$477*GN$476*$AE$496)&lt;=$ED$474,((MOD($ED$474,($AA$477*GN$476*$AE$496)))),"")))</f>
        <v/>
      </c>
      <c r="GO477" s="214" t="str">
        <f ca="1">IF($AE496*$AA477*'Customer Base'!$D$26*0.8&gt;5800,"",IF($AE496*$AA477&gt;$AA501,"",IF(($AA$477*GO$476*$AE$496)&lt;=$ED$474,((MOD($ED$474,($AA$477*GO$476*$AE$496)))),"")))</f>
        <v/>
      </c>
      <c r="GP477" s="214" t="str">
        <f ca="1">IF($AE496*$AA477*'Customer Base'!$D$26*0.8&gt;5800,"",IF($AE496*$AA477&gt;$AA501,"",IF(($AA$477*GP$476*$AE$496)&lt;=$ED$474,((MOD($ED$474,($AA$477*GP$476*$AE$496)))),"")))</f>
        <v/>
      </c>
      <c r="GQ477" s="214" t="str">
        <f ca="1">IF($AE496*$AA477*'Customer Base'!$D$26*0.8&gt;5800,"",IF($AE496*$AA477&gt;$AA501,"",IF(($AA$477*GQ$476*$AE$496)&lt;=$ED$474,((MOD($ED$474,($AA$477*GQ$476*$AE$496)))),"")))</f>
        <v/>
      </c>
      <c r="GR477" s="214" t="str">
        <f ca="1">IF($AE496*$AA477*'Customer Base'!$D$26*0.8&gt;5800,"",IF($AE496*$AA477&gt;$AA501,"",IF(($AA$477*GR$476*$AE$496)&lt;=$ED$474,((MOD($ED$474,($AA$477*GR$476*$AE$496)))),"")))</f>
        <v/>
      </c>
      <c r="GS477" s="214" t="str">
        <f ca="1">IF($AE496*$AA477*'Customer Base'!$D$26*0.8&gt;5800,"",IF($AE496*$AA477&gt;$AA501,"",IF(($AA$477*GS$476*$AE$496)&lt;=$ED$474,((MOD($ED$474,($AA$477*GS$476*$AE$496)))),"")))</f>
        <v/>
      </c>
      <c r="GT477" s="214" t="str">
        <f ca="1">IF($AE496*$AA477*'Customer Base'!$D$26*0.8&gt;5800,"",IF($AE496*$AA477&gt;$AA501,"",IF(($AA$477*GT$476*$AE$496)&lt;=$ED$474,((MOD($ED$474,($AA$477*GT$476*$AE$496)))),"")))</f>
        <v/>
      </c>
      <c r="GU477" s="214" t="str">
        <f ca="1">IF($AE496*$AA477*'Customer Base'!$D$26*0.8&gt;5800,"",IF($AE496*$AA477&gt;$AA501,"",IF(($AA$477*GU$476*$AE$496)&lt;=$ED$474,((MOD($ED$474,($AA$477*GU$476*$AE$496)))),"")))</f>
        <v/>
      </c>
      <c r="GV477" s="214" t="str">
        <f ca="1">IF($AE496*$AA477*'Customer Base'!$D$26*0.8&gt;5800,"",IF($AE496*$AA477&gt;$AA501,"",IF(($AA$477*GV$476*$AE$496)&lt;=$ED$474,((MOD($ED$474,($AA$477*GV$476*$AE$496)))),"")))</f>
        <v/>
      </c>
      <c r="GW477" s="214" t="str">
        <f ca="1">IF($AE496*$AA477*'Customer Base'!$D$26*0.8&gt;5800,"",IF($AE496*$AA477&gt;$AA501,"",IF(($AA$477*GW$476*$AE$496)&lt;=$ED$474,((MOD($ED$474,($AA$477*GW$476*$AE$496)))),"")))</f>
        <v/>
      </c>
      <c r="GX477" s="214" t="str">
        <f ca="1">IF($AE496*$AA477*'Customer Base'!$D$26*0.8&gt;5800,"",IF($AE496*$AA477&gt;$AA501,"",IF(($AA$477*GX$476*$AE$496)&lt;=$ED$474,((MOD($ED$474,($AA$477*GX$476*$AE$496)))),"")))</f>
        <v/>
      </c>
      <c r="GY477" s="214" t="str">
        <f ca="1">IF($AE496*$AA477*'Customer Base'!$D$26*0.8&gt;5800,"",IF($AE496*$AA477&gt;$AA501,"",IF(($AA$477*GY$476*$AE$496)&lt;=$ED$474,((MOD($ED$474,($AA$477*GY$476*$AE$496)))),"")))</f>
        <v/>
      </c>
      <c r="GZ477" s="214" t="str">
        <f ca="1">IF($AE496*$AA477*'Customer Base'!$D$26*0.8&gt;5800,"",IF($AE496*$AA477&gt;$AA501,"",IF(($AA$477*GZ$476*$AE$496)&lt;=$ED$474,((MOD($ED$474,($AA$477*GZ$476*$AE$496)))),"")))</f>
        <v/>
      </c>
      <c r="HA477" s="214" t="str">
        <f ca="1">IF($AE496*$AA477*'Customer Base'!$D$26*0.8&gt;5800,"",IF($AE496*$AA477&gt;$AA501,"",IF(($AA$477*HA$476*$AE$496)&lt;=$ED$474,((MOD($ED$474,($AA$477*HA$476*$AE$496)))),"")))</f>
        <v/>
      </c>
      <c r="HB477" s="214" t="str">
        <f ca="1">IF($AE496*$AA477*'Customer Base'!$D$26*0.8&gt;5800,"",IF($AE496*$AA477&gt;$AA501,"",IF(($AA$477*HB$476*$AE$496)&lt;=$ED$474,((MOD($ED$474,($AA$477*HB$476*$AE$496)))),"")))</f>
        <v/>
      </c>
      <c r="HC477" s="214" t="str">
        <f ca="1">IF($AE496*$AA477*'Customer Base'!$D$26*0.8&gt;5800,"",IF($AE496*$AA477&gt;$AA501,"",IF(($AA$477*HC$476*$AE$496)&lt;=$ED$474,((MOD($ED$474,($AA$477*HC$476*$AE$496)))),"")))</f>
        <v/>
      </c>
      <c r="HD477" s="214" t="str">
        <f ca="1">IF($AE496*$AA477*'Customer Base'!$D$26*0.8&gt;5800,"",IF($AE496*$AA477&gt;$AA501,"",IF(($AA$477*HD$476*$AE$496)&lt;=$ED$474,((MOD($ED$474,($AA$477*HD$476*$AE$496)))),"")))</f>
        <v/>
      </c>
      <c r="HE477" s="214" t="str">
        <f ca="1">IF($AE496*$AA477*'Customer Base'!$D$26*0.8&gt;5800,"",IF($AE496*$AA477&gt;$AA501,"",IF(($AA$477*HE$476*$AE$496)&lt;=$ED$474,((MOD($ED$474,($AA$477*HE$476*$AE$496)))),"")))</f>
        <v/>
      </c>
      <c r="HF477" s="214" t="str">
        <f ca="1">IF($AE496*$AA477*'Customer Base'!$D$26*0.8&gt;5800,"",IF($AE496*$AA477&gt;$AA501,"",IF(($AA$477*HF$476*$AE$496)&lt;=$ED$474,((MOD($ED$474,($AA$477*HF$476*$AE$496)))),"")))</f>
        <v/>
      </c>
      <c r="HG477" s="214" t="str">
        <f ca="1">IF($AE496*$AA477*'Customer Base'!$D$26*0.8&gt;5800,"",IF($AE496*$AA477&gt;$AA501,"",IF(($AA$477*HG$476*$AE$496)&lt;=$ED$474,((MOD($ED$474,($AA$477*HG$476*$AE$496)))),"")))</f>
        <v/>
      </c>
      <c r="HH477" s="214" t="str">
        <f ca="1">IF($AE496*$AA477*'Customer Base'!$D$26*0.8&gt;5800,"",IF($AE496*$AA477&gt;$AA501,"",IF(($AA$477*HH$476*$AE$496)&lt;=$ED$474,((MOD($ED$474,($AA$477*HH$476*$AE$496)))),"")))</f>
        <v/>
      </c>
      <c r="HI477" s="214" t="str">
        <f ca="1">IF($AE496*$AA477*'Customer Base'!$D$26*0.8&gt;5800,"",IF($AE496*$AA477&gt;$AA501,"",IF(($AA$477*HI$476*$AE$496)&lt;=$ED$474,((MOD($ED$474,($AA$477*HI$476*$AE$496)))),"")))</f>
        <v/>
      </c>
      <c r="HJ477" s="214" t="str">
        <f ca="1">IF($AE496*$AA477*'Customer Base'!$D$26*0.8&gt;5800,"",IF($AE496*$AA477&gt;$AA501,"",IF(($AA$477*HJ$476*$AE$496)&lt;=$ED$474,((MOD($ED$474,($AA$477*HJ$476*$AE$496)))),"")))</f>
        <v/>
      </c>
      <c r="HK477" s="214" t="str">
        <f ca="1">IF($AE496*$AA477*'Customer Base'!$D$26*0.8&gt;5800,"",IF($AE496*$AA477&gt;$AA501,"",IF(($AA$477*HK$476*$AE$496)&lt;=$ED$474,((MOD($ED$474,($AA$477*HK$476*$AE$496)))),"")))</f>
        <v/>
      </c>
      <c r="HL477" s="214" t="str">
        <f ca="1">IF($AE496*$AA477*'Customer Base'!$D$26*0.8&gt;5800,"",IF($AE496*$AA477&gt;$AA501,"",IF(($AA$477*HL$476*$AE$496)&lt;=$ED$474,((MOD($ED$474,($AA$477*HL$476*$AE$496)))),"")))</f>
        <v/>
      </c>
      <c r="HM477" s="214" t="str">
        <f ca="1">IF($AE496*$AA477*'Customer Base'!$D$26*0.8&gt;5800,"",IF($AE496*$AA477&gt;$AA501,"",IF(($AA$477*HM$476*$AE$496)&lt;=$ED$474,((MOD($ED$474,($AA$477*HM$476*$AE$496)))),"")))</f>
        <v/>
      </c>
      <c r="HN477" s="214" t="str">
        <f ca="1">IF($AE496*$AA477*'Customer Base'!$D$26*0.8&gt;5800,"",IF($AE496*$AA477&gt;$AA501,"",IF(($AA$477*HN$476*$AE$496)&lt;=$ED$474,((MOD($ED$474,($AA$477*HN$476*$AE$496)))),"")))</f>
        <v/>
      </c>
      <c r="HO477" s="214" t="str">
        <f ca="1">IF($AE496*$AA477*'Customer Base'!$D$26*0.8&gt;5800,"",IF($AE496*$AA477&gt;$AA501,"",IF(($AA$477*HO$476*$AE$496)&lt;=$ED$474,((MOD($ED$474,($AA$477*HO$476*$AE$496)))),"")))</f>
        <v/>
      </c>
      <c r="HP477" s="214" t="str">
        <f ca="1">IF($AE496*$AA477*'Customer Base'!$D$26*0.8&gt;5800,"",IF($AE496*$AA477&gt;$AA501,"",IF(($AA$477*HP$476*$AE$496)&lt;=$ED$474,((MOD($ED$474,($AA$477*HP$476*$AE$496)))),"")))</f>
        <v/>
      </c>
      <c r="HQ477" s="214" t="str">
        <f ca="1">IF($AE496*$AA477*'Customer Base'!$D$26*0.8&gt;5800,"",IF($AE496*$AA477&gt;$AA501,"",IF(($AA$477*HQ$476*$AE$496)&lt;=$ED$474,((MOD($ED$474,($AA$477*HQ$476*$AE$496)))),"")))</f>
        <v/>
      </c>
      <c r="HR477" s="214" t="str">
        <f ca="1">IF($AE496*$AA477*'Customer Base'!$D$26*0.8&gt;5800,"",IF($AE496*$AA477&gt;$AA501,"",IF(($AA$477*HR$476*$AE$496)&lt;=$ED$474,((MOD($ED$474,($AA$477*HR$476*$AE$496)))),"")))</f>
        <v/>
      </c>
      <c r="HS477" s="214" t="str">
        <f ca="1">IF($AE496*$AA477*'Customer Base'!$D$26*0.8&gt;5800,"",IF($AE496*$AA477&gt;$AA501,"",IF(($AA$477*HS$476*$AE$496)&lt;=$ED$474,((MOD($ED$474,($AA$477*HS$476*$AE$496)))),"")))</f>
        <v/>
      </c>
      <c r="HT477" s="214" t="str">
        <f ca="1">IF($AE496*$AA477*'Customer Base'!$D$26*0.8&gt;5800,"",IF($AE496*$AA477&gt;$AA501,"",IF(($AA$477*HT$476*$AE$496)&lt;=$ED$474,((MOD($ED$474,($AA$477*HT$476*$AE$496)))),"")))</f>
        <v/>
      </c>
      <c r="HU477" s="214" t="str">
        <f ca="1">IF($AE496*$AA477*'Customer Base'!$D$26*0.8&gt;5800,"",IF($AE496*$AA477&gt;$AA501,"",IF(($AA$477*HU$476*$AE$496)&lt;=$ED$474,((MOD($ED$474,($AA$477*HU$476*$AE$496)))),"")))</f>
        <v/>
      </c>
      <c r="HV477" s="214" t="str">
        <f ca="1">IF($AE496*$AA477*'Customer Base'!$D$26*0.8&gt;5800,"",IF($AE496*$AA477&gt;$AA501,"",IF(($AA$477*HV$476*$AE$496)&lt;=$ED$474,((MOD($ED$474,($AA$477*HV$476*$AE$496)))),"")))</f>
        <v/>
      </c>
      <c r="HW477" s="214" t="str">
        <f ca="1">IF($AE496*$AA477*'Customer Base'!$D$26*0.8&gt;5800,"",IF($AE496*$AA477&gt;$AA501,"",IF(($AA$477*HW$476*$AE$496)&lt;=$ED$474,((MOD($ED$474,($AA$477*HW$476*$AE$496)))),"")))</f>
        <v/>
      </c>
      <c r="HX477" s="214" t="str">
        <f ca="1">IF($AE496*$AA477*'Customer Base'!$D$26*0.8&gt;5800,"",IF($AE496*$AA477&gt;$AA501,"",IF(($AA$477*HX$476*$AE$496)&lt;=$ED$474,((MOD($ED$474,($AA$477*HX$476*$AE$496)))),"")))</f>
        <v/>
      </c>
      <c r="HY477" s="214" t="str">
        <f ca="1">IF($AE496*$AA477*'Customer Base'!$D$26*0.8&gt;5800,"",IF($AE496*$AA477&gt;$AA501,"",IF(($AA$477*HY$476*$AE$496)&lt;=$ED$474,((MOD($ED$474,($AA$477*HY$476*$AE$496)))),"")))</f>
        <v/>
      </c>
      <c r="HZ477" s="214" t="str">
        <f ca="1">IF($AE496*$AA477*'Customer Base'!$D$26*0.8&gt;5800,"",IF($AE496*$AA477&gt;$AA501,"",IF(($AA$477*HZ$476*$AE$496)&lt;=$ED$474,((MOD($ED$474,($AA$477*HZ$476*$AE$496)))),"")))</f>
        <v/>
      </c>
      <c r="IA477" s="214" t="str">
        <f ca="1">IF($AE496*$AA477*'Customer Base'!$D$26*0.8&gt;5800,"",IF($AE496*$AA477&gt;$AA501,"",IF(($AA$477*IA$476*$AE$496)&lt;=$ED$474,((MOD($ED$474,($AA$477*IA$476*$AE$496)))),"")))</f>
        <v/>
      </c>
      <c r="IB477" s="214" t="str">
        <f ca="1">IF($AE496*$AA477*'Customer Base'!$D$26*0.8&gt;5800,"",IF($AE496*$AA477&gt;$AA501,"",IF(($AA$477*IB$476*$AE$496)&lt;=$ED$474,((MOD($ED$474,($AA$477*IB$476*$AE$496)))),"")))</f>
        <v/>
      </c>
      <c r="IC477" s="214" t="str">
        <f ca="1">IF($AE496*$AA477*'Customer Base'!$D$26*0.8&gt;5800,"",IF($AE496*$AA477&gt;$AA501,"",IF(($AA$477*IC$476*$AE$496)&lt;=$ED$474,((MOD($ED$474,($AA$477*IC$476*$AE$496)))),"")))</f>
        <v/>
      </c>
      <c r="ID477" s="214" t="str">
        <f ca="1">IF($AE496*$AA477*'Customer Base'!$D$26*0.8&gt;5800,"",IF($AE496*$AA477&gt;$AA501,"",IF(($AA$477*ID$476*$AE$496)&lt;=$ED$474,((MOD($ED$474,($AA$477*ID$476*$AE$496)))),"")))</f>
        <v/>
      </c>
      <c r="IE477" s="214" t="str">
        <f ca="1">IF($AE496*$AA477*'Customer Base'!$D$26*0.8&gt;5800,"",IF($AE496*$AA477&gt;$AA501,"",IF(($AA$477*IE$476*$AE$496)&lt;=$ED$474,((MOD($ED$474,($AA$477*IE$476*$AE$496)))),"")))</f>
        <v/>
      </c>
      <c r="IF477" s="214" t="str">
        <f ca="1">IF($AE496*$AA477*'Customer Base'!$D$26*0.8&gt;5800,"",IF($AE496*$AA477&gt;$AA501,"",IF(($AA$477*IF$476*$AE$496)&lt;=$ED$474,((MOD($ED$474,($AA$477*IF$476*$AE$496)))),"")))</f>
        <v/>
      </c>
      <c r="IG477" s="214" t="str">
        <f ca="1">IF($AE496*$AA477*'Customer Base'!$D$26*0.8&gt;5800,"",IF($AE496*$AA477&gt;$AA501,"",IF(($AA$477*IG$476*$AE$496)&lt;=$ED$474,((MOD($ED$474,($AA$477*IG$476*$AE$496)))),"")))</f>
        <v/>
      </c>
      <c r="IH477" s="214" t="str">
        <f ca="1">IF($AE496*$AA477*'Customer Base'!$D$26*0.8&gt;5800,"",IF($AE496*$AA477&gt;$AA501,"",IF(($AA$477*IH$476*$AE$496)&lt;=$ED$474,((MOD($ED$474,($AA$477*IH$476*$AE$496)))),"")))</f>
        <v/>
      </c>
      <c r="II477" s="214" t="str">
        <f ca="1">IF($AE496*$AA477*'Customer Base'!$D$26*0.8&gt;5800,"",IF($AE496*$AA477&gt;$AA501,"",IF(($AA$477*II$476*$AE$496)&lt;=$ED$474,((MOD($ED$474,($AA$477*II$476*$AE$496)))),"")))</f>
        <v/>
      </c>
      <c r="IK477" s="214" cm="1">
        <f t="array" aca="1" ref="IK477" ca="1">IFERROR(LOOKUP(2,1/(EN477:II477&lt;&gt;""),EN$482:II$482),"")</f>
        <v>2</v>
      </c>
      <c r="IL477" s="316" t="str" cm="1">
        <f t="array" aca="1" ref="IL477" ca="1">IF(IK$474=IK477,LOOKUP(2,1/(EN477:II477&lt;&gt;""),EN477:II477),"")</f>
        <v/>
      </c>
      <c r="IM477" s="316" t="str">
        <f ca="1">IF(IL477=IL$474,1,"")</f>
        <v/>
      </c>
    </row>
    <row r="478" spans="2:250" ht="17">
      <c r="B478" s="211" t="s">
        <v>1332</v>
      </c>
      <c r="C478" s="212" t="s">
        <v>81</v>
      </c>
      <c r="D478" s="212" t="s">
        <v>217</v>
      </c>
      <c r="E478" s="215" t="s">
        <v>1333</v>
      </c>
      <c r="F478" s="107" t="str">
        <f t="shared" si="15"/>
        <v>E</v>
      </c>
      <c r="AA478" s="214">
        <v>3</v>
      </c>
      <c r="AB478" s="316" t="s">
        <v>2699</v>
      </c>
      <c r="AC478" s="214">
        <f ca="1">IFERROR(MOD(AD$493,AA478),"")</f>
        <v>1</v>
      </c>
      <c r="AD478" s="214" t="str">
        <f ca="1">IF(OR(AD483=1,AD483=""),"",IF(AND(AC479&lt;&gt;0,AC478=0),IF(AC478=0,AA478,""),IF(AND(MAX(AC477:AC479)=AA478,SUMPRODUCT(AD479,AE479)&lt;&gt;AD483),AA478,"")))</f>
        <v/>
      </c>
      <c r="AE478" s="214" t="str">
        <f ca="1">IFERROR(IF(COUNT(AD478:AD479)&gt;1,1,(ROUNDDOWN(AD$493/AD478,0))),"")</f>
        <v/>
      </c>
      <c r="AF478" s="214">
        <f ca="1">IF($AE496*$AA478*'Customer Base'!$D$26*0.8&gt;5800,"",IF($AE496*$AA478&gt;$AA501,"",IF(($AA$478*AF$476*$AE$496)&lt;=$AA$501,((MOD($AA$501,($AA$478*AF$476*$AE$496)))),"")))</f>
        <v>1</v>
      </c>
      <c r="AG478" s="214">
        <f ca="1">IF($AE496*$AA478*'Customer Base'!$D$26*0.8&gt;5800,"",IF($AE496*$AA478&gt;$AA501,"",IF(($AA$478*AG$476*$AE$496)&lt;=$AA$501,((MOD($AA$501,($AA$478*AG$476*$AE$496)))),"")))</f>
        <v>4</v>
      </c>
      <c r="AH478" s="214">
        <f ca="1">IF($AE496*$AA478*'Customer Base'!$D$26*0.8&gt;5800,"",IF($AE496*$AA478&gt;$AA501,"",IF(($AA$478*AH$476*$AE$496)&lt;=$AA$501,((MOD($AA$501,($AA$478*AH$476*$AE$496)))),"")))</f>
        <v>4</v>
      </c>
      <c r="AI478" s="214">
        <f ca="1">IF($AE496*$AA478*'Customer Base'!$D$26*0.8&gt;5800,"",IF($AE496*$AA478&gt;$AA501,"",IF(($AA$478*AI$476*$AE$496)&lt;=$AA$501,((MOD($AA$501,($AA$478*AI$476*$AE$496)))),"")))</f>
        <v>4</v>
      </c>
      <c r="AJ478" s="214">
        <f ca="1">IF($AE496*$AA478*'Customer Base'!$D$26*0.8&gt;5800,"",IF($AE496*$AA478&gt;$AA501,"",IF(($AA$478*AJ$476*$AE$496)&lt;=$AA$501,((MOD($AA$501,($AA$478*AJ$476*$AE$496)))),"")))</f>
        <v>10</v>
      </c>
      <c r="AK478" s="214">
        <f ca="1">IF($AE496*$AA478*'Customer Base'!$D$26*0.8&gt;5800,"",IF($AE496*$AA478&gt;$AA501,"",IF(($AA$478*AK$476*$AE$496)&lt;=$AA$501,((MOD($AA$501,($AA$478*AK$476*$AE$496)))),"")))</f>
        <v>4</v>
      </c>
      <c r="AL478" s="214">
        <f ca="1">IF($AE496*$AA478*'Customer Base'!$D$26*0.8&gt;5800,"",IF($AE496*$AA478&gt;$AA501,"",IF(($AA$478*AL$476*$AE$496)&lt;=$AA$501,((MOD($AA$501,($AA$478*AL$476*$AE$496)))),"")))</f>
        <v>19</v>
      </c>
      <c r="AM478" s="214">
        <f ca="1">IF($AE496*$AA478*'Customer Base'!$D$26*0.8&gt;5800,"",IF($AE496*$AA478&gt;$AA501,"",IF(($AA$478*AM$476*$AE$496)&lt;=$AA$501,((MOD($AA$501,($AA$478*AM$476*$AE$496)))),"")))</f>
        <v>16</v>
      </c>
      <c r="AN478" s="214">
        <f ca="1">IF($AE496*$AA478*'Customer Base'!$D$26*0.8&gt;5800,"",IF($AE496*$AA478&gt;$AA501,"",IF(($AA$478*AN$476*$AE$496)&lt;=$AA$501,((MOD($AA$501,($AA$478*AN$476*$AE$496)))),"")))</f>
        <v>13</v>
      </c>
      <c r="AO478" s="214">
        <f ca="1">IF($AE496*$AA478*'Customer Base'!$D$26*0.8&gt;5800,"",IF($AE496*$AA478&gt;$AA501,"",IF(($AA$478*AO$476*$AE$496)&lt;=$AA$501,((MOD($AA$501,($AA$478*AO$476*$AE$496)))),"")))</f>
        <v>10</v>
      </c>
      <c r="AP478" s="214">
        <f ca="1">IF($AE496*$AA478*'Customer Base'!$D$26*0.8&gt;5800,"",IF($AE496*$AA478&gt;$AA501,"",IF(($AA$478*AP$476*$AE$496)&lt;=$AA$501,((MOD($AA$501,($AA$478*AP$476*$AE$496)))),"")))</f>
        <v>7</v>
      </c>
      <c r="AQ478" s="214">
        <f ca="1">IF($AE496*$AA478*'Customer Base'!$D$26*0.8&gt;5800,"",IF($AE496*$AA478&gt;$AA501,"",IF(($AA$478*AQ$476*$AE$496)&lt;=$AA$501,((MOD($AA$501,($AA$478*AQ$476*$AE$496)))),"")))</f>
        <v>4</v>
      </c>
      <c r="AR478" s="214">
        <f ca="1">IF($AE496*$AA478*'Customer Base'!$D$26*0.8&gt;5800,"",IF($AE496*$AA478&gt;$AA501,"",IF(($AA$478*AR$476*$AE$496)&lt;=$AA$501,((MOD($AA$501,($AA$478*AR$476*$AE$496)))),"")))</f>
        <v>1</v>
      </c>
      <c r="AS478" s="214" t="str">
        <f ca="1">IF($AE496*$AA478*'Customer Base'!$D$26*0.8&gt;5800,"",IF($AE496*$AA478&gt;$AA501,"",IF(($AA$478*AS$476*$AE$496)&lt;=$AA$501,((MOD($AA$501,($AA$478*AS$476*$AE$496)))),"")))</f>
        <v/>
      </c>
      <c r="AT478" s="214" t="str">
        <f ca="1">IF($AE496*$AA478*'Customer Base'!$D$26*0.8&gt;5800,"",IF($AE496*$AA478&gt;$AA501,"",IF(($AA$478*AT$476*$AE$496)&lt;=$AA$501,((MOD($AA$501,($AA$478*AT$476*$AE$496)))),"")))</f>
        <v/>
      </c>
      <c r="AU478" s="214" t="str">
        <f ca="1">IF($AE496*$AA478*'Customer Base'!$D$26*0.8&gt;5800,"",IF($AE496*$AA478&gt;$AA501,"",IF(($AA$478*AU$476*$AE$496)&lt;=$AA$501,((MOD($AA$501,($AA$478*AU$476*$AE$496)))),"")))</f>
        <v/>
      </c>
      <c r="AV478" s="214" t="str">
        <f ca="1">IF($AE496*$AA478*'Customer Base'!$D$26*0.8&gt;5800,"",IF($AE496*$AA478&gt;$AA501,"",IF(($AA$478*AV$476*$AE$496)&lt;=$AA$501,((MOD($AA$501,($AA$478*AV$476*$AE$496)))),"")))</f>
        <v/>
      </c>
      <c r="AW478" s="214" t="str">
        <f ca="1">IF($AE496*$AA478*'Customer Base'!$D$26*0.8&gt;5800,"",IF($AE496*$AA478&gt;$AA501,"",IF(($AA$478*AW$476*$AE$496)&lt;=$AA$501,((MOD($AA$501,($AA$478*AW$476*$AE$496)))),"")))</f>
        <v/>
      </c>
      <c r="AX478" s="214" t="str">
        <f ca="1">IF($AE496*$AA478*'Customer Base'!$D$26*0.8&gt;5800,"",IF($AE496*$AA478&gt;$AA501,"",IF(($AA$478*AX$476*$AE$496)&lt;=$AA$501,((MOD($AA$501,($AA$478*AX$476*$AE$496)))),"")))</f>
        <v/>
      </c>
      <c r="AY478" s="214" t="str">
        <f ca="1">IF($AE496*$AA478*'Customer Base'!$D$26*0.8&gt;5800,"",IF($AE496*$AA478&gt;$AA501,"",IF(($AA$478*AY$476*$AE$496)&lt;=$AA$501,((MOD($AA$501,($AA$478*AY$476*$AE$496)))),"")))</f>
        <v/>
      </c>
      <c r="AZ478" s="214" t="str">
        <f ca="1">IF($AE496*$AA478*'Customer Base'!$D$26*0.8&gt;5800,"",IF($AE496*$AA478&gt;$AA501,"",IF(($AA$478*AZ$476*$AE$496)&lt;=$AA$501,((MOD($AA$501,($AA$478*AZ$476*$AE$496)))),"")))</f>
        <v/>
      </c>
      <c r="BA478" s="214" t="str">
        <f ca="1">IF($AE496*$AA478*'Customer Base'!$D$26*0.8&gt;5800,"",IF($AE496*$AA478&gt;$AA501,"",IF(($AA$478*BA$476*$AE$496)&lt;=$AA$501,((MOD($AA$501,($AA$478*BA$476*$AE$496)))),"")))</f>
        <v/>
      </c>
      <c r="BB478" s="214" t="str">
        <f ca="1">IF($AE496*$AA478*'Customer Base'!$D$26*0.8&gt;5800,"",IF($AE496*$AA478&gt;$AA501,"",IF(($AA$478*BB$476*$AE$496)&lt;=$AA$501,((MOD($AA$501,($AA$478*BB$476*$AE$496)))),"")))</f>
        <v/>
      </c>
      <c r="BC478" s="214" t="str">
        <f ca="1">IF($AE496*$AA478*'Customer Base'!$D$26*0.8&gt;5800,"",IF($AE496*$AA478&gt;$AA501,"",IF(($AA$478*BC$476*$AE$496)&lt;=$AA$501,((MOD($AA$501,($AA$478*BC$476*$AE$496)))),"")))</f>
        <v/>
      </c>
      <c r="BD478" s="214" t="str">
        <f ca="1">IF($AE496*$AA478*'Customer Base'!$D$26*0.8&gt;5800,"",IF($AE496*$AA478&gt;$AA501,"",IF(($AA$478*BD$476*$AE$496)&lt;=$AA$501,((MOD($AA$501,($AA$478*BD$476*$AE$496)))),"")))</f>
        <v/>
      </c>
      <c r="BE478" s="214" t="str">
        <f ca="1">IF($AE496*$AA478*'Customer Base'!$D$26*0.8&gt;5800,"",IF($AE496*$AA478&gt;$AA501,"",IF(($AA$478*BE$476*$AE$496)&lt;=$AA$501,((MOD($AA$501,($AA$478*BE$476*$AE$496)))),"")))</f>
        <v/>
      </c>
      <c r="BF478" s="214" t="str">
        <f ca="1">IF($AE496*$AA478*'Customer Base'!$D$26*0.8&gt;5800,"",IF($AE496*$AA478&gt;$AA501,"",IF(($AA$478*BF$476*$AE$496)&lt;=$AA$501,((MOD($AA$501,($AA$478*BF$476*$AE$496)))),"")))</f>
        <v/>
      </c>
      <c r="BG478" s="214" t="str">
        <f ca="1">IF($AE496*$AA478*'Customer Base'!$D$26*0.8&gt;5800,"",IF($AE496*$AA478&gt;$AA501,"",IF(($AA$478*BG$476*$AE$496)&lt;=$AA$501,((MOD($AA$501,($AA$478*BG$476*$AE$496)))),"")))</f>
        <v/>
      </c>
      <c r="BH478" s="214" t="str">
        <f ca="1">IF($AE496*$AA478*'Customer Base'!$D$26*0.8&gt;5800,"",IF($AE496*$AA478&gt;$AA501,"",IF(($AA$478*BH$476*$AE$496)&lt;=$AA$501,((MOD($AA$501,($AA$478*BH$476*$AE$496)))),"")))</f>
        <v/>
      </c>
      <c r="BI478" s="214" t="str">
        <f ca="1">IF($AE496*$AA478*'Customer Base'!$D$26*0.8&gt;5800,"",IF($AE496*$AA478&gt;$AA501,"",IF(($AA$478*BI$476*$AE$496)&lt;=$AA$501,((MOD($AA$501,($AA$478*BI$476*$AE$496)))),"")))</f>
        <v/>
      </c>
      <c r="BJ478" s="214" t="str">
        <f ca="1">IF($AE496*$AA478*'Customer Base'!$D$26*0.8&gt;5800,"",IF($AE496*$AA478&gt;$AA501,"",IF(($AA$478*BJ$476*$AE$496)&lt;=$AA$501,((MOD($AA$501,($AA$478*BJ$476*$AE$496)))),"")))</f>
        <v/>
      </c>
      <c r="BK478" s="214" t="str">
        <f ca="1">IF($AE496*$AA478*'Customer Base'!$D$26*0.8&gt;5800,"",IF($AE496*$AA478&gt;$AA501,"",IF(($AA$478*BK$476*$AE$496)&lt;=$AA$501,((MOD($AA$501,($AA$478*BK$476*$AE$496)))),"")))</f>
        <v/>
      </c>
      <c r="BL478" s="214" t="str">
        <f ca="1">IF($AE496*$AA478*'Customer Base'!$D$26*0.8&gt;5800,"",IF($AE496*$AA478&gt;$AA501,"",IF(($AA$478*BL$476*$AE$496)&lt;=$AA$501,((MOD($AA$501,($AA$478*BL$476*$AE$496)))),"")))</f>
        <v/>
      </c>
      <c r="BM478" s="214" t="str">
        <f ca="1">IF($AE496*$AA478*'Customer Base'!$D$26*0.8&gt;5800,"",IF($AE496*$AA478&gt;$AA501,"",IF(($AA$478*BM$476*$AE$496)&lt;=$AA$501,((MOD($AA$501,($AA$478*BM$476*$AE$496)))),"")))</f>
        <v/>
      </c>
      <c r="BN478" s="214" t="str">
        <f ca="1">IF($AE496*$AA478*'Customer Base'!$D$26*0.8&gt;5800,"",IF($AE496*$AA478&gt;$AA501,"",IF(($AA$478*BN$476*$AE$496)&lt;=$AA$501,((MOD($AA$501,($AA$478*BN$476*$AE$496)))),"")))</f>
        <v/>
      </c>
      <c r="BO478" s="214" t="str">
        <f ca="1">IF($AE496*$AA478*'Customer Base'!$D$26*0.8&gt;5800,"",IF($AE496*$AA478&gt;$AA501,"",IF(($AA$478*BO$476*$AE$496)&lt;=$AA$501,((MOD($AA$501,($AA$478*BO$476*$AE$496)))),"")))</f>
        <v/>
      </c>
      <c r="BP478" s="214" t="str">
        <f ca="1">IF($AE496*$AA478*'Customer Base'!$D$26*0.8&gt;5800,"",IF($AE496*$AA478&gt;$AA501,"",IF(($AA$478*BP$476*$AE$496)&lt;=$AA$501,((MOD($AA$501,($AA$478*BP$476*$AE$496)))),"")))</f>
        <v/>
      </c>
      <c r="BQ478" s="214" t="str">
        <f ca="1">IF($AE496*$AA478*'Customer Base'!$D$26*0.8&gt;5800,"",IF($AE496*$AA478&gt;$AA501,"",IF(($AA$478*BQ$476*$AE$496)&lt;=$AA$501,((MOD($AA$501,($AA$478*BQ$476*$AE$496)))),"")))</f>
        <v/>
      </c>
      <c r="BR478" s="214" t="str">
        <f ca="1">IF($AE496*$AA478*'Customer Base'!$D$26*0.8&gt;5800,"",IF($AE496*$AA478&gt;$AA501,"",IF(($AA$478*BR$476*$AE$496)&lt;=$AA$501,((MOD($AA$501,($AA$478*BR$476*$AE$496)))),"")))</f>
        <v/>
      </c>
      <c r="BS478" s="214" t="str">
        <f ca="1">IF($AE496*$AA478*'Customer Base'!$D$26*0.8&gt;5800,"",IF($AE496*$AA478&gt;$AA501,"",IF(($AA$478*BS$476*$AE$496)&lt;=$AA$501,((MOD($AA$501,($AA$478*BS$476*$AE$496)))),"")))</f>
        <v/>
      </c>
      <c r="BT478" s="214" t="str">
        <f ca="1">IF($AE496*$AA478*'Customer Base'!$D$26*0.8&gt;5800,"",IF($AE496*$AA478&gt;$AA501,"",IF(($AA$478*BT$476*$AE$496)&lt;=$AA$501,((MOD($AA$501,($AA$478*BT$476*$AE$496)))),"")))</f>
        <v/>
      </c>
      <c r="BU478" s="214" t="str">
        <f ca="1">IF($AE496*$AA478*'Customer Base'!$D$26*0.8&gt;5800,"",IF($AE496*$AA478&gt;$AA501,"",IF(($AA$478*BU$476*$AE$496)&lt;=$AA$501,((MOD($AA$501,($AA$478*BU$476*$AE$496)))),"")))</f>
        <v/>
      </c>
      <c r="BV478" s="214" t="str">
        <f ca="1">IF($AE496*$AA478*'Customer Base'!$D$26*0.8&gt;5800,"",IF($AE496*$AA478&gt;$AA501,"",IF(($AA$478*BV$476*$AE$496)&lt;=$AA$501,((MOD($AA$501,($AA$478*BV$476*$AE$496)))),"")))</f>
        <v/>
      </c>
      <c r="BW478" s="214" t="str">
        <f ca="1">IF($AE496*$AA478*'Customer Base'!$D$26*0.8&gt;5800,"",IF($AE496*$AA478&gt;$AA501,"",IF(($AA$478*BW$476*$AE$496)&lt;=$AA$501,((MOD($AA$501,($AA$478*BW$476*$AE$496)))),"")))</f>
        <v/>
      </c>
      <c r="BX478" s="214" t="str">
        <f ca="1">IF($AE496*$AA478*'Customer Base'!$D$26*0.8&gt;5800,"",IF($AE496*$AA478&gt;$AA501,"",IF(($AA$478*BX$476*$AE$496)&lt;=$AA$501,((MOD($AA$501,($AA$478*BX$476*$AE$496)))),"")))</f>
        <v/>
      </c>
      <c r="BY478" s="214" t="str">
        <f ca="1">IF($AE496*$AA478*'Customer Base'!$D$26*0.8&gt;5800,"",IF($AE496*$AA478&gt;$AA501,"",IF(($AA$478*BY$476*$AE$496)&lt;=$AA$501,((MOD($AA$501,($AA$478*BY$476*$AE$496)))),"")))</f>
        <v/>
      </c>
      <c r="BZ478" s="214" t="str">
        <f ca="1">IF($AE496*$AA478*'Customer Base'!$D$26*0.8&gt;5800,"",IF($AE496*$AA478&gt;$AA501,"",IF(($AA$478*BZ$476*$AE$496)&lt;=$AA$501,((MOD($AA$501,($AA$478*BZ$476*$AE$496)))),"")))</f>
        <v/>
      </c>
      <c r="CA478" s="214" t="str">
        <f ca="1">IF($AE496*$AA478*'Customer Base'!$D$26*0.8&gt;5800,"",IF($AE496*$AA478&gt;$AA501,"",IF(($AA$478*CA$476*$AE$496)&lt;=$AA$501,((MOD($AA$501,($AA$478*CA$476*$AE$496)))),"")))</f>
        <v/>
      </c>
      <c r="CB478" s="214" t="str">
        <f ca="1">IF($AE496*$AA478*'Customer Base'!$D$26*0.8&gt;5800,"",IF($AE496*$AA478&gt;$AA501,"",IF(($AA$478*CB$476*$AE$496)&lt;=$AA$501,((MOD($AA$501,($AA$478*CB$476*$AE$496)))),"")))</f>
        <v/>
      </c>
      <c r="CC478" s="214" t="str">
        <f ca="1">IF($AE496*$AA478*'Customer Base'!$D$26*0.8&gt;5800,"",IF($AE496*$AA478&gt;$AA501,"",IF(($AA$478*CC$476*$AE$496)&lt;=$AA$501,((MOD($AA$501,($AA$478*CC$476*$AE$496)))),"")))</f>
        <v/>
      </c>
      <c r="CD478" s="214" t="str">
        <f ca="1">IF($AE496*$AA478*'Customer Base'!$D$26*0.8&gt;5800,"",IF($AE496*$AA478&gt;$AA501,"",IF(($AA$478*CD$476*$AE$496)&lt;=$AA$501,((MOD($AA$501,($AA$478*CD$476*$AE$496)))),"")))</f>
        <v/>
      </c>
      <c r="CE478" s="214" t="str">
        <f ca="1">IF($AE496*$AA478*'Customer Base'!$D$26*0.8&gt;5800,"",IF($AE496*$AA478&gt;$AA501,"",IF(($AA$478*CE$476*$AE$496)&lt;=$AA$501,((MOD($AA$501,($AA$478*CE$476*$AE$496)))),"")))</f>
        <v/>
      </c>
      <c r="CF478" s="214" t="str">
        <f ca="1">IF($AE496*$AA478*'Customer Base'!$D$26*0.8&gt;5800,"",IF($AE496*$AA478&gt;$AA501,"",IF(($AA$478*CF$476*$AE$496)&lt;=$AA$501,((MOD($AA$501,($AA$478*CF$476*$AE$496)))),"")))</f>
        <v/>
      </c>
      <c r="CG478" s="214" t="str">
        <f ca="1">IF($AE496*$AA478*'Customer Base'!$D$26*0.8&gt;5800,"",IF($AE496*$AA478&gt;$AA501,"",IF(($AA$478*CG$476*$AE$496)&lt;=$AA$501,((MOD($AA$501,($AA$478*CG$476*$AE$496)))),"")))</f>
        <v/>
      </c>
      <c r="CH478" s="214" t="str">
        <f ca="1">IF($AE496*$AA478*'Customer Base'!$D$26*0.8&gt;5800,"",IF($AE496*$AA478&gt;$AA501,"",IF(($AA$478*CH$476*$AE$496)&lt;=$AA$501,((MOD($AA$501,($AA$478*CH$476*$AE$496)))),"")))</f>
        <v/>
      </c>
      <c r="CI478" s="214" t="str">
        <f ca="1">IF($AE496*$AA478*'Customer Base'!$D$26*0.8&gt;5800,"",IF($AE496*$AA478&gt;$AA501,"",IF(($AA$478*CI$476*$AE$496)&lt;=$AA$501,((MOD($AA$501,($AA$478*CI$476*$AE$496)))),"")))</f>
        <v/>
      </c>
      <c r="CJ478" s="214" t="str">
        <f ca="1">IF($AE496*$AA478*'Customer Base'!$D$26*0.8&gt;5800,"",IF($AE496*$AA478&gt;$AA501,"",IF(($AA$478*CJ$476*$AE$496)&lt;=$AA$501,((MOD($AA$501,($AA$478*CJ$476*$AE$496)))),"")))</f>
        <v/>
      </c>
      <c r="CK478" s="214" t="str">
        <f ca="1">IF($AE496*$AA478*'Customer Base'!$D$26*0.8&gt;5800,"",IF($AE496*$AA478&gt;$AA501,"",IF(($AA$478*CK$476*$AE$496)&lt;=$AA$501,((MOD($AA$501,($AA$478*CK$476*$AE$496)))),"")))</f>
        <v/>
      </c>
      <c r="CL478" s="214" t="str">
        <f ca="1">IF($AE496*$AA478*'Customer Base'!$D$26*0.8&gt;5800,"",IF($AE496*$AA478&gt;$AA501,"",IF(($AA$478*CL$476*$AE$496)&lt;=$AA$501,((MOD($AA$501,($AA$478*CL$476*$AE$496)))),"")))</f>
        <v/>
      </c>
      <c r="CM478" s="214" t="str">
        <f ca="1">IF($AE496*$AA478*'Customer Base'!$D$26*0.8&gt;5800,"",IF($AE496*$AA478&gt;$AA501,"",IF(($AA$478*CM$476*$AE$496)&lt;=$AA$501,((MOD($AA$501,($AA$478*CM$476*$AE$496)))),"")))</f>
        <v/>
      </c>
      <c r="CN478" s="214" t="str">
        <f ca="1">IF($AE496*$AA478*'Customer Base'!$D$26*0.8&gt;5800,"",IF($AE496*$AA478&gt;$AA501,"",IF(($AA$478*CN$476*$AE$496)&lt;=$AA$501,((MOD($AA$501,($AA$478*CN$476*$AE$496)))),"")))</f>
        <v/>
      </c>
      <c r="CO478" s="214" t="str">
        <f ca="1">IF($AE496*$AA478*'Customer Base'!$D$26*0.8&gt;5800,"",IF($AE496*$AA478&gt;$AA501,"",IF(($AA$478*CO$476*$AE$496)&lt;=$AA$501,((MOD($AA$501,($AA$478*CO$476*$AE$496)))),"")))</f>
        <v/>
      </c>
      <c r="CP478" s="214" t="str">
        <f ca="1">IF($AE496*$AA478*'Customer Base'!$D$26*0.8&gt;5800,"",IF($AE496*$AA478&gt;$AA501,"",IF(($AA$478*CP$476*$AE$496)&lt;=$AA$501,((MOD($AA$501,($AA$478*CP$476*$AE$496)))),"")))</f>
        <v/>
      </c>
      <c r="CQ478" s="214" t="str">
        <f ca="1">IF($AE496*$AA478*'Customer Base'!$D$26*0.8&gt;5800,"",IF($AE496*$AA478&gt;$AA501,"",IF(($AA$478*CQ$476*$AE$496)&lt;=$AA$501,((MOD($AA$501,($AA$478*CQ$476*$AE$496)))),"")))</f>
        <v/>
      </c>
      <c r="CR478" s="214" t="str">
        <f ca="1">IF($AE496*$AA478*'Customer Base'!$D$26*0.8&gt;5800,"",IF($AE496*$AA478&gt;$AA501,"",IF(($AA$478*CR$476*$AE$496)&lt;=$AA$501,((MOD($AA$501,($AA$478*CR$476*$AE$496)))),"")))</f>
        <v/>
      </c>
      <c r="CS478" s="214" t="str">
        <f ca="1">IF($AE496*$AA478*'Customer Base'!$D$26*0.8&gt;5800,"",IF($AE496*$AA478&gt;$AA501,"",IF(($AA$478*CS$476*$AE$496)&lt;=$AA$501,((MOD($AA$501,($AA$478*CS$476*$AE$496)))),"")))</f>
        <v/>
      </c>
      <c r="CT478" s="214" t="str">
        <f ca="1">IF($AE496*$AA478*'Customer Base'!$D$26*0.8&gt;5800,"",IF($AE496*$AA478&gt;$AA501,"",IF(($AA$478*CT$476*$AE$496)&lt;=$AA$501,((MOD($AA$501,($AA$478*CT$476*$AE$496)))),"")))</f>
        <v/>
      </c>
      <c r="CU478" s="214" t="str">
        <f ca="1">IF($AE496*$AA478*'Customer Base'!$D$26*0.8&gt;5800,"",IF($AE496*$AA478&gt;$AA501,"",IF(($AA$478*CU$476*$AE$496)&lt;=$AA$501,((MOD($AA$501,($AA$478*CU$476*$AE$496)))),"")))</f>
        <v/>
      </c>
      <c r="CV478" s="214" t="str">
        <f ca="1">IF($AE496*$AA478*'Customer Base'!$D$26*0.8&gt;5800,"",IF($AE496*$AA478&gt;$AA501,"",IF(($AA$478*CV$476*$AE$496)&lt;=$AA$501,((MOD($AA$501,($AA$478*CV$476*$AE$496)))),"")))</f>
        <v/>
      </c>
      <c r="CW478" s="214" t="str">
        <f ca="1">IF($AE496*$AA478*'Customer Base'!$D$26*0.8&gt;5800,"",IF($AE496*$AA478&gt;$AA501,"",IF(($AA$478*CW$476*$AE$496)&lt;=$AA$501,((MOD($AA$501,($AA$478*CW$476*$AE$496)))),"")))</f>
        <v/>
      </c>
      <c r="CX478" s="214" t="str">
        <f ca="1">IF($AE496*$AA478*'Customer Base'!$D$26*0.8&gt;5800,"",IF($AE496*$AA478&gt;$AA501,"",IF(($AA$478*CX$476*$AE$496)&lt;=$AA$501,((MOD($AA$501,($AA$478*CX$476*$AE$496)))),"")))</f>
        <v/>
      </c>
      <c r="CY478" s="214" t="str">
        <f ca="1">IF($AE496*$AA478*'Customer Base'!$D$26*0.8&gt;5800,"",IF($AE496*$AA478&gt;$AA501,"",IF(($AA$478*CY$476*$AE$496)&lt;=$AA$501,((MOD($AA$501,($AA$478*CY$476*$AE$496)))),"")))</f>
        <v/>
      </c>
      <c r="CZ478" s="214" t="str">
        <f ca="1">IF($AE496*$AA478*'Customer Base'!$D$26*0.8&gt;5800,"",IF($AE496*$AA478&gt;$AA501,"",IF(($AA$478*CZ$476*$AE$496)&lt;=$AA$501,((MOD($AA$501,($AA$478*CZ$476*$AE$496)))),"")))</f>
        <v/>
      </c>
      <c r="DA478" s="214" t="str">
        <f ca="1">IF($AE496*$AA478*'Customer Base'!$D$26*0.8&gt;5800,"",IF($AE496*$AA478&gt;$AA501,"",IF(($AA$478*DA$476*$AE$496)&lt;=$AA$501,((MOD($AA$501,($AA$478*DA$476*$AE$496)))),"")))</f>
        <v/>
      </c>
      <c r="DB478" s="214" t="str">
        <f ca="1">IF($AE496*$AA478*'Customer Base'!$D$26*0.8&gt;5800,"",IF($AE496*$AA478&gt;$AA501,"",IF(($AA$478*DB$476*$AE$496)&lt;=$AA$501,((MOD($AA$501,($AA$478*DB$476*$AE$496)))),"")))</f>
        <v/>
      </c>
      <c r="DC478" s="214" t="str">
        <f ca="1">IF($AE496*$AA478*'Customer Base'!$D$26*0.8&gt;5800,"",IF($AE496*$AA478&gt;$AA501,"",IF(($AA$478*DC$476*$AE$496)&lt;=$AA$501,((MOD($AA$501,($AA$478*DC$476*$AE$496)))),"")))</f>
        <v/>
      </c>
      <c r="DD478" s="214" t="str">
        <f ca="1">IF($AE496*$AA478*'Customer Base'!$D$26*0.8&gt;5800,"",IF($AE496*$AA478&gt;$AA501,"",IF(($AA$478*DD$476*$AE$496)&lt;=$AA$501,((MOD($AA$501,($AA$478*DD$476*$AE$496)))),"")))</f>
        <v/>
      </c>
      <c r="DE478" s="214" t="str">
        <f ca="1">IF($AE496*$AA478*'Customer Base'!$D$26*0.8&gt;5800,"",IF($AE496*$AA478&gt;$AA501,"",IF(($AA$478*DE$476*$AE$496)&lt;=$AA$501,((MOD($AA$501,($AA$478*DE$476*$AE$496)))),"")))</f>
        <v/>
      </c>
      <c r="DF478" s="214" t="str">
        <f ca="1">IF($AE496*$AA478*'Customer Base'!$D$26*0.8&gt;5800,"",IF($AE496*$AA478&gt;$AA501,"",IF(($AA$478*DF$476*$AE$496)&lt;=$AA$501,((MOD($AA$501,($AA$478*DF$476*$AE$496)))),"")))</f>
        <v/>
      </c>
      <c r="DG478" s="214" t="str">
        <f ca="1">IF($AE496*$AA478*'Customer Base'!$D$26*0.8&gt;5800,"",IF($AE496*$AA478&gt;$AA501,"",IF(($AA$478*DG$476*$AE$496)&lt;=$AA$501,((MOD($AA$501,($AA$478*DG$476*$AE$496)))),"")))</f>
        <v/>
      </c>
      <c r="DH478" s="214" t="str">
        <f ca="1">IF($AE496*$AA478*'Customer Base'!$D$26*0.8&gt;5800,"",IF($AE496*$AA478&gt;$AA501,"",IF(($AA$478*DH$476*$AE$496)&lt;=$AA$501,((MOD($AA$501,($AA$478*DH$476*$AE$496)))),"")))</f>
        <v/>
      </c>
      <c r="DI478" s="214" t="str">
        <f ca="1">IF($AE496*$AA478*'Customer Base'!$D$26*0.8&gt;5800,"",IF($AE496*$AA478&gt;$AA501,"",IF(($AA$478*DI$476*$AE$496)&lt;=$AA$501,((MOD($AA$501,($AA$478*DI$476*$AE$496)))),"")))</f>
        <v/>
      </c>
      <c r="DJ478" s="214" t="str">
        <f ca="1">IF($AE496*$AA478*'Customer Base'!$D$26*0.8&gt;5800,"",IF($AE496*$AA478&gt;$AA501,"",IF(($AA$478*DJ$476*$AE$496)&lt;=$AA$501,((MOD($AA$501,($AA$478*DJ$476*$AE$496)))),"")))</f>
        <v/>
      </c>
      <c r="DK478" s="214" t="str">
        <f ca="1">IF($AE496*$AA478*'Customer Base'!$D$26*0.8&gt;5800,"",IF($AE496*$AA478&gt;$AA501,"",IF(($AA$478*DK$476*$AE$496)&lt;=$AA$501,((MOD($AA$501,($AA$478*DK$476*$AE$496)))),"")))</f>
        <v/>
      </c>
      <c r="DL478" s="214" t="str">
        <f ca="1">IF($AE496*$AA478*'Customer Base'!$D$26*0.8&gt;5800,"",IF($AE496*$AA478&gt;$AA501,"",IF(($AA$478*DL$476*$AE$496)&lt;=$AA$501,((MOD($AA$501,($AA$478*DL$476*$AE$496)))),"")))</f>
        <v/>
      </c>
      <c r="DM478" s="214" t="str">
        <f ca="1">IF($AE496*$AA478*'Customer Base'!$D$26*0.8&gt;5800,"",IF($AE496*$AA478&gt;$AA501,"",IF(($AA$478*DM$476*$AE$496)&lt;=$AA$501,((MOD($AA$501,($AA$478*DM$476*$AE$496)))),"")))</f>
        <v/>
      </c>
      <c r="DN478" s="214" t="str">
        <f ca="1">IF($AE496*$AA478*'Customer Base'!$D$26*0.8&gt;5800,"",IF($AE496*$AA478&gt;$AA501,"",IF(($AA$478*DN$476*$AE$496)&lt;=$AA$501,((MOD($AA$501,($AA$478*DN$476*$AE$496)))),"")))</f>
        <v/>
      </c>
      <c r="DO478" s="214" t="str">
        <f ca="1">IF($AE496*$AA478*'Customer Base'!$D$26*0.8&gt;5800,"",IF($AE496*$AA478&gt;$AA501,"",IF(($AA$478*DO$476*$AE$496)&lt;=$AA$501,((MOD($AA$501,($AA$478*DO$476*$AE$496)))),"")))</f>
        <v/>
      </c>
      <c r="DP478" s="214" t="str">
        <f ca="1">IF($AE496*$AA478*'Customer Base'!$D$26*0.8&gt;5800,"",IF($AE496*$AA478&gt;$AA501,"",IF(($AA$478*DP$476*$AE$496)&lt;=$AA$501,((MOD($AA$501,($AA$478*DP$476*$AE$496)))),"")))</f>
        <v/>
      </c>
      <c r="DQ478" s="214" t="str">
        <f ca="1">IF($AE496*$AA478*'Customer Base'!$D$26*0.8&gt;5800,"",IF($AE496*$AA478&gt;$AA501,"",IF(($AA$478*DQ$476*$AE$496)&lt;=$AA$501,((MOD($AA$501,($AA$478*DQ$476*$AE$496)))),"")))</f>
        <v/>
      </c>
      <c r="DR478" s="214" t="str">
        <f ca="1">IF($AE496*$AA478*'Customer Base'!$D$26*0.8&gt;5800,"",IF($AE496*$AA478&gt;$AA501,"",IF(($AA$478*DR$476*$AE$496)&lt;=$AA$501,((MOD($AA$501,($AA$478*DR$476*$AE$496)))),"")))</f>
        <v/>
      </c>
      <c r="DS478" s="214" t="str">
        <f ca="1">IF($AE496*$AA478*'Customer Base'!$D$26*0.8&gt;5800,"",IF($AE496*$AA478&gt;$AA501,"",IF(($AA$478*DS$476*$AE$496)&lt;=$AA$501,((MOD($AA$501,($AA$478*DS$476*$AE$496)))),"")))</f>
        <v/>
      </c>
      <c r="DT478" s="214" t="str">
        <f ca="1">IF($AE496*$AA478*'Customer Base'!$D$26*0.8&gt;5800,"",IF($AE496*$AA478&gt;$AA501,"",IF(($AA$478*DT$476*$AE$496)&lt;=$AA$501,((MOD($AA$501,($AA$478*DT$476*$AE$496)))),"")))</f>
        <v/>
      </c>
      <c r="DU478" s="214" t="str">
        <f ca="1">IF($AE496*$AA478*'Customer Base'!$D$26*0.8&gt;5800,"",IF($AE496*$AA478&gt;$AA501,"",IF(($AA$478*DU$476*$AE$496)&lt;=$AA$501,((MOD($AA$501,($AA$478*DU$476*$AE$496)))),"")))</f>
        <v/>
      </c>
      <c r="DV478" s="214" t="str">
        <f ca="1">IF($AE496*$AA478*'Customer Base'!$D$26*0.8&gt;5800,"",IF($AE496*$AA478&gt;$AA501,"",IF(($AA$478*DV$476*$AE$496)&lt;=$AA$501,((MOD($AA$501,($AA$478*DV$476*$AE$496)))),"")))</f>
        <v/>
      </c>
      <c r="DW478" s="214" t="str">
        <f ca="1">IF($AE496*$AA478*'Customer Base'!$D$26*0.8&gt;5800,"",IF($AE496*$AA478&gt;$AA501,"",IF(($AA$478*DW$476*$AE$496)&lt;=$AA$501,((MOD($AA$501,($AA$478*DW$476*$AE$496)))),"")))</f>
        <v/>
      </c>
      <c r="DX478" s="214" t="str">
        <f ca="1">IF($AE496*$AA478*'Customer Base'!$D$26*0.8&gt;5800,"",IF($AE496*$AA478&gt;$AA501,"",IF(($AA$478*DX$476*$AE$496)&lt;=$AA$501,((MOD($AA$501,($AA$478*DX$476*$AE$496)))),"")))</f>
        <v/>
      </c>
      <c r="DY478" s="214" t="str">
        <f ca="1">IF($AE496*$AA478*'Customer Base'!$D$26*0.8&gt;5800,"",IF($AE496*$AA478&gt;$AA501,"",IF(($AA$478*DY$476*$AE$496)&lt;=$AA$501,((MOD($AA$501,($AA$478*DY$476*$AE$496)))),"")))</f>
        <v/>
      </c>
      <c r="DZ478" s="214" t="str">
        <f ca="1">IF($AE496*$AA478*'Customer Base'!$D$26*0.8&gt;5800,"",IF($AE496*$AA478&gt;$AA501,"",IF(($AA$478*DZ$476*$AE$496)&lt;=$AA$501,((MOD($AA$501,($AA$478*DZ$476*$AE$496)))),"")))</f>
        <v/>
      </c>
      <c r="EA478" s="214" t="str">
        <f ca="1">IF($AE496*$AA478*'Customer Base'!$D$26*0.8&gt;5800,"",IF($AE496*$AA478&gt;$AA501,"",IF(($AA$478*EA$476*$AE$496)&lt;=$AA$501,((MOD($AA$501,($AA$478*EA$476*$AE$496)))),"")))</f>
        <v/>
      </c>
      <c r="EC478" s="214" cm="1">
        <f t="array" aca="1" ref="EC478" ca="1">IFERROR(LOOKUP(2,1/(AF478:EA478&lt;&gt;""),AF$482:EA$482),"")</f>
        <v>13</v>
      </c>
      <c r="ED478" s="316" t="str" cm="1">
        <f t="array" aca="1" ref="ED478" ca="1">IF(EC$474=EC478,LOOKUP(2,1/(AF478:EA478&lt;&gt;""),AF478:EA478),"")</f>
        <v/>
      </c>
      <c r="EE478" s="316" t="str">
        <f ca="1">IF(ED478=ED$474,1,"")</f>
        <v/>
      </c>
      <c r="EF478" s="316"/>
      <c r="EG478" s="316"/>
      <c r="EH478" s="316"/>
      <c r="EI478" s="214">
        <v>3</v>
      </c>
      <c r="EJ478" s="316" t="s">
        <v>2699</v>
      </c>
      <c r="EK478" s="214">
        <f>IFERROR(MOD(EL$495,EI478),"")</f>
        <v>0</v>
      </c>
      <c r="EL478" s="214" t="str">
        <f>IF(OR(EL483=1,EL483=""),"",IF(AND(EK479&lt;&gt;0,EK478=0),IF(EK478=0,EI478,""),IF(AND(MAX(EK477:EK479)=EI478,SUMPRODUCT(EL479,EM479)&lt;&gt;EL483),EI478,"")))</f>
        <v/>
      </c>
      <c r="EM478" s="214" t="str">
        <f>IFERROR(IF(COUNT(EL478:EL479)&gt;1,1,(ROUNDDOWN(EL$495/EL478,0))),"")</f>
        <v/>
      </c>
      <c r="EN478" s="214">
        <f ca="1">IF($AE496*$AA478*'Customer Base'!$D$26*0.8&gt;5800,"",IF($AE496*$AA478&gt;$AA501,"",IF(($AA$478*EN$476*$AE$496)&lt;=$ED$474,((MOD($ED$474,($AA$478*EN$476*$AE$496)))),"")))</f>
        <v>1</v>
      </c>
      <c r="EO478" s="214" t="str">
        <f ca="1">IF($AE496*$AA478*'Customer Base'!$D$26*0.8&gt;5800,"",IF($AE496*$AA478&gt;$AA501,"",IF(($AA$478*EO$476*$AE$496)&lt;=$ED$474,((MOD($ED$474,($AA$478*EO$476*$AE$496)))),"")))</f>
        <v/>
      </c>
      <c r="EP478" s="214" t="str">
        <f ca="1">IF($AE496*$AA478*'Customer Base'!$D$26*0.8&gt;5800,"",IF($AE496*$AA478&gt;$AA501,"",IF(($AA$478*EP$476*$AE$496)&lt;=$ED$474,((MOD($ED$474,($AA$478*EP$476*$AE$496)))),"")))</f>
        <v/>
      </c>
      <c r="EQ478" s="214" t="str">
        <f ca="1">IF($AE496*$AA478*'Customer Base'!$D$26*0.8&gt;5800,"",IF($AE496*$AA478&gt;$AA501,"",IF(($AA$478*EQ$476*$AE$496)&lt;=$ED$474,((MOD($ED$474,($AA$478*EQ$476*$AE$496)))),"")))</f>
        <v/>
      </c>
      <c r="ER478" s="214" t="str">
        <f ca="1">IF($AE496*$AA478*'Customer Base'!$D$26*0.8&gt;5800,"",IF($AE496*$AA478&gt;$AA501,"",IF(($AA$478*ER$476*$AE$496)&lt;=$ED$474,((MOD($ED$474,($AA$478*ER$476*$AE$496)))),"")))</f>
        <v/>
      </c>
      <c r="ES478" s="214" t="str">
        <f ca="1">IF($AE496*$AA478*'Customer Base'!$D$26*0.8&gt;5800,"",IF($AE496*$AA478&gt;$AA501,"",IF(($AA$478*ES$476*$AE$496)&lt;=$ED$474,((MOD($ED$474,($AA$478*ES$476*$AE$496)))),"")))</f>
        <v/>
      </c>
      <c r="ET478" s="214" t="str">
        <f ca="1">IF($AE496*$AA478*'Customer Base'!$D$26*0.8&gt;5800,"",IF($AE496*$AA478&gt;$AA501,"",IF(($AA$478*ET$476*$AE$496)&lt;=$ED$474,((MOD($ED$474,($AA$478*ET$476*$AE$496)))),"")))</f>
        <v/>
      </c>
      <c r="EU478" s="214" t="str">
        <f ca="1">IF($AE496*$AA478*'Customer Base'!$D$26*0.8&gt;5800,"",IF($AE496*$AA478&gt;$AA501,"",IF(($AA$478*EU$476*$AE$496)&lt;=$ED$474,((MOD($ED$474,($AA$478*EU$476*$AE$496)))),"")))</f>
        <v/>
      </c>
      <c r="EV478" s="214" t="str">
        <f ca="1">IF($AE496*$AA478*'Customer Base'!$D$26*0.8&gt;5800,"",IF($AE496*$AA478&gt;$AA501,"",IF(($AA$478*EV$476*$AE$496)&lt;=$ED$474,((MOD($ED$474,($AA$478*EV$476*$AE$496)))),"")))</f>
        <v/>
      </c>
      <c r="EW478" s="214" t="str">
        <f ca="1">IF($AE496*$AA478*'Customer Base'!$D$26*0.8&gt;5800,"",IF($AE496*$AA478&gt;$AA501,"",IF(($AA$478*EW$476*$AE$496)&lt;=$ED$474,((MOD($ED$474,($AA$478*EW$476*$AE$496)))),"")))</f>
        <v/>
      </c>
      <c r="EX478" s="214" t="str">
        <f ca="1">IF($AE496*$AA478*'Customer Base'!$D$26*0.8&gt;5800,"",IF($AE496*$AA478&gt;$AA501,"",IF(($AA$478*EX$476*$AE$496)&lt;=$ED$474,((MOD($ED$474,($AA$478*EX$476*$AE$496)))),"")))</f>
        <v/>
      </c>
      <c r="EY478" s="214" t="str">
        <f ca="1">IF($AE496*$AA478*'Customer Base'!$D$26*0.8&gt;5800,"",IF($AE496*$AA478&gt;$AA501,"",IF(($AA$478*EY$476*$AE$496)&lt;=$ED$474,((MOD($ED$474,($AA$478*EY$476*$AE$496)))),"")))</f>
        <v/>
      </c>
      <c r="EZ478" s="214" t="str">
        <f ca="1">IF($AE496*$AA478*'Customer Base'!$D$26*0.8&gt;5800,"",IF($AE496*$AA478&gt;$AA501,"",IF(($AA$478*EZ$476*$AE$496)&lt;=$ED$474,((MOD($ED$474,($AA$478*EZ$476*$AE$496)))),"")))</f>
        <v/>
      </c>
      <c r="FA478" s="214" t="str">
        <f ca="1">IF($AE496*$AA478*'Customer Base'!$D$26*0.8&gt;5800,"",IF($AE496*$AA478&gt;$AA501,"",IF(($AA$478*FA$476*$AE$496)&lt;=$ED$474,((MOD($ED$474,($AA$478*FA$476*$AE$496)))),"")))</f>
        <v/>
      </c>
      <c r="FB478" s="214" t="str">
        <f ca="1">IF($AE496*$AA478*'Customer Base'!$D$26*0.8&gt;5800,"",IF($AE496*$AA478&gt;$AA501,"",IF(($AA$478*FB$476*$AE$496)&lt;=$ED$474,((MOD($ED$474,($AA$478*FB$476*$AE$496)))),"")))</f>
        <v/>
      </c>
      <c r="FC478" s="214" t="str">
        <f ca="1">IF($AE496*$AA478*'Customer Base'!$D$26*0.8&gt;5800,"",IF($AE496*$AA478&gt;$AA501,"",IF(($AA$478*FC$476*$AE$496)&lt;=$ED$474,((MOD($ED$474,($AA$478*FC$476*$AE$496)))),"")))</f>
        <v/>
      </c>
      <c r="FD478" s="214" t="str">
        <f ca="1">IF($AE496*$AA478*'Customer Base'!$D$26*0.8&gt;5800,"",IF($AE496*$AA478&gt;$AA501,"",IF(($AA$478*FD$476*$AE$496)&lt;=$ED$474,((MOD($ED$474,($AA$478*FD$476*$AE$496)))),"")))</f>
        <v/>
      </c>
      <c r="FE478" s="214" t="str">
        <f ca="1">IF($AE496*$AA478*'Customer Base'!$D$26*0.8&gt;5800,"",IF($AE496*$AA478&gt;$AA501,"",IF(($AA$478*FE$476*$AE$496)&lt;=$ED$474,((MOD($ED$474,($AA$478*FE$476*$AE$496)))),"")))</f>
        <v/>
      </c>
      <c r="FF478" s="214" t="str">
        <f ca="1">IF($AE496*$AA478*'Customer Base'!$D$26*0.8&gt;5800,"",IF($AE496*$AA478&gt;$AA501,"",IF(($AA$478*FF$476*$AE$496)&lt;=$ED$474,((MOD($ED$474,($AA$478*FF$476*$AE$496)))),"")))</f>
        <v/>
      </c>
      <c r="FG478" s="214" t="str">
        <f ca="1">IF($AE496*$AA478*'Customer Base'!$D$26*0.8&gt;5800,"",IF($AE496*$AA478&gt;$AA501,"",IF(($AA$478*FG$476*$AE$496)&lt;=$ED$474,((MOD($ED$474,($AA$478*FG$476*$AE$496)))),"")))</f>
        <v/>
      </c>
      <c r="FH478" s="214" t="str">
        <f ca="1">IF($AE496*$AA478*'Customer Base'!$D$26*0.8&gt;5800,"",IF($AE496*$AA478&gt;$AA501,"",IF(($AA$478*FH$476*$AE$496)&lt;=$ED$474,((MOD($ED$474,($AA$478*FH$476*$AE$496)))),"")))</f>
        <v/>
      </c>
      <c r="FI478" s="214" t="str">
        <f ca="1">IF($AE496*$AA478*'Customer Base'!$D$26*0.8&gt;5800,"",IF($AE496*$AA478&gt;$AA501,"",IF(($AA$478*FI$476*$AE$496)&lt;=$ED$474,((MOD($ED$474,($AA$478*FI$476*$AE$496)))),"")))</f>
        <v/>
      </c>
      <c r="FJ478" s="214" t="str">
        <f ca="1">IF($AE496*$AA478*'Customer Base'!$D$26*0.8&gt;5800,"",IF($AE496*$AA478&gt;$AA501,"",IF(($AA$478*FJ$476*$AE$496)&lt;=$ED$474,((MOD($ED$474,($AA$478*FJ$476*$AE$496)))),"")))</f>
        <v/>
      </c>
      <c r="FK478" s="214" t="str">
        <f ca="1">IF($AE496*$AA478*'Customer Base'!$D$26*0.8&gt;5800,"",IF($AE496*$AA478&gt;$AA501,"",IF(($AA$478*FK$476*$AE$496)&lt;=$ED$474,((MOD($ED$474,($AA$478*FK$476*$AE$496)))),"")))</f>
        <v/>
      </c>
      <c r="FL478" s="214" t="str">
        <f ca="1">IF($AE496*$AA478*'Customer Base'!$D$26*0.8&gt;5800,"",IF($AE496*$AA478&gt;$AA501,"",IF(($AA$478*FL$476*$AE$496)&lt;=$ED$474,((MOD($ED$474,($AA$478*FL$476*$AE$496)))),"")))</f>
        <v/>
      </c>
      <c r="FM478" s="214" t="str">
        <f ca="1">IF($AE496*$AA478*'Customer Base'!$D$26*0.8&gt;5800,"",IF($AE496*$AA478&gt;$AA501,"",IF(($AA$478*FM$476*$AE$496)&lt;=$ED$474,((MOD($ED$474,($AA$478*FM$476*$AE$496)))),"")))</f>
        <v/>
      </c>
      <c r="FN478" s="214" t="str">
        <f ca="1">IF($AE496*$AA478*'Customer Base'!$D$26*0.8&gt;5800,"",IF($AE496*$AA478&gt;$AA501,"",IF(($AA$478*FN$476*$AE$496)&lt;=$ED$474,((MOD($ED$474,($AA$478*FN$476*$AE$496)))),"")))</f>
        <v/>
      </c>
      <c r="FO478" s="214" t="str">
        <f ca="1">IF($AE496*$AA478*'Customer Base'!$D$26*0.8&gt;5800,"",IF($AE496*$AA478&gt;$AA501,"",IF(($AA$478*FO$476*$AE$496)&lt;=$ED$474,((MOD($ED$474,($AA$478*FO$476*$AE$496)))),"")))</f>
        <v/>
      </c>
      <c r="FP478" s="214" t="str">
        <f ca="1">IF($AE496*$AA478*'Customer Base'!$D$26*0.8&gt;5800,"",IF($AE496*$AA478&gt;$AA501,"",IF(($AA$478*FP$476*$AE$496)&lt;=$ED$474,((MOD($ED$474,($AA$478*FP$476*$AE$496)))),"")))</f>
        <v/>
      </c>
      <c r="FQ478" s="214" t="str">
        <f ca="1">IF($AE496*$AA478*'Customer Base'!$D$26*0.8&gt;5800,"",IF($AE496*$AA478&gt;$AA501,"",IF(($AA$478*FQ$476*$AE$496)&lt;=$ED$474,((MOD($ED$474,($AA$478*FQ$476*$AE$496)))),"")))</f>
        <v/>
      </c>
      <c r="FR478" s="214" t="str">
        <f ca="1">IF($AE496*$AA478*'Customer Base'!$D$26*0.8&gt;5800,"",IF($AE496*$AA478&gt;$AA501,"",IF(($AA$478*FR$476*$AE$496)&lt;=$ED$474,((MOD($ED$474,($AA$478*FR$476*$AE$496)))),"")))</f>
        <v/>
      </c>
      <c r="FS478" s="214" t="str">
        <f ca="1">IF($AE496*$AA478*'Customer Base'!$D$26*0.8&gt;5800,"",IF($AE496*$AA478&gt;$AA501,"",IF(($AA$478*FS$476*$AE$496)&lt;=$ED$474,((MOD($ED$474,($AA$478*FS$476*$AE$496)))),"")))</f>
        <v/>
      </c>
      <c r="FT478" s="214" t="str">
        <f ca="1">IF($AE496*$AA478*'Customer Base'!$D$26*0.8&gt;5800,"",IF($AE496*$AA478&gt;$AA501,"",IF(($AA$478*FT$476*$AE$496)&lt;=$ED$474,((MOD($ED$474,($AA$478*FT$476*$AE$496)))),"")))</f>
        <v/>
      </c>
      <c r="FU478" s="214" t="str">
        <f ca="1">IF($AE496*$AA478*'Customer Base'!$D$26*0.8&gt;5800,"",IF($AE496*$AA478&gt;$AA501,"",IF(($AA$478*FU$476*$AE$496)&lt;=$ED$474,((MOD($ED$474,($AA$478*FU$476*$AE$496)))),"")))</f>
        <v/>
      </c>
      <c r="FV478" s="214" t="str">
        <f ca="1">IF($AE496*$AA478*'Customer Base'!$D$26*0.8&gt;5800,"",IF($AE496*$AA478&gt;$AA501,"",IF(($AA$478*FV$476*$AE$496)&lt;=$ED$474,((MOD($ED$474,($AA$478*FV$476*$AE$496)))),"")))</f>
        <v/>
      </c>
      <c r="FW478" s="214" t="str">
        <f ca="1">IF($AE496*$AA478*'Customer Base'!$D$26*0.8&gt;5800,"",IF($AE496*$AA478&gt;$AA501,"",IF(($AA$478*FW$476*$AE$496)&lt;=$ED$474,((MOD($ED$474,($AA$478*FW$476*$AE$496)))),"")))</f>
        <v/>
      </c>
      <c r="FX478" s="214" t="str">
        <f ca="1">IF($AE496*$AA478*'Customer Base'!$D$26*0.8&gt;5800,"",IF($AE496*$AA478&gt;$AA501,"",IF(($AA$478*FX$476*$AE$496)&lt;=$ED$474,((MOD($ED$474,($AA$478*FX$476*$AE$496)))),"")))</f>
        <v/>
      </c>
      <c r="FY478" s="214" t="str">
        <f ca="1">IF($AE496*$AA478*'Customer Base'!$D$26*0.8&gt;5800,"",IF($AE496*$AA478&gt;$AA501,"",IF(($AA$478*FY$476*$AE$496)&lt;=$ED$474,((MOD($ED$474,($AA$478*FY$476*$AE$496)))),"")))</f>
        <v/>
      </c>
      <c r="FZ478" s="214" t="str">
        <f ca="1">IF($AE496*$AA478*'Customer Base'!$D$26*0.8&gt;5800,"",IF($AE496*$AA478&gt;$AA501,"",IF(($AA$478*FZ$476*$AE$496)&lt;=$ED$474,((MOD($ED$474,($AA$478*FZ$476*$AE$496)))),"")))</f>
        <v/>
      </c>
      <c r="GA478" s="214" t="str">
        <f ca="1">IF($AE496*$AA478*'Customer Base'!$D$26*0.8&gt;5800,"",IF($AE496*$AA478&gt;$AA501,"",IF(($AA$478*GA$476*$AE$496)&lt;=$ED$474,((MOD($ED$474,($AA$478*GA$476*$AE$496)))),"")))</f>
        <v/>
      </c>
      <c r="GB478" s="214" t="str">
        <f ca="1">IF($AE496*$AA478*'Customer Base'!$D$26*0.8&gt;5800,"",IF($AE496*$AA478&gt;$AA501,"",IF(($AA$478*GB$476*$AE$496)&lt;=$ED$474,((MOD($ED$474,($AA$478*GB$476*$AE$496)))),"")))</f>
        <v/>
      </c>
      <c r="GC478" s="214" t="str">
        <f ca="1">IF($AE496*$AA478*'Customer Base'!$D$26*0.8&gt;5800,"",IF($AE496*$AA478&gt;$AA501,"",IF(($AA$478*GC$476*$AE$496)&lt;=$ED$474,((MOD($ED$474,($AA$478*GC$476*$AE$496)))),"")))</f>
        <v/>
      </c>
      <c r="GD478" s="214" t="str">
        <f ca="1">IF($AE496*$AA478*'Customer Base'!$D$26*0.8&gt;5800,"",IF($AE496*$AA478&gt;$AA501,"",IF(($AA$478*GD$476*$AE$496)&lt;=$ED$474,((MOD($ED$474,($AA$478*GD$476*$AE$496)))),"")))</f>
        <v/>
      </c>
      <c r="GE478" s="214" t="str">
        <f ca="1">IF($AE496*$AA478*'Customer Base'!$D$26*0.8&gt;5800,"",IF($AE496*$AA478&gt;$AA501,"",IF(($AA$478*GE$476*$AE$496)&lt;=$ED$474,((MOD($ED$474,($AA$478*GE$476*$AE$496)))),"")))</f>
        <v/>
      </c>
      <c r="GF478" s="214" t="str">
        <f ca="1">IF($AE496*$AA478*'Customer Base'!$D$26*0.8&gt;5800,"",IF($AE496*$AA478&gt;$AA501,"",IF(($AA$478*GF$476*$AE$496)&lt;=$ED$474,((MOD($ED$474,($AA$478*GF$476*$AE$496)))),"")))</f>
        <v/>
      </c>
      <c r="GG478" s="214" t="str">
        <f ca="1">IF($AE496*$AA478*'Customer Base'!$D$26*0.8&gt;5800,"",IF($AE496*$AA478&gt;$AA501,"",IF(($AA$478*GG$476*$AE$496)&lt;=$ED$474,((MOD($ED$474,($AA$478*GG$476*$AE$496)))),"")))</f>
        <v/>
      </c>
      <c r="GH478" s="214" t="str">
        <f ca="1">IF($AE496*$AA478*'Customer Base'!$D$26*0.8&gt;5800,"",IF($AE496*$AA478&gt;$AA501,"",IF(($AA$478*GH$476*$AE$496)&lt;=$ED$474,((MOD($ED$474,($AA$478*GH$476*$AE$496)))),"")))</f>
        <v/>
      </c>
      <c r="GI478" s="214" t="str">
        <f ca="1">IF($AE496*$AA478*'Customer Base'!$D$26*0.8&gt;5800,"",IF($AE496*$AA478&gt;$AA501,"",IF(($AA$478*GI$476*$AE$496)&lt;=$ED$474,((MOD($ED$474,($AA$478*GI$476*$AE$496)))),"")))</f>
        <v/>
      </c>
      <c r="GJ478" s="214" t="str">
        <f ca="1">IF($AE496*$AA478*'Customer Base'!$D$26*0.8&gt;5800,"",IF($AE496*$AA478&gt;$AA501,"",IF(($AA$478*GJ$476*$AE$496)&lt;=$ED$474,((MOD($ED$474,($AA$478*GJ$476*$AE$496)))),"")))</f>
        <v/>
      </c>
      <c r="GK478" s="214" t="str">
        <f ca="1">IF($AE496*$AA478*'Customer Base'!$D$26*0.8&gt;5800,"",IF($AE496*$AA478&gt;$AA501,"",IF(($AA$478*GK$476*$AE$496)&lt;=$ED$474,((MOD($ED$474,($AA$478*GK$476*$AE$496)))),"")))</f>
        <v/>
      </c>
      <c r="GL478" s="214" t="str">
        <f ca="1">IF($AE496*$AA478*'Customer Base'!$D$26*0.8&gt;5800,"",IF($AE496*$AA478&gt;$AA501,"",IF(($AA$478*GL$476*$AE$496)&lt;=$ED$474,((MOD($ED$474,($AA$478*GL$476*$AE$496)))),"")))</f>
        <v/>
      </c>
      <c r="GM478" s="214" t="str">
        <f ca="1">IF($AE496*$AA478*'Customer Base'!$D$26*0.8&gt;5800,"",IF($AE496*$AA478&gt;$AA501,"",IF(($AA$478*GM$476*$AE$496)&lt;=$ED$474,((MOD($ED$474,($AA$478*GM$476*$AE$496)))),"")))</f>
        <v/>
      </c>
      <c r="GN478" s="214" t="str">
        <f ca="1">IF($AE496*$AA478*'Customer Base'!$D$26*0.8&gt;5800,"",IF($AE496*$AA478&gt;$AA501,"",IF(($AA$478*GN$476*$AE$496)&lt;=$ED$474,((MOD($ED$474,($AA$478*GN$476*$AE$496)))),"")))</f>
        <v/>
      </c>
      <c r="GO478" s="214" t="str">
        <f ca="1">IF($AE496*$AA478*'Customer Base'!$D$26*0.8&gt;5800,"",IF($AE496*$AA478&gt;$AA501,"",IF(($AA$478*GO$476*$AE$496)&lt;=$ED$474,((MOD($ED$474,($AA$478*GO$476*$AE$496)))),"")))</f>
        <v/>
      </c>
      <c r="GP478" s="214" t="str">
        <f ca="1">IF($AE496*$AA478*'Customer Base'!$D$26*0.8&gt;5800,"",IF($AE496*$AA478&gt;$AA501,"",IF(($AA$478*GP$476*$AE$496)&lt;=$ED$474,((MOD($ED$474,($AA$478*GP$476*$AE$496)))),"")))</f>
        <v/>
      </c>
      <c r="GQ478" s="214" t="str">
        <f ca="1">IF($AE496*$AA478*'Customer Base'!$D$26*0.8&gt;5800,"",IF($AE496*$AA478&gt;$AA501,"",IF(($AA$478*GQ$476*$AE$496)&lt;=$ED$474,((MOD($ED$474,($AA$478*GQ$476*$AE$496)))),"")))</f>
        <v/>
      </c>
      <c r="GR478" s="214" t="str">
        <f ca="1">IF($AE496*$AA478*'Customer Base'!$D$26*0.8&gt;5800,"",IF($AE496*$AA478&gt;$AA501,"",IF(($AA$478*GR$476*$AE$496)&lt;=$ED$474,((MOD($ED$474,($AA$478*GR$476*$AE$496)))),"")))</f>
        <v/>
      </c>
      <c r="GS478" s="214" t="str">
        <f ca="1">IF($AE496*$AA478*'Customer Base'!$D$26*0.8&gt;5800,"",IF($AE496*$AA478&gt;$AA501,"",IF(($AA$478*GS$476*$AE$496)&lt;=$ED$474,((MOD($ED$474,($AA$478*GS$476*$AE$496)))),"")))</f>
        <v/>
      </c>
      <c r="GT478" s="214" t="str">
        <f ca="1">IF($AE496*$AA478*'Customer Base'!$D$26*0.8&gt;5800,"",IF($AE496*$AA478&gt;$AA501,"",IF(($AA$478*GT$476*$AE$496)&lt;=$ED$474,((MOD($ED$474,($AA$478*GT$476*$AE$496)))),"")))</f>
        <v/>
      </c>
      <c r="GU478" s="214" t="str">
        <f ca="1">IF($AE496*$AA478*'Customer Base'!$D$26*0.8&gt;5800,"",IF($AE496*$AA478&gt;$AA501,"",IF(($AA$478*GU$476*$AE$496)&lt;=$ED$474,((MOD($ED$474,($AA$478*GU$476*$AE$496)))),"")))</f>
        <v/>
      </c>
      <c r="GV478" s="214" t="str">
        <f ca="1">IF($AE496*$AA478*'Customer Base'!$D$26*0.8&gt;5800,"",IF($AE496*$AA478&gt;$AA501,"",IF(($AA$478*GV$476*$AE$496)&lt;=$ED$474,((MOD($ED$474,($AA$478*GV$476*$AE$496)))),"")))</f>
        <v/>
      </c>
      <c r="GW478" s="214" t="str">
        <f ca="1">IF($AE496*$AA478*'Customer Base'!$D$26*0.8&gt;5800,"",IF($AE496*$AA478&gt;$AA501,"",IF(($AA$478*GW$476*$AE$496)&lt;=$ED$474,((MOD($ED$474,($AA$478*GW$476*$AE$496)))),"")))</f>
        <v/>
      </c>
      <c r="GX478" s="214" t="str">
        <f ca="1">IF($AE496*$AA478*'Customer Base'!$D$26*0.8&gt;5800,"",IF($AE496*$AA478&gt;$AA501,"",IF(($AA$478*GX$476*$AE$496)&lt;=$ED$474,((MOD($ED$474,($AA$478*GX$476*$AE$496)))),"")))</f>
        <v/>
      </c>
      <c r="GY478" s="214" t="str">
        <f ca="1">IF($AE496*$AA478*'Customer Base'!$D$26*0.8&gt;5800,"",IF($AE496*$AA478&gt;$AA501,"",IF(($AA$478*GY$476*$AE$496)&lt;=$ED$474,((MOD($ED$474,($AA$478*GY$476*$AE$496)))),"")))</f>
        <v/>
      </c>
      <c r="GZ478" s="214" t="str">
        <f ca="1">IF($AE496*$AA478*'Customer Base'!$D$26*0.8&gt;5800,"",IF($AE496*$AA478&gt;$AA501,"",IF(($AA$478*GZ$476*$AE$496)&lt;=$ED$474,((MOD($ED$474,($AA$478*GZ$476*$AE$496)))),"")))</f>
        <v/>
      </c>
      <c r="HA478" s="214" t="str">
        <f ca="1">IF($AE496*$AA478*'Customer Base'!$D$26*0.8&gt;5800,"",IF($AE496*$AA478&gt;$AA501,"",IF(($AA$478*HA$476*$AE$496)&lt;=$ED$474,((MOD($ED$474,($AA$478*HA$476*$AE$496)))),"")))</f>
        <v/>
      </c>
      <c r="HB478" s="214" t="str">
        <f ca="1">IF($AE496*$AA478*'Customer Base'!$D$26*0.8&gt;5800,"",IF($AE496*$AA478&gt;$AA501,"",IF(($AA$478*HB$476*$AE$496)&lt;=$ED$474,((MOD($ED$474,($AA$478*HB$476*$AE$496)))),"")))</f>
        <v/>
      </c>
      <c r="HC478" s="214" t="str">
        <f ca="1">IF($AE496*$AA478*'Customer Base'!$D$26*0.8&gt;5800,"",IF($AE496*$AA478&gt;$AA501,"",IF(($AA$478*HC$476*$AE$496)&lt;=$ED$474,((MOD($ED$474,($AA$478*HC$476*$AE$496)))),"")))</f>
        <v/>
      </c>
      <c r="HD478" s="214" t="str">
        <f ca="1">IF($AE496*$AA478*'Customer Base'!$D$26*0.8&gt;5800,"",IF($AE496*$AA478&gt;$AA501,"",IF(($AA$478*HD$476*$AE$496)&lt;=$ED$474,((MOD($ED$474,($AA$478*HD$476*$AE$496)))),"")))</f>
        <v/>
      </c>
      <c r="HE478" s="214" t="str">
        <f ca="1">IF($AE496*$AA478*'Customer Base'!$D$26*0.8&gt;5800,"",IF($AE496*$AA478&gt;$AA501,"",IF(($AA$478*HE$476*$AE$496)&lt;=$ED$474,((MOD($ED$474,($AA$478*HE$476*$AE$496)))),"")))</f>
        <v/>
      </c>
      <c r="HF478" s="214" t="str">
        <f ca="1">IF($AE496*$AA478*'Customer Base'!$D$26*0.8&gt;5800,"",IF($AE496*$AA478&gt;$AA501,"",IF(($AA$478*HF$476*$AE$496)&lt;=$ED$474,((MOD($ED$474,($AA$478*HF$476*$AE$496)))),"")))</f>
        <v/>
      </c>
      <c r="HG478" s="214" t="str">
        <f ca="1">IF($AE496*$AA478*'Customer Base'!$D$26*0.8&gt;5800,"",IF($AE496*$AA478&gt;$AA501,"",IF(($AA$478*HG$476*$AE$496)&lt;=$ED$474,((MOD($ED$474,($AA$478*HG$476*$AE$496)))),"")))</f>
        <v/>
      </c>
      <c r="HH478" s="214" t="str">
        <f ca="1">IF($AE496*$AA478*'Customer Base'!$D$26*0.8&gt;5800,"",IF($AE496*$AA478&gt;$AA501,"",IF(($AA$478*HH$476*$AE$496)&lt;=$ED$474,((MOD($ED$474,($AA$478*HH$476*$AE$496)))),"")))</f>
        <v/>
      </c>
      <c r="HI478" s="214" t="str">
        <f ca="1">IF($AE496*$AA478*'Customer Base'!$D$26*0.8&gt;5800,"",IF($AE496*$AA478&gt;$AA501,"",IF(($AA$478*HI$476*$AE$496)&lt;=$ED$474,((MOD($ED$474,($AA$478*HI$476*$AE$496)))),"")))</f>
        <v/>
      </c>
      <c r="HJ478" s="214" t="str">
        <f ca="1">IF($AE496*$AA478*'Customer Base'!$D$26*0.8&gt;5800,"",IF($AE496*$AA478&gt;$AA501,"",IF(($AA$478*HJ$476*$AE$496)&lt;=$ED$474,((MOD($ED$474,($AA$478*HJ$476*$AE$496)))),"")))</f>
        <v/>
      </c>
      <c r="HK478" s="214" t="str">
        <f ca="1">IF($AE496*$AA478*'Customer Base'!$D$26*0.8&gt;5800,"",IF($AE496*$AA478&gt;$AA501,"",IF(($AA$478*HK$476*$AE$496)&lt;=$ED$474,((MOD($ED$474,($AA$478*HK$476*$AE$496)))),"")))</f>
        <v/>
      </c>
      <c r="HL478" s="214" t="str">
        <f ca="1">IF($AE496*$AA478*'Customer Base'!$D$26*0.8&gt;5800,"",IF($AE496*$AA478&gt;$AA501,"",IF(($AA$478*HL$476*$AE$496)&lt;=$ED$474,((MOD($ED$474,($AA$478*HL$476*$AE$496)))),"")))</f>
        <v/>
      </c>
      <c r="HM478" s="214" t="str">
        <f ca="1">IF($AE496*$AA478*'Customer Base'!$D$26*0.8&gt;5800,"",IF($AE496*$AA478&gt;$AA501,"",IF(($AA$478*HM$476*$AE$496)&lt;=$ED$474,((MOD($ED$474,($AA$478*HM$476*$AE$496)))),"")))</f>
        <v/>
      </c>
      <c r="HN478" s="214" t="str">
        <f ca="1">IF($AE496*$AA478*'Customer Base'!$D$26*0.8&gt;5800,"",IF($AE496*$AA478&gt;$AA501,"",IF(($AA$478*HN$476*$AE$496)&lt;=$ED$474,((MOD($ED$474,($AA$478*HN$476*$AE$496)))),"")))</f>
        <v/>
      </c>
      <c r="HO478" s="214" t="str">
        <f ca="1">IF($AE496*$AA478*'Customer Base'!$D$26*0.8&gt;5800,"",IF($AE496*$AA478&gt;$AA501,"",IF(($AA$478*HO$476*$AE$496)&lt;=$ED$474,((MOD($ED$474,($AA$478*HO$476*$AE$496)))),"")))</f>
        <v/>
      </c>
      <c r="HP478" s="214" t="str">
        <f ca="1">IF($AE496*$AA478*'Customer Base'!$D$26*0.8&gt;5800,"",IF($AE496*$AA478&gt;$AA501,"",IF(($AA$478*HP$476*$AE$496)&lt;=$ED$474,((MOD($ED$474,($AA$478*HP$476*$AE$496)))),"")))</f>
        <v/>
      </c>
      <c r="HQ478" s="214" t="str">
        <f ca="1">IF($AE496*$AA478*'Customer Base'!$D$26*0.8&gt;5800,"",IF($AE496*$AA478&gt;$AA501,"",IF(($AA$478*HQ$476*$AE$496)&lt;=$ED$474,((MOD($ED$474,($AA$478*HQ$476*$AE$496)))),"")))</f>
        <v/>
      </c>
      <c r="HR478" s="214" t="str">
        <f ca="1">IF($AE496*$AA478*'Customer Base'!$D$26*0.8&gt;5800,"",IF($AE496*$AA478&gt;$AA501,"",IF(($AA$478*HR$476*$AE$496)&lt;=$ED$474,((MOD($ED$474,($AA$478*HR$476*$AE$496)))),"")))</f>
        <v/>
      </c>
      <c r="HS478" s="214" t="str">
        <f ca="1">IF($AE496*$AA478*'Customer Base'!$D$26*0.8&gt;5800,"",IF($AE496*$AA478&gt;$AA501,"",IF(($AA$478*HS$476*$AE$496)&lt;=$ED$474,((MOD($ED$474,($AA$478*HS$476*$AE$496)))),"")))</f>
        <v/>
      </c>
      <c r="HT478" s="214" t="str">
        <f ca="1">IF($AE496*$AA478*'Customer Base'!$D$26*0.8&gt;5800,"",IF($AE496*$AA478&gt;$AA501,"",IF(($AA$478*HT$476*$AE$496)&lt;=$ED$474,((MOD($ED$474,($AA$478*HT$476*$AE$496)))),"")))</f>
        <v/>
      </c>
      <c r="HU478" s="214" t="str">
        <f ca="1">IF($AE496*$AA478*'Customer Base'!$D$26*0.8&gt;5800,"",IF($AE496*$AA478&gt;$AA501,"",IF(($AA$478*HU$476*$AE$496)&lt;=$ED$474,((MOD($ED$474,($AA$478*HU$476*$AE$496)))),"")))</f>
        <v/>
      </c>
      <c r="HV478" s="214" t="str">
        <f ca="1">IF($AE496*$AA478*'Customer Base'!$D$26*0.8&gt;5800,"",IF($AE496*$AA478&gt;$AA501,"",IF(($AA$478*HV$476*$AE$496)&lt;=$ED$474,((MOD($ED$474,($AA$478*HV$476*$AE$496)))),"")))</f>
        <v/>
      </c>
      <c r="HW478" s="214" t="str">
        <f ca="1">IF($AE496*$AA478*'Customer Base'!$D$26*0.8&gt;5800,"",IF($AE496*$AA478&gt;$AA501,"",IF(($AA$478*HW$476*$AE$496)&lt;=$ED$474,((MOD($ED$474,($AA$478*HW$476*$AE$496)))),"")))</f>
        <v/>
      </c>
      <c r="HX478" s="214" t="str">
        <f ca="1">IF($AE496*$AA478*'Customer Base'!$D$26*0.8&gt;5800,"",IF($AE496*$AA478&gt;$AA501,"",IF(($AA$478*HX$476*$AE$496)&lt;=$ED$474,((MOD($ED$474,($AA$478*HX$476*$AE$496)))),"")))</f>
        <v/>
      </c>
      <c r="HY478" s="214" t="str">
        <f ca="1">IF($AE496*$AA478*'Customer Base'!$D$26*0.8&gt;5800,"",IF($AE496*$AA478&gt;$AA501,"",IF(($AA$478*HY$476*$AE$496)&lt;=$ED$474,((MOD($ED$474,($AA$478*HY$476*$AE$496)))),"")))</f>
        <v/>
      </c>
      <c r="HZ478" s="214" t="str">
        <f ca="1">IF($AE496*$AA478*'Customer Base'!$D$26*0.8&gt;5800,"",IF($AE496*$AA478&gt;$AA501,"",IF(($AA$478*HZ$476*$AE$496)&lt;=$ED$474,((MOD($ED$474,($AA$478*HZ$476*$AE$496)))),"")))</f>
        <v/>
      </c>
      <c r="IA478" s="214" t="str">
        <f ca="1">IF($AE496*$AA478*'Customer Base'!$D$26*0.8&gt;5800,"",IF($AE496*$AA478&gt;$AA501,"",IF(($AA$478*IA$476*$AE$496)&lt;=$ED$474,((MOD($ED$474,($AA$478*IA$476*$AE$496)))),"")))</f>
        <v/>
      </c>
      <c r="IB478" s="214" t="str">
        <f ca="1">IF($AE496*$AA478*'Customer Base'!$D$26*0.8&gt;5800,"",IF($AE496*$AA478&gt;$AA501,"",IF(($AA$478*IB$476*$AE$496)&lt;=$ED$474,((MOD($ED$474,($AA$478*IB$476*$AE$496)))),"")))</f>
        <v/>
      </c>
      <c r="IC478" s="214" t="str">
        <f ca="1">IF($AE496*$AA478*'Customer Base'!$D$26*0.8&gt;5800,"",IF($AE496*$AA478&gt;$AA501,"",IF(($AA$478*IC$476*$AE$496)&lt;=$ED$474,((MOD($ED$474,($AA$478*IC$476*$AE$496)))),"")))</f>
        <v/>
      </c>
      <c r="ID478" s="214" t="str">
        <f ca="1">IF($AE496*$AA478*'Customer Base'!$D$26*0.8&gt;5800,"",IF($AE496*$AA478&gt;$AA501,"",IF(($AA$478*ID$476*$AE$496)&lt;=$ED$474,((MOD($ED$474,($AA$478*ID$476*$AE$496)))),"")))</f>
        <v/>
      </c>
      <c r="IE478" s="214" t="str">
        <f ca="1">IF($AE496*$AA478*'Customer Base'!$D$26*0.8&gt;5800,"",IF($AE496*$AA478&gt;$AA501,"",IF(($AA$478*IE$476*$AE$496)&lt;=$ED$474,((MOD($ED$474,($AA$478*IE$476*$AE$496)))),"")))</f>
        <v/>
      </c>
      <c r="IF478" s="214" t="str">
        <f ca="1">IF($AE496*$AA478*'Customer Base'!$D$26*0.8&gt;5800,"",IF($AE496*$AA478&gt;$AA501,"",IF(($AA$478*IF$476*$AE$496)&lt;=$ED$474,((MOD($ED$474,($AA$478*IF$476*$AE$496)))),"")))</f>
        <v/>
      </c>
      <c r="IG478" s="214" t="str">
        <f ca="1">IF($AE496*$AA478*'Customer Base'!$D$26*0.8&gt;5800,"",IF($AE496*$AA478&gt;$AA501,"",IF(($AA$478*IG$476*$AE$496)&lt;=$ED$474,((MOD($ED$474,($AA$478*IG$476*$AE$496)))),"")))</f>
        <v/>
      </c>
      <c r="IH478" s="214" t="str">
        <f ca="1">IF($AE496*$AA478*'Customer Base'!$D$26*0.8&gt;5800,"",IF($AE496*$AA478&gt;$AA501,"",IF(($AA$478*IH$476*$AE$496)&lt;=$ED$474,((MOD($ED$474,($AA$478*IH$476*$AE$496)))),"")))</f>
        <v/>
      </c>
      <c r="II478" s="214" t="str">
        <f ca="1">IF($AE496*$AA478*'Customer Base'!$D$26*0.8&gt;5800,"",IF($AE496*$AA478&gt;$AA501,"",IF(($AA$478*II$476*$AE$496)&lt;=$ED$474,((MOD($ED$474,($AA$478*II$476*$AE$496)))),"")))</f>
        <v/>
      </c>
      <c r="IK478" s="214" cm="1">
        <f t="array" aca="1" ref="IK478" ca="1">IFERROR(LOOKUP(2,1/(EN478:II478&lt;&gt;""),EN$482:II$482),"")</f>
        <v>1</v>
      </c>
      <c r="IL478" s="316" cm="1">
        <f t="array" aca="1" ref="IL478" ca="1">IF(IK$474=IK478,LOOKUP(2,1/(EN478:II478&lt;&gt;""),EN478:II478),"")</f>
        <v>1</v>
      </c>
      <c r="IM478" s="316" t="str">
        <f ca="1">IF(IL478=IL$474,1,"")</f>
        <v/>
      </c>
    </row>
    <row r="479" spans="2:250" ht="17">
      <c r="B479" s="211" t="s">
        <v>1334</v>
      </c>
      <c r="C479" s="212" t="s">
        <v>1335</v>
      </c>
      <c r="D479" s="212" t="s">
        <v>217</v>
      </c>
      <c r="E479" s="215" t="s">
        <v>1336</v>
      </c>
      <c r="F479" s="107" t="str">
        <f t="shared" si="15"/>
        <v>R</v>
      </c>
      <c r="AA479" s="214">
        <v>4</v>
      </c>
      <c r="AB479" s="316" t="s">
        <v>2700</v>
      </c>
      <c r="AC479" s="214">
        <f ca="1">IFERROR(MOD(AD$493,AA479),"")</f>
        <v>2</v>
      </c>
      <c r="AD479" s="214">
        <f ca="1">IF(OR(AD483=1,AD483=""),"",IF(AC479=0,AA479,IF(AND(AC479&lt;&gt;0,AC478&lt;&gt;0,AC477&lt;&gt;0),AA479,IF(AND(AC479&lt;&gt;0,AC478&lt;&gt;0,AC477=0),AA479,""))))</f>
        <v>4</v>
      </c>
      <c r="AE479" s="214">
        <f ca="1">IFERROR(ROUNDDOWN(AD$493/AD479,0),"")</f>
        <v>2</v>
      </c>
      <c r="AF479" s="214">
        <f ca="1">IF($AE496*$AA479*'Customer Base'!$D$26*0.8&gt;5800,"",IF($AE496*$AA479&gt;$AA501,"",IF(($AA$479*AF$476*$AE$496)&lt;=$AA$501,((MOD($AA$501,($AA$479*AF$476*$AE$496)))),"")))</f>
        <v>0</v>
      </c>
      <c r="AG479" s="214">
        <f ca="1">IF($AE496*$AA479*'Customer Base'!$D$26*0.8&gt;5800,"",IF($AE496*$AA479&gt;$AA501,"",IF(($AA$479*AG$476*$AE$496)&lt;=$AA$501,((MOD($AA$501,($AA$479*AG$476*$AE$496)))),"")))</f>
        <v>0</v>
      </c>
      <c r="AH479" s="214">
        <f ca="1">IF($AE496*$AA479*'Customer Base'!$D$26*0.8&gt;5800,"",IF($AE496*$AA479&gt;$AA501,"",IF(($AA$479*AH$476*$AE$496)&lt;=$AA$501,((MOD($AA$501,($AA$479*AH$476*$AE$496)))),"")))</f>
        <v>4</v>
      </c>
      <c r="AI479" s="214">
        <f ca="1">IF($AE496*$AA479*'Customer Base'!$D$26*0.8&gt;5800,"",IF($AE496*$AA479&gt;$AA501,"",IF(($AA$479*AI$476*$AE$496)&lt;=$AA$501,((MOD($AA$501,($AA$479*AI$476*$AE$496)))),"")))</f>
        <v>8</v>
      </c>
      <c r="AJ479" s="214">
        <f ca="1">IF($AE496*$AA479*'Customer Base'!$D$26*0.8&gt;5800,"",IF($AE496*$AA479&gt;$AA501,"",IF(($AA$479*AJ$476*$AE$496)&lt;=$AA$501,((MOD($AA$501,($AA$479*AJ$476*$AE$496)))),"")))</f>
        <v>0</v>
      </c>
      <c r="AK479" s="214">
        <f ca="1">IF($AE496*$AA479*'Customer Base'!$D$26*0.8&gt;5800,"",IF($AE496*$AA479&gt;$AA501,"",IF(($AA$479*AK$476*$AE$496)&lt;=$AA$501,((MOD($AA$501,($AA$479*AK$476*$AE$496)))),"")))</f>
        <v>16</v>
      </c>
      <c r="AL479" s="214">
        <f ca="1">IF($AE496*$AA479*'Customer Base'!$D$26*0.8&gt;5800,"",IF($AE496*$AA479&gt;$AA501,"",IF(($AA$479*AL$476*$AE$496)&lt;=$AA$501,((MOD($AA$501,($AA$479*AL$476*$AE$496)))),"")))</f>
        <v>12</v>
      </c>
      <c r="AM479" s="214">
        <f ca="1">IF($AE496*$AA479*'Customer Base'!$D$26*0.8&gt;5800,"",IF($AE496*$AA479&gt;$AA501,"",IF(($AA$479*AM$476*$AE$496)&lt;=$AA$501,((MOD($AA$501,($AA$479*AM$476*$AE$496)))),"")))</f>
        <v>8</v>
      </c>
      <c r="AN479" s="214">
        <f ca="1">IF($AE496*$AA479*'Customer Base'!$D$26*0.8&gt;5800,"",IF($AE496*$AA479&gt;$AA501,"",IF(($AA$479*AN$476*$AE$496)&lt;=$AA$501,((MOD($AA$501,($AA$479*AN$476*$AE$496)))),"")))</f>
        <v>4</v>
      </c>
      <c r="AO479" s="214">
        <f ca="1">IF($AE496*$AA479*'Customer Base'!$D$26*0.8&gt;5800,"",IF($AE496*$AA479&gt;$AA501,"",IF(($AA$479*AO$476*$AE$496)&lt;=$AA$501,((MOD($AA$501,($AA$479*AO$476*$AE$496)))),"")))</f>
        <v>0</v>
      </c>
      <c r="AP479" s="214" t="str">
        <f ca="1">IF($AE496*$AA479*'Customer Base'!$D$26*0.8&gt;5800,"",IF($AE496*$AA479&gt;$AA501,"",IF(($AA$479*AP$476*$AE$496)&lt;=$AA$501,((MOD($AA$501,($AA$479*AP$476*$AE$496)))),"")))</f>
        <v/>
      </c>
      <c r="AQ479" s="214" t="str">
        <f ca="1">IF($AE496*$AA479*'Customer Base'!$D$26*0.8&gt;5800,"",IF($AE496*$AA479&gt;$AA501,"",IF(($AA$479*AQ$476*$AE$496)&lt;=$AA$501,((MOD($AA$501,($AA$479*AQ$476*$AE$496)))),"")))</f>
        <v/>
      </c>
      <c r="AR479" s="214" t="str">
        <f ca="1">IF($AE496*$AA479*'Customer Base'!$D$26*0.8&gt;5800,"",IF($AE496*$AA479&gt;$AA501,"",IF(($AA$479*AR$476*$AE$496)&lt;=$AA$501,((MOD($AA$501,($AA$479*AR$476*$AE$496)))),"")))</f>
        <v/>
      </c>
      <c r="AS479" s="214" t="str">
        <f ca="1">IF($AE496*$AA479*'Customer Base'!$D$26*0.8&gt;5800,"",IF($AE496*$AA479&gt;$AA501,"",IF(($AA$479*AS$476*$AE$496)&lt;=$AA$501,((MOD($AA$501,($AA$479*AS$476*$AE$496)))),"")))</f>
        <v/>
      </c>
      <c r="AT479" s="214" t="str">
        <f ca="1">IF($AE496*$AA479*'Customer Base'!$D$26*0.8&gt;5800,"",IF($AE496*$AA479&gt;$AA501,"",IF(($AA$479*AT$476*$AE$496)&lt;=$AA$501,((MOD($AA$501,($AA$479*AT$476*$AE$496)))),"")))</f>
        <v/>
      </c>
      <c r="AU479" s="214" t="str">
        <f ca="1">IF($AE496*$AA479*'Customer Base'!$D$26*0.8&gt;5800,"",IF($AE496*$AA479&gt;$AA501,"",IF(($AA$479*AU$476*$AE$496)&lt;=$AA$501,((MOD($AA$501,($AA$479*AU$476*$AE$496)))),"")))</f>
        <v/>
      </c>
      <c r="AV479" s="214" t="str">
        <f ca="1">IF($AE496*$AA479*'Customer Base'!$D$26*0.8&gt;5800,"",IF($AE496*$AA479&gt;$AA501,"",IF(($AA$479*AV$476*$AE$496)&lt;=$AA$501,((MOD($AA$501,($AA$479*AV$476*$AE$496)))),"")))</f>
        <v/>
      </c>
      <c r="AW479" s="214" t="str">
        <f ca="1">IF($AE496*$AA479*'Customer Base'!$D$26*0.8&gt;5800,"",IF($AE496*$AA479&gt;$AA501,"",IF(($AA$479*AW$476*$AE$496)&lt;=$AA$501,((MOD($AA$501,($AA$479*AW$476*$AE$496)))),"")))</f>
        <v/>
      </c>
      <c r="AX479" s="214" t="str">
        <f ca="1">IF($AE496*$AA479*'Customer Base'!$D$26*0.8&gt;5800,"",IF($AE496*$AA479&gt;$AA501,"",IF(($AA$479*AX$476*$AE$496)&lt;=$AA$501,((MOD($AA$501,($AA$479*AX$476*$AE$496)))),"")))</f>
        <v/>
      </c>
      <c r="AY479" s="214" t="str">
        <f ca="1">IF($AE496*$AA479*'Customer Base'!$D$26*0.8&gt;5800,"",IF($AE496*$AA479&gt;$AA501,"",IF(($AA$479*AY$476*$AE$496)&lt;=$AA$501,((MOD($AA$501,($AA$479*AY$476*$AE$496)))),"")))</f>
        <v/>
      </c>
      <c r="AZ479" s="214" t="str">
        <f ca="1">IF($AE496*$AA479*'Customer Base'!$D$26*0.8&gt;5800,"",IF($AE496*$AA479&gt;$AA501,"",IF(($AA$479*AZ$476*$AE$496)&lt;=$AA$501,((MOD($AA$501,($AA$479*AZ$476*$AE$496)))),"")))</f>
        <v/>
      </c>
      <c r="BA479" s="214" t="str">
        <f ca="1">IF($AE496*$AA479*'Customer Base'!$D$26*0.8&gt;5800,"",IF($AE496*$AA479&gt;$AA501,"",IF(($AA$479*BA$476*$AE$496)&lt;=$AA$501,((MOD($AA$501,($AA$479*BA$476*$AE$496)))),"")))</f>
        <v/>
      </c>
      <c r="BB479" s="214" t="str">
        <f ca="1">IF($AE496*$AA479*'Customer Base'!$D$26*0.8&gt;5800,"",IF($AE496*$AA479&gt;$AA501,"",IF(($AA$479*BB$476*$AE$496)&lt;=$AA$501,((MOD($AA$501,($AA$479*BB$476*$AE$496)))),"")))</f>
        <v/>
      </c>
      <c r="BC479" s="214" t="str">
        <f ca="1">IF($AE496*$AA479*'Customer Base'!$D$26*0.8&gt;5800,"",IF($AE496*$AA479&gt;$AA501,"",IF(($AA$479*BC$476*$AE$496)&lt;=$AA$501,((MOD($AA$501,($AA$479*BC$476*$AE$496)))),"")))</f>
        <v/>
      </c>
      <c r="BD479" s="214" t="str">
        <f ca="1">IF($AE496*$AA479*'Customer Base'!$D$26*0.8&gt;5800,"",IF($AE496*$AA479&gt;$AA501,"",IF(($AA$479*BD$476*$AE$496)&lt;=$AA$501,((MOD($AA$501,($AA$479*BD$476*$AE$496)))),"")))</f>
        <v/>
      </c>
      <c r="BE479" s="214" t="str">
        <f ca="1">IF($AE496*$AA479*'Customer Base'!$D$26*0.8&gt;5800,"",IF($AE496*$AA479&gt;$AA501,"",IF(($AA$479*BE$476*$AE$496)&lt;=$AA$501,((MOD($AA$501,($AA$479*BE$476*$AE$496)))),"")))</f>
        <v/>
      </c>
      <c r="BF479" s="214" t="str">
        <f ca="1">IF($AE496*$AA479*'Customer Base'!$D$26*0.8&gt;5800,"",IF($AE496*$AA479&gt;$AA501,"",IF(($AA$479*BF$476*$AE$496)&lt;=$AA$501,((MOD($AA$501,($AA$479*BF$476*$AE$496)))),"")))</f>
        <v/>
      </c>
      <c r="BG479" s="214" t="str">
        <f ca="1">IF($AE496*$AA479*'Customer Base'!$D$26*0.8&gt;5800,"",IF($AE496*$AA479&gt;$AA501,"",IF(($AA$479*BG$476*$AE$496)&lt;=$AA$501,((MOD($AA$501,($AA$479*BG$476*$AE$496)))),"")))</f>
        <v/>
      </c>
      <c r="BH479" s="214" t="str">
        <f ca="1">IF($AE496*$AA479*'Customer Base'!$D$26*0.8&gt;5800,"",IF($AE496*$AA479&gt;$AA501,"",IF(($AA$479*BH$476*$AE$496)&lt;=$AA$501,((MOD($AA$501,($AA$479*BH$476*$AE$496)))),"")))</f>
        <v/>
      </c>
      <c r="BI479" s="214" t="str">
        <f ca="1">IF($AE496*$AA479*'Customer Base'!$D$26*0.8&gt;5800,"",IF($AE496*$AA479&gt;$AA501,"",IF(($AA$479*BI$476*$AE$496)&lt;=$AA$501,((MOD($AA$501,($AA$479*BI$476*$AE$496)))),"")))</f>
        <v/>
      </c>
      <c r="BJ479" s="214" t="str">
        <f ca="1">IF($AE496*$AA479*'Customer Base'!$D$26*0.8&gt;5800,"",IF($AE496*$AA479&gt;$AA501,"",IF(($AA$479*BJ$476*$AE$496)&lt;=$AA$501,((MOD($AA$501,($AA$479*BJ$476*$AE$496)))),"")))</f>
        <v/>
      </c>
      <c r="BK479" s="214" t="str">
        <f ca="1">IF($AE496*$AA479*'Customer Base'!$D$26*0.8&gt;5800,"",IF($AE496*$AA479&gt;$AA501,"",IF(($AA$479*BK$476*$AE$496)&lt;=$AA$501,((MOD($AA$501,($AA$479*BK$476*$AE$496)))),"")))</f>
        <v/>
      </c>
      <c r="BL479" s="214" t="str">
        <f ca="1">IF($AE496*$AA479*'Customer Base'!$D$26*0.8&gt;5800,"",IF($AE496*$AA479&gt;$AA501,"",IF(($AA$479*BL$476*$AE$496)&lt;=$AA$501,((MOD($AA$501,($AA$479*BL$476*$AE$496)))),"")))</f>
        <v/>
      </c>
      <c r="BM479" s="214" t="str">
        <f ca="1">IF($AE496*$AA479*'Customer Base'!$D$26*0.8&gt;5800,"",IF($AE496*$AA479&gt;$AA501,"",IF(($AA$479*BM$476*$AE$496)&lt;=$AA$501,((MOD($AA$501,($AA$479*BM$476*$AE$496)))),"")))</f>
        <v/>
      </c>
      <c r="BN479" s="214" t="str">
        <f ca="1">IF($AE496*$AA479*'Customer Base'!$D$26*0.8&gt;5800,"",IF($AE496*$AA479&gt;$AA501,"",IF(($AA$479*BN$476*$AE$496)&lt;=$AA$501,((MOD($AA$501,($AA$479*BN$476*$AE$496)))),"")))</f>
        <v/>
      </c>
      <c r="BO479" s="214" t="str">
        <f ca="1">IF($AE496*$AA479*'Customer Base'!$D$26*0.8&gt;5800,"",IF($AE496*$AA479&gt;$AA501,"",IF(($AA$479*BO$476*$AE$496)&lt;=$AA$501,((MOD($AA$501,($AA$479*BO$476*$AE$496)))),"")))</f>
        <v/>
      </c>
      <c r="BP479" s="214" t="str">
        <f ca="1">IF($AE496*$AA479*'Customer Base'!$D$26*0.8&gt;5800,"",IF($AE496*$AA479&gt;$AA501,"",IF(($AA$479*BP$476*$AE$496)&lt;=$AA$501,((MOD($AA$501,($AA$479*BP$476*$AE$496)))),"")))</f>
        <v/>
      </c>
      <c r="BQ479" s="214" t="str">
        <f ca="1">IF($AE496*$AA479*'Customer Base'!$D$26*0.8&gt;5800,"",IF($AE496*$AA479&gt;$AA501,"",IF(($AA$479*BQ$476*$AE$496)&lt;=$AA$501,((MOD($AA$501,($AA$479*BQ$476*$AE$496)))),"")))</f>
        <v/>
      </c>
      <c r="BR479" s="214" t="str">
        <f ca="1">IF($AE496*$AA479*'Customer Base'!$D$26*0.8&gt;5800,"",IF($AE496*$AA479&gt;$AA501,"",IF(($AA$479*BR$476*$AE$496)&lt;=$AA$501,((MOD($AA$501,($AA$479*BR$476*$AE$496)))),"")))</f>
        <v/>
      </c>
      <c r="BS479" s="214" t="str">
        <f ca="1">IF($AE496*$AA479*'Customer Base'!$D$26*0.8&gt;5800,"",IF($AE496*$AA479&gt;$AA501,"",IF(($AA$479*BS$476*$AE$496)&lt;=$AA$501,((MOD($AA$501,($AA$479*BS$476*$AE$496)))),"")))</f>
        <v/>
      </c>
      <c r="BT479" s="214" t="str">
        <f ca="1">IF($AE496*$AA479*'Customer Base'!$D$26*0.8&gt;5800,"",IF($AE496*$AA479&gt;$AA501,"",IF(($AA$479*BT$476*$AE$496)&lt;=$AA$501,((MOD($AA$501,($AA$479*BT$476*$AE$496)))),"")))</f>
        <v/>
      </c>
      <c r="BU479" s="214" t="str">
        <f ca="1">IF($AE496*$AA479*'Customer Base'!$D$26*0.8&gt;5800,"",IF($AE496*$AA479&gt;$AA501,"",IF(($AA$479*BU$476*$AE$496)&lt;=$AA$501,((MOD($AA$501,($AA$479*BU$476*$AE$496)))),"")))</f>
        <v/>
      </c>
      <c r="BV479" s="214" t="str">
        <f ca="1">IF($AE496*$AA479*'Customer Base'!$D$26*0.8&gt;5800,"",IF($AE496*$AA479&gt;$AA501,"",IF(($AA$479*BV$476*$AE$496)&lt;=$AA$501,((MOD($AA$501,($AA$479*BV$476*$AE$496)))),"")))</f>
        <v/>
      </c>
      <c r="BW479" s="214" t="str">
        <f ca="1">IF($AE496*$AA479*'Customer Base'!$D$26*0.8&gt;5800,"",IF($AE496*$AA479&gt;$AA501,"",IF(($AA$479*BW$476*$AE$496)&lt;=$AA$501,((MOD($AA$501,($AA$479*BW$476*$AE$496)))),"")))</f>
        <v/>
      </c>
      <c r="BX479" s="214" t="str">
        <f ca="1">IF($AE496*$AA479*'Customer Base'!$D$26*0.8&gt;5800,"",IF($AE496*$AA479&gt;$AA501,"",IF(($AA$479*BX$476*$AE$496)&lt;=$AA$501,((MOD($AA$501,($AA$479*BX$476*$AE$496)))),"")))</f>
        <v/>
      </c>
      <c r="BY479" s="214" t="str">
        <f ca="1">IF($AE496*$AA479*'Customer Base'!$D$26*0.8&gt;5800,"",IF($AE496*$AA479&gt;$AA501,"",IF(($AA$479*BY$476*$AE$496)&lt;=$AA$501,((MOD($AA$501,($AA$479*BY$476*$AE$496)))),"")))</f>
        <v/>
      </c>
      <c r="BZ479" s="214" t="str">
        <f ca="1">IF($AE496*$AA479*'Customer Base'!$D$26*0.8&gt;5800,"",IF($AE496*$AA479&gt;$AA501,"",IF(($AA$479*BZ$476*$AE$496)&lt;=$AA$501,((MOD($AA$501,($AA$479*BZ$476*$AE$496)))),"")))</f>
        <v/>
      </c>
      <c r="CA479" s="214" t="str">
        <f ca="1">IF($AE496*$AA479*'Customer Base'!$D$26*0.8&gt;5800,"",IF($AE496*$AA479&gt;$AA501,"",IF(($AA$479*CA$476*$AE$496)&lt;=$AA$501,((MOD($AA$501,($AA$479*CA$476*$AE$496)))),"")))</f>
        <v/>
      </c>
      <c r="CB479" s="214" t="str">
        <f ca="1">IF($AE496*$AA479*'Customer Base'!$D$26*0.8&gt;5800,"",IF($AE496*$AA479&gt;$AA501,"",IF(($AA$479*CB$476*$AE$496)&lt;=$AA$501,((MOD($AA$501,($AA$479*CB$476*$AE$496)))),"")))</f>
        <v/>
      </c>
      <c r="CC479" s="214" t="str">
        <f ca="1">IF($AE496*$AA479*'Customer Base'!$D$26*0.8&gt;5800,"",IF($AE496*$AA479&gt;$AA501,"",IF(($AA$479*CC$476*$AE$496)&lt;=$AA$501,((MOD($AA$501,($AA$479*CC$476*$AE$496)))),"")))</f>
        <v/>
      </c>
      <c r="CD479" s="214" t="str">
        <f ca="1">IF($AE496*$AA479*'Customer Base'!$D$26*0.8&gt;5800,"",IF($AE496*$AA479&gt;$AA501,"",IF(($AA$479*CD$476*$AE$496)&lt;=$AA$501,((MOD($AA$501,($AA$479*CD$476*$AE$496)))),"")))</f>
        <v/>
      </c>
      <c r="CE479" s="214" t="str">
        <f ca="1">IF($AE496*$AA479*'Customer Base'!$D$26*0.8&gt;5800,"",IF($AE496*$AA479&gt;$AA501,"",IF(($AA$479*CE$476*$AE$496)&lt;=$AA$501,((MOD($AA$501,($AA$479*CE$476*$AE$496)))),"")))</f>
        <v/>
      </c>
      <c r="CF479" s="214" t="str">
        <f ca="1">IF($AE496*$AA479*'Customer Base'!$D$26*0.8&gt;5800,"",IF($AE496*$AA479&gt;$AA501,"",IF(($AA$479*CF$476*$AE$496)&lt;=$AA$501,((MOD($AA$501,($AA$479*CF$476*$AE$496)))),"")))</f>
        <v/>
      </c>
      <c r="CG479" s="214" t="str">
        <f ca="1">IF($AE496*$AA479*'Customer Base'!$D$26*0.8&gt;5800,"",IF($AE496*$AA479&gt;$AA501,"",IF(($AA$479*CG$476*$AE$496)&lt;=$AA$501,((MOD($AA$501,($AA$479*CG$476*$AE$496)))),"")))</f>
        <v/>
      </c>
      <c r="CH479" s="214" t="str">
        <f ca="1">IF($AE496*$AA479*'Customer Base'!$D$26*0.8&gt;5800,"",IF($AE496*$AA479&gt;$AA501,"",IF(($AA$479*CH$476*$AE$496)&lt;=$AA$501,((MOD($AA$501,($AA$479*CH$476*$AE$496)))),"")))</f>
        <v/>
      </c>
      <c r="CI479" s="214" t="str">
        <f ca="1">IF($AE496*$AA479*'Customer Base'!$D$26*0.8&gt;5800,"",IF($AE496*$AA479&gt;$AA501,"",IF(($AA$479*CI$476*$AE$496)&lt;=$AA$501,((MOD($AA$501,($AA$479*CI$476*$AE$496)))),"")))</f>
        <v/>
      </c>
      <c r="CJ479" s="214" t="str">
        <f ca="1">IF($AE496*$AA479*'Customer Base'!$D$26*0.8&gt;5800,"",IF($AE496*$AA479&gt;$AA501,"",IF(($AA$479*CJ$476*$AE$496)&lt;=$AA$501,((MOD($AA$501,($AA$479*CJ$476*$AE$496)))),"")))</f>
        <v/>
      </c>
      <c r="CK479" s="214" t="str">
        <f ca="1">IF($AE496*$AA479*'Customer Base'!$D$26*0.8&gt;5800,"",IF($AE496*$AA479&gt;$AA501,"",IF(($AA$479*CK$476*$AE$496)&lt;=$AA$501,((MOD($AA$501,($AA$479*CK$476*$AE$496)))),"")))</f>
        <v/>
      </c>
      <c r="CL479" s="214" t="str">
        <f ca="1">IF($AE496*$AA479*'Customer Base'!$D$26*0.8&gt;5800,"",IF($AE496*$AA479&gt;$AA501,"",IF(($AA$479*CL$476*$AE$496)&lt;=$AA$501,((MOD($AA$501,($AA$479*CL$476*$AE$496)))),"")))</f>
        <v/>
      </c>
      <c r="CM479" s="214" t="str">
        <f ca="1">IF($AE496*$AA479*'Customer Base'!$D$26*0.8&gt;5800,"",IF($AE496*$AA479&gt;$AA501,"",IF(($AA$479*CM$476*$AE$496)&lt;=$AA$501,((MOD($AA$501,($AA$479*CM$476*$AE$496)))),"")))</f>
        <v/>
      </c>
      <c r="CN479" s="214" t="str">
        <f ca="1">IF($AE496*$AA479*'Customer Base'!$D$26*0.8&gt;5800,"",IF($AE496*$AA479&gt;$AA501,"",IF(($AA$479*CN$476*$AE$496)&lt;=$AA$501,((MOD($AA$501,($AA$479*CN$476*$AE$496)))),"")))</f>
        <v/>
      </c>
      <c r="CO479" s="214" t="str">
        <f ca="1">IF($AE496*$AA479*'Customer Base'!$D$26*0.8&gt;5800,"",IF($AE496*$AA479&gt;$AA501,"",IF(($AA$479*CO$476*$AE$496)&lt;=$AA$501,((MOD($AA$501,($AA$479*CO$476*$AE$496)))),"")))</f>
        <v/>
      </c>
      <c r="CP479" s="214" t="str">
        <f ca="1">IF($AE496*$AA479*'Customer Base'!$D$26*0.8&gt;5800,"",IF($AE496*$AA479&gt;$AA501,"",IF(($AA$479*CP$476*$AE$496)&lt;=$AA$501,((MOD($AA$501,($AA$479*CP$476*$AE$496)))),"")))</f>
        <v/>
      </c>
      <c r="CQ479" s="214" t="str">
        <f ca="1">IF($AE496*$AA479*'Customer Base'!$D$26*0.8&gt;5800,"",IF($AE496*$AA479&gt;$AA501,"",IF(($AA$479*CQ$476*$AE$496)&lt;=$AA$501,((MOD($AA$501,($AA$479*CQ$476*$AE$496)))),"")))</f>
        <v/>
      </c>
      <c r="CR479" s="214" t="str">
        <f ca="1">IF($AE496*$AA479*'Customer Base'!$D$26*0.8&gt;5800,"",IF($AE496*$AA479&gt;$AA501,"",IF(($AA$479*CR$476*$AE$496)&lt;=$AA$501,((MOD($AA$501,($AA$479*CR$476*$AE$496)))),"")))</f>
        <v/>
      </c>
      <c r="CS479" s="214" t="str">
        <f ca="1">IF($AE496*$AA479*'Customer Base'!$D$26*0.8&gt;5800,"",IF($AE496*$AA479&gt;$AA501,"",IF(($AA$479*CS$476*$AE$496)&lt;=$AA$501,((MOD($AA$501,($AA$479*CS$476*$AE$496)))),"")))</f>
        <v/>
      </c>
      <c r="CT479" s="214" t="str">
        <f ca="1">IF($AE496*$AA479*'Customer Base'!$D$26*0.8&gt;5800,"",IF($AE496*$AA479&gt;$AA501,"",IF(($AA$479*CT$476*$AE$496)&lt;=$AA$501,((MOD($AA$501,($AA$479*CT$476*$AE$496)))),"")))</f>
        <v/>
      </c>
      <c r="CU479" s="214" t="str">
        <f ca="1">IF($AE496*$AA479*'Customer Base'!$D$26*0.8&gt;5800,"",IF($AE496*$AA479&gt;$AA501,"",IF(($AA$479*CU$476*$AE$496)&lt;=$AA$501,((MOD($AA$501,($AA$479*CU$476*$AE$496)))),"")))</f>
        <v/>
      </c>
      <c r="CV479" s="214" t="str">
        <f ca="1">IF($AE496*$AA479*'Customer Base'!$D$26*0.8&gt;5800,"",IF($AE496*$AA479&gt;$AA501,"",IF(($AA$479*CV$476*$AE$496)&lt;=$AA$501,((MOD($AA$501,($AA$479*CV$476*$AE$496)))),"")))</f>
        <v/>
      </c>
      <c r="CW479" s="214" t="str">
        <f ca="1">IF($AE496*$AA479*'Customer Base'!$D$26*0.8&gt;5800,"",IF($AE496*$AA479&gt;$AA501,"",IF(($AA$479*CW$476*$AE$496)&lt;=$AA$501,((MOD($AA$501,($AA$479*CW$476*$AE$496)))),"")))</f>
        <v/>
      </c>
      <c r="CX479" s="214" t="str">
        <f ca="1">IF($AE496*$AA479*'Customer Base'!$D$26*0.8&gt;5800,"",IF($AE496*$AA479&gt;$AA501,"",IF(($AA$479*CX$476*$AE$496)&lt;=$AA$501,((MOD($AA$501,($AA$479*CX$476*$AE$496)))),"")))</f>
        <v/>
      </c>
      <c r="CY479" s="214" t="str">
        <f ca="1">IF($AE496*$AA479*'Customer Base'!$D$26*0.8&gt;5800,"",IF($AE496*$AA479&gt;$AA501,"",IF(($AA$479*CY$476*$AE$496)&lt;=$AA$501,((MOD($AA$501,($AA$479*CY$476*$AE$496)))),"")))</f>
        <v/>
      </c>
      <c r="CZ479" s="214" t="str">
        <f ca="1">IF($AE496*$AA479*'Customer Base'!$D$26*0.8&gt;5800,"",IF($AE496*$AA479&gt;$AA501,"",IF(($AA$479*CZ$476*$AE$496)&lt;=$AA$501,((MOD($AA$501,($AA$479*CZ$476*$AE$496)))),"")))</f>
        <v/>
      </c>
      <c r="DA479" s="214" t="str">
        <f ca="1">IF($AE496*$AA479*'Customer Base'!$D$26*0.8&gt;5800,"",IF($AE496*$AA479&gt;$AA501,"",IF(($AA$479*DA$476*$AE$496)&lt;=$AA$501,((MOD($AA$501,($AA$479*DA$476*$AE$496)))),"")))</f>
        <v/>
      </c>
      <c r="DB479" s="214" t="str">
        <f ca="1">IF($AE496*$AA479*'Customer Base'!$D$26*0.8&gt;5800,"",IF($AE496*$AA479&gt;$AA501,"",IF(($AA$479*DB$476*$AE$496)&lt;=$AA$501,((MOD($AA$501,($AA$479*DB$476*$AE$496)))),"")))</f>
        <v/>
      </c>
      <c r="DC479" s="214" t="str">
        <f ca="1">IF($AE496*$AA479*'Customer Base'!$D$26*0.8&gt;5800,"",IF($AE496*$AA479&gt;$AA501,"",IF(($AA$479*DC$476*$AE$496)&lt;=$AA$501,((MOD($AA$501,($AA$479*DC$476*$AE$496)))),"")))</f>
        <v/>
      </c>
      <c r="DD479" s="214" t="str">
        <f ca="1">IF($AE496*$AA479*'Customer Base'!$D$26*0.8&gt;5800,"",IF($AE496*$AA479&gt;$AA501,"",IF(($AA$479*DD$476*$AE$496)&lt;=$AA$501,((MOD($AA$501,($AA$479*DD$476*$AE$496)))),"")))</f>
        <v/>
      </c>
      <c r="DE479" s="214" t="str">
        <f ca="1">IF($AE496*$AA479*'Customer Base'!$D$26*0.8&gt;5800,"",IF($AE496*$AA479&gt;$AA501,"",IF(($AA$479*DE$476*$AE$496)&lt;=$AA$501,((MOD($AA$501,($AA$479*DE$476*$AE$496)))),"")))</f>
        <v/>
      </c>
      <c r="DF479" s="214" t="str">
        <f ca="1">IF($AE496*$AA479*'Customer Base'!$D$26*0.8&gt;5800,"",IF($AE496*$AA479&gt;$AA501,"",IF(($AA$479*DF$476*$AE$496)&lt;=$AA$501,((MOD($AA$501,($AA$479*DF$476*$AE$496)))),"")))</f>
        <v/>
      </c>
      <c r="DG479" s="214" t="str">
        <f ca="1">IF($AE496*$AA479*'Customer Base'!$D$26*0.8&gt;5800,"",IF($AE496*$AA479&gt;$AA501,"",IF(($AA$479*DG$476*$AE$496)&lt;=$AA$501,((MOD($AA$501,($AA$479*DG$476*$AE$496)))),"")))</f>
        <v/>
      </c>
      <c r="DH479" s="214" t="str">
        <f ca="1">IF($AE496*$AA479*'Customer Base'!$D$26*0.8&gt;5800,"",IF($AE496*$AA479&gt;$AA501,"",IF(($AA$479*DH$476*$AE$496)&lt;=$AA$501,((MOD($AA$501,($AA$479*DH$476*$AE$496)))),"")))</f>
        <v/>
      </c>
      <c r="DI479" s="214" t="str">
        <f ca="1">IF($AE496*$AA479*'Customer Base'!$D$26*0.8&gt;5800,"",IF($AE496*$AA479&gt;$AA501,"",IF(($AA$479*DI$476*$AE$496)&lt;=$AA$501,((MOD($AA$501,($AA$479*DI$476*$AE$496)))),"")))</f>
        <v/>
      </c>
      <c r="DJ479" s="214" t="str">
        <f ca="1">IF($AE496*$AA479*'Customer Base'!$D$26*0.8&gt;5800,"",IF($AE496*$AA479&gt;$AA501,"",IF(($AA$479*DJ$476*$AE$496)&lt;=$AA$501,((MOD($AA$501,($AA$479*DJ$476*$AE$496)))),"")))</f>
        <v/>
      </c>
      <c r="DK479" s="214" t="str">
        <f ca="1">IF($AE496*$AA479*'Customer Base'!$D$26*0.8&gt;5800,"",IF($AE496*$AA479&gt;$AA501,"",IF(($AA$479*DK$476*$AE$496)&lt;=$AA$501,((MOD($AA$501,($AA$479*DK$476*$AE$496)))),"")))</f>
        <v/>
      </c>
      <c r="DL479" s="214" t="str">
        <f ca="1">IF($AE496*$AA479*'Customer Base'!$D$26*0.8&gt;5800,"",IF($AE496*$AA479&gt;$AA501,"",IF(($AA$479*DL$476*$AE$496)&lt;=$AA$501,((MOD($AA$501,($AA$479*DL$476*$AE$496)))),"")))</f>
        <v/>
      </c>
      <c r="DM479" s="214" t="str">
        <f ca="1">IF($AE496*$AA479*'Customer Base'!$D$26*0.8&gt;5800,"",IF($AE496*$AA479&gt;$AA501,"",IF(($AA$479*DM$476*$AE$496)&lt;=$AA$501,((MOD($AA$501,($AA$479*DM$476*$AE$496)))),"")))</f>
        <v/>
      </c>
      <c r="DN479" s="214" t="str">
        <f ca="1">IF($AE496*$AA479*'Customer Base'!$D$26*0.8&gt;5800,"",IF($AE496*$AA479&gt;$AA501,"",IF(($AA$479*DN$476*$AE$496)&lt;=$AA$501,((MOD($AA$501,($AA$479*DN$476*$AE$496)))),"")))</f>
        <v/>
      </c>
      <c r="DO479" s="214" t="str">
        <f ca="1">IF($AE496*$AA479*'Customer Base'!$D$26*0.8&gt;5800,"",IF($AE496*$AA479&gt;$AA501,"",IF(($AA$479*DO$476*$AE$496)&lt;=$AA$501,((MOD($AA$501,($AA$479*DO$476*$AE$496)))),"")))</f>
        <v/>
      </c>
      <c r="DP479" s="214" t="str">
        <f ca="1">IF($AE496*$AA479*'Customer Base'!$D$26*0.8&gt;5800,"",IF($AE496*$AA479&gt;$AA501,"",IF(($AA$479*DP$476*$AE$496)&lt;=$AA$501,((MOD($AA$501,($AA$479*DP$476*$AE$496)))),"")))</f>
        <v/>
      </c>
      <c r="DQ479" s="214" t="str">
        <f ca="1">IF($AE496*$AA479*'Customer Base'!$D$26*0.8&gt;5800,"",IF($AE496*$AA479&gt;$AA501,"",IF(($AA$479*DQ$476*$AE$496)&lt;=$AA$501,((MOD($AA$501,($AA$479*DQ$476*$AE$496)))),"")))</f>
        <v/>
      </c>
      <c r="DR479" s="214" t="str">
        <f ca="1">IF($AE496*$AA479*'Customer Base'!$D$26*0.8&gt;5800,"",IF($AE496*$AA479&gt;$AA501,"",IF(($AA$479*DR$476*$AE$496)&lt;=$AA$501,((MOD($AA$501,($AA$479*DR$476*$AE$496)))),"")))</f>
        <v/>
      </c>
      <c r="DS479" s="214" t="str">
        <f ca="1">IF($AE496*$AA479*'Customer Base'!$D$26*0.8&gt;5800,"",IF($AE496*$AA479&gt;$AA501,"",IF(($AA$479*DS$476*$AE$496)&lt;=$AA$501,((MOD($AA$501,($AA$479*DS$476*$AE$496)))),"")))</f>
        <v/>
      </c>
      <c r="DT479" s="214" t="str">
        <f ca="1">IF($AE496*$AA479*'Customer Base'!$D$26*0.8&gt;5800,"",IF($AE496*$AA479&gt;$AA501,"",IF(($AA$479*DT$476*$AE$496)&lt;=$AA$501,((MOD($AA$501,($AA$479*DT$476*$AE$496)))),"")))</f>
        <v/>
      </c>
      <c r="DU479" s="214" t="str">
        <f ca="1">IF($AE496*$AA479*'Customer Base'!$D$26*0.8&gt;5800,"",IF($AE496*$AA479&gt;$AA501,"",IF(($AA$479*DU$476*$AE$496)&lt;=$AA$501,((MOD($AA$501,($AA$479*DU$476*$AE$496)))),"")))</f>
        <v/>
      </c>
      <c r="DV479" s="214" t="str">
        <f ca="1">IF($AE496*$AA479*'Customer Base'!$D$26*0.8&gt;5800,"",IF($AE496*$AA479&gt;$AA501,"",IF(($AA$479*DV$476*$AE$496)&lt;=$AA$501,((MOD($AA$501,($AA$479*DV$476*$AE$496)))),"")))</f>
        <v/>
      </c>
      <c r="DW479" s="214" t="str">
        <f ca="1">IF($AE496*$AA479*'Customer Base'!$D$26*0.8&gt;5800,"",IF($AE496*$AA479&gt;$AA501,"",IF(($AA$479*DW$476*$AE$496)&lt;=$AA$501,((MOD($AA$501,($AA$479*DW$476*$AE$496)))),"")))</f>
        <v/>
      </c>
      <c r="DX479" s="214" t="str">
        <f ca="1">IF($AE496*$AA479*'Customer Base'!$D$26*0.8&gt;5800,"",IF($AE496*$AA479&gt;$AA501,"",IF(($AA$479*DX$476*$AE$496)&lt;=$AA$501,((MOD($AA$501,($AA$479*DX$476*$AE$496)))),"")))</f>
        <v/>
      </c>
      <c r="DY479" s="214" t="str">
        <f ca="1">IF($AE496*$AA479*'Customer Base'!$D$26*0.8&gt;5800,"",IF($AE496*$AA479&gt;$AA501,"",IF(($AA$479*DY$476*$AE$496)&lt;=$AA$501,((MOD($AA$501,($AA$479*DY$476*$AE$496)))),"")))</f>
        <v/>
      </c>
      <c r="DZ479" s="214" t="str">
        <f ca="1">IF($AE496*$AA479*'Customer Base'!$D$26*0.8&gt;5800,"",IF($AE496*$AA479&gt;$AA501,"",IF(($AA$479*DZ$476*$AE$496)&lt;=$AA$501,((MOD($AA$501,($AA$479*DZ$476*$AE$496)))),"")))</f>
        <v/>
      </c>
      <c r="EA479" s="214" t="str">
        <f ca="1">IF($AE496*$AA479*'Customer Base'!$D$26*0.8&gt;5800,"",IF($AE496*$AA479&gt;$AA501,"",IF(($AA$479*EA$476*$AE$496)&lt;=$AA$501,((MOD($AA$501,($AA$479*EA$476*$AE$496)))),"")))</f>
        <v/>
      </c>
      <c r="EC479" s="214" cm="1">
        <f t="array" aca="1" ref="EC479" ca="1">IFERROR(LOOKUP(2,1/(AF479:EA479&lt;&gt;""),AF$482:EA$482),"")</f>
        <v>10</v>
      </c>
      <c r="ED479" s="316" t="str" cm="1">
        <f t="array" aca="1" ref="ED479" ca="1">IF(EC$474=EC479,LOOKUP(2,1/(AF479:EA479&lt;&gt;""),AF479:EA479),"")</f>
        <v/>
      </c>
      <c r="EE479" s="316" t="str">
        <f ca="1">IF(ED479=ED$474,1,"")</f>
        <v/>
      </c>
      <c r="EF479" s="316"/>
      <c r="EG479" s="316"/>
      <c r="EH479" s="316"/>
      <c r="EI479" s="214">
        <v>4</v>
      </c>
      <c r="EJ479" s="316" t="s">
        <v>2700</v>
      </c>
      <c r="EK479" s="214">
        <f>IFERROR(MOD(EL$495,EI479),"")</f>
        <v>0</v>
      </c>
      <c r="EL479" s="214" t="str">
        <f>IF(OR(EL483=1,EL483=""),"",IF(EK479=0,EI479,IF(AND(EK479&lt;&gt;0,EK478&lt;&gt;0,EK477&lt;&gt;0),EI479,IF(AND(EK479&lt;&gt;0,EK478&lt;&gt;0,EK477=0),EI479,""))))</f>
        <v/>
      </c>
      <c r="EM479" s="214" t="str">
        <f>IFERROR(ROUNDDOWN(EL$495/EL479,0),"")</f>
        <v/>
      </c>
      <c r="EN479" s="214">
        <f ca="1">IF($AE496*$AA479*'Customer Base'!$D$26*0.8&gt;5800,"",IF($AE496*$AA479&gt;$AA501,"",IF(($AA$479*EN$476*$AE$496)&lt;=$ED$474,((MOD($ED$474,($AA$479*EN$476*$AE$496)))),"")))</f>
        <v>0</v>
      </c>
      <c r="EO479" s="214" t="str">
        <f ca="1">IF($AE496*$AA479*'Customer Base'!$D$26*0.8&gt;5800,"",IF($AE496*$AA479&gt;$AA501,"",IF(($AA$479*EO$476*$AE$496)&lt;=$ED$474,((MOD($ED$474,($AA$479*EO$476*$AE$496)))),"")))</f>
        <v/>
      </c>
      <c r="EP479" s="214" t="str">
        <f ca="1">IF($AE496*$AA479*'Customer Base'!$D$26*0.8&gt;5800,"",IF($AE496*$AA479&gt;$AA501,"",IF(($AA$479*EP$476*$AE$496)&lt;=$ED$474,((MOD($ED$474,($AA$479*EP$476*$AE$496)))),"")))</f>
        <v/>
      </c>
      <c r="EQ479" s="214" t="str">
        <f ca="1">IF($AE496*$AA479*'Customer Base'!$D$26*0.8&gt;5800,"",IF($AE496*$AA479&gt;$AA501,"",IF(($AA$479*EQ$476*$AE$496)&lt;=$ED$474,((MOD($ED$474,($AA$479*EQ$476*$AE$496)))),"")))</f>
        <v/>
      </c>
      <c r="ER479" s="214" t="str">
        <f ca="1">IF($AE496*$AA479*'Customer Base'!$D$26*0.8&gt;5800,"",IF($AE496*$AA479&gt;$AA501,"",IF(($AA$479*ER$476*$AE$496)&lt;=$ED$474,((MOD($ED$474,($AA$479*ER$476*$AE$496)))),"")))</f>
        <v/>
      </c>
      <c r="ES479" s="214" t="str">
        <f ca="1">IF($AE496*$AA479*'Customer Base'!$D$26*0.8&gt;5800,"",IF($AE496*$AA479&gt;$AA501,"",IF(($AA$479*ES$476*$AE$496)&lt;=$ED$474,((MOD($ED$474,($AA$479*ES$476*$AE$496)))),"")))</f>
        <v/>
      </c>
      <c r="ET479" s="214" t="str">
        <f ca="1">IF($AE496*$AA479*'Customer Base'!$D$26*0.8&gt;5800,"",IF($AE496*$AA479&gt;$AA501,"",IF(($AA$479*ET$476*$AE$496)&lt;=$ED$474,((MOD($ED$474,($AA$479*ET$476*$AE$496)))),"")))</f>
        <v/>
      </c>
      <c r="EU479" s="214" t="str">
        <f ca="1">IF($AE496*$AA479*'Customer Base'!$D$26*0.8&gt;5800,"",IF($AE496*$AA479&gt;$AA501,"",IF(($AA$479*EU$476*$AE$496)&lt;=$ED$474,((MOD($ED$474,($AA$479*EU$476*$AE$496)))),"")))</f>
        <v/>
      </c>
      <c r="EV479" s="214" t="str">
        <f ca="1">IF($AE496*$AA479*'Customer Base'!$D$26*0.8&gt;5800,"",IF($AE496*$AA479&gt;$AA501,"",IF(($AA$479*EV$476*$AE$496)&lt;=$ED$474,((MOD($ED$474,($AA$479*EV$476*$AE$496)))),"")))</f>
        <v/>
      </c>
      <c r="EW479" s="214" t="str">
        <f ca="1">IF($AE496*$AA479*'Customer Base'!$D$26*0.8&gt;5800,"",IF($AE496*$AA479&gt;$AA501,"",IF(($AA$479*EW$476*$AE$496)&lt;=$ED$474,((MOD($ED$474,($AA$479*EW$476*$AE$496)))),"")))</f>
        <v/>
      </c>
      <c r="EX479" s="214" t="str">
        <f ca="1">IF($AE496*$AA479*'Customer Base'!$D$26*0.8&gt;5800,"",IF($AE496*$AA479&gt;$AA501,"",IF(($AA$479*EX$476*$AE$496)&lt;=$ED$474,((MOD($ED$474,($AA$479*EX$476*$AE$496)))),"")))</f>
        <v/>
      </c>
      <c r="EY479" s="214" t="str">
        <f ca="1">IF($AE496*$AA479*'Customer Base'!$D$26*0.8&gt;5800,"",IF($AE496*$AA479&gt;$AA501,"",IF(($AA$479*EY$476*$AE$496)&lt;=$ED$474,((MOD($ED$474,($AA$479*EY$476*$AE$496)))),"")))</f>
        <v/>
      </c>
      <c r="EZ479" s="214" t="str">
        <f ca="1">IF($AE496*$AA479*'Customer Base'!$D$26*0.8&gt;5800,"",IF($AE496*$AA479&gt;$AA501,"",IF(($AA$479*EZ$476*$AE$496)&lt;=$ED$474,((MOD($ED$474,($AA$479*EZ$476*$AE$496)))),"")))</f>
        <v/>
      </c>
      <c r="FA479" s="214" t="str">
        <f ca="1">IF($AE496*$AA479*'Customer Base'!$D$26*0.8&gt;5800,"",IF($AE496*$AA479&gt;$AA501,"",IF(($AA$479*FA$476*$AE$496)&lt;=$ED$474,((MOD($ED$474,($AA$479*FA$476*$AE$496)))),"")))</f>
        <v/>
      </c>
      <c r="FB479" s="214" t="str">
        <f ca="1">IF($AE496*$AA479*'Customer Base'!$D$26*0.8&gt;5800,"",IF($AE496*$AA479&gt;$AA501,"",IF(($AA$479*FB$476*$AE$496)&lt;=$ED$474,((MOD($ED$474,($AA$479*FB$476*$AE$496)))),"")))</f>
        <v/>
      </c>
      <c r="FC479" s="214" t="str">
        <f ca="1">IF($AE496*$AA479*'Customer Base'!$D$26*0.8&gt;5800,"",IF($AE496*$AA479&gt;$AA501,"",IF(($AA$479*FC$476*$AE$496)&lt;=$ED$474,((MOD($ED$474,($AA$479*FC$476*$AE$496)))),"")))</f>
        <v/>
      </c>
      <c r="FD479" s="214" t="str">
        <f ca="1">IF($AE496*$AA479*'Customer Base'!$D$26*0.8&gt;5800,"",IF($AE496*$AA479&gt;$AA501,"",IF(($AA$479*FD$476*$AE$496)&lt;=$ED$474,((MOD($ED$474,($AA$479*FD$476*$AE$496)))),"")))</f>
        <v/>
      </c>
      <c r="FE479" s="214" t="str">
        <f ca="1">IF($AE496*$AA479*'Customer Base'!$D$26*0.8&gt;5800,"",IF($AE496*$AA479&gt;$AA501,"",IF(($AA$479*FE$476*$AE$496)&lt;=$ED$474,((MOD($ED$474,($AA$479*FE$476*$AE$496)))),"")))</f>
        <v/>
      </c>
      <c r="FF479" s="214" t="str">
        <f ca="1">IF($AE496*$AA479*'Customer Base'!$D$26*0.8&gt;5800,"",IF($AE496*$AA479&gt;$AA501,"",IF(($AA$479*FF$476*$AE$496)&lt;=$ED$474,((MOD($ED$474,($AA$479*FF$476*$AE$496)))),"")))</f>
        <v/>
      </c>
      <c r="FG479" s="214" t="str">
        <f ca="1">IF($AE496*$AA479*'Customer Base'!$D$26*0.8&gt;5800,"",IF($AE496*$AA479&gt;$AA501,"",IF(($AA$479*FG$476*$AE$496)&lt;=$ED$474,((MOD($ED$474,($AA$479*FG$476*$AE$496)))),"")))</f>
        <v/>
      </c>
      <c r="FH479" s="214" t="str">
        <f ca="1">IF($AE496*$AA479*'Customer Base'!$D$26*0.8&gt;5800,"",IF($AE496*$AA479&gt;$AA501,"",IF(($AA$479*FH$476*$AE$496)&lt;=$ED$474,((MOD($ED$474,($AA$479*FH$476*$AE$496)))),"")))</f>
        <v/>
      </c>
      <c r="FI479" s="214" t="str">
        <f ca="1">IF($AE496*$AA479*'Customer Base'!$D$26*0.8&gt;5800,"",IF($AE496*$AA479&gt;$AA501,"",IF(($AA$479*FI$476*$AE$496)&lt;=$ED$474,((MOD($ED$474,($AA$479*FI$476*$AE$496)))),"")))</f>
        <v/>
      </c>
      <c r="FJ479" s="214" t="str">
        <f ca="1">IF($AE496*$AA479*'Customer Base'!$D$26*0.8&gt;5800,"",IF($AE496*$AA479&gt;$AA501,"",IF(($AA$479*FJ$476*$AE$496)&lt;=$ED$474,((MOD($ED$474,($AA$479*FJ$476*$AE$496)))),"")))</f>
        <v/>
      </c>
      <c r="FK479" s="214" t="str">
        <f ca="1">IF($AE496*$AA479*'Customer Base'!$D$26*0.8&gt;5800,"",IF($AE496*$AA479&gt;$AA501,"",IF(($AA$479*FK$476*$AE$496)&lt;=$ED$474,((MOD($ED$474,($AA$479*FK$476*$AE$496)))),"")))</f>
        <v/>
      </c>
      <c r="FL479" s="214" t="str">
        <f ca="1">IF($AE496*$AA479*'Customer Base'!$D$26*0.8&gt;5800,"",IF($AE496*$AA479&gt;$AA501,"",IF(($AA$479*FL$476*$AE$496)&lt;=$ED$474,((MOD($ED$474,($AA$479*FL$476*$AE$496)))),"")))</f>
        <v/>
      </c>
      <c r="FM479" s="214" t="str">
        <f ca="1">IF($AE496*$AA479*'Customer Base'!$D$26*0.8&gt;5800,"",IF($AE496*$AA479&gt;$AA501,"",IF(($AA$479*FM$476*$AE$496)&lt;=$ED$474,((MOD($ED$474,($AA$479*FM$476*$AE$496)))),"")))</f>
        <v/>
      </c>
      <c r="FN479" s="214" t="str">
        <f ca="1">IF($AE496*$AA479*'Customer Base'!$D$26*0.8&gt;5800,"",IF($AE496*$AA479&gt;$AA501,"",IF(($AA$479*FN$476*$AE$496)&lt;=$ED$474,((MOD($ED$474,($AA$479*FN$476*$AE$496)))),"")))</f>
        <v/>
      </c>
      <c r="FO479" s="214" t="str">
        <f ca="1">IF($AE496*$AA479*'Customer Base'!$D$26*0.8&gt;5800,"",IF($AE496*$AA479&gt;$AA501,"",IF(($AA$479*FO$476*$AE$496)&lt;=$ED$474,((MOD($ED$474,($AA$479*FO$476*$AE$496)))),"")))</f>
        <v/>
      </c>
      <c r="FP479" s="214" t="str">
        <f ca="1">IF($AE496*$AA479*'Customer Base'!$D$26*0.8&gt;5800,"",IF($AE496*$AA479&gt;$AA501,"",IF(($AA$479*FP$476*$AE$496)&lt;=$ED$474,((MOD($ED$474,($AA$479*FP$476*$AE$496)))),"")))</f>
        <v/>
      </c>
      <c r="FQ479" s="214" t="str">
        <f ca="1">IF($AE496*$AA479*'Customer Base'!$D$26*0.8&gt;5800,"",IF($AE496*$AA479&gt;$AA501,"",IF(($AA$479*FQ$476*$AE$496)&lt;=$ED$474,((MOD($ED$474,($AA$479*FQ$476*$AE$496)))),"")))</f>
        <v/>
      </c>
      <c r="FR479" s="214" t="str">
        <f ca="1">IF($AE496*$AA479*'Customer Base'!$D$26*0.8&gt;5800,"",IF($AE496*$AA479&gt;$AA501,"",IF(($AA$479*FR$476*$AE$496)&lt;=$ED$474,((MOD($ED$474,($AA$479*FR$476*$AE$496)))),"")))</f>
        <v/>
      </c>
      <c r="FS479" s="214" t="str">
        <f ca="1">IF($AE496*$AA479*'Customer Base'!$D$26*0.8&gt;5800,"",IF($AE496*$AA479&gt;$AA501,"",IF(($AA$479*FS$476*$AE$496)&lt;=$ED$474,((MOD($ED$474,($AA$479*FS$476*$AE$496)))),"")))</f>
        <v/>
      </c>
      <c r="FT479" s="214" t="str">
        <f ca="1">IF($AE496*$AA479*'Customer Base'!$D$26*0.8&gt;5800,"",IF($AE496*$AA479&gt;$AA501,"",IF(($AA$479*FT$476*$AE$496)&lt;=$ED$474,((MOD($ED$474,($AA$479*FT$476*$AE$496)))),"")))</f>
        <v/>
      </c>
      <c r="FU479" s="214" t="str">
        <f ca="1">IF($AE496*$AA479*'Customer Base'!$D$26*0.8&gt;5800,"",IF($AE496*$AA479&gt;$AA501,"",IF(($AA$479*FU$476*$AE$496)&lt;=$ED$474,((MOD($ED$474,($AA$479*FU$476*$AE$496)))),"")))</f>
        <v/>
      </c>
      <c r="FV479" s="214" t="str">
        <f ca="1">IF($AE496*$AA479*'Customer Base'!$D$26*0.8&gt;5800,"",IF($AE496*$AA479&gt;$AA501,"",IF(($AA$479*FV$476*$AE$496)&lt;=$ED$474,((MOD($ED$474,($AA$479*FV$476*$AE$496)))),"")))</f>
        <v/>
      </c>
      <c r="FW479" s="214" t="str">
        <f ca="1">IF($AE496*$AA479*'Customer Base'!$D$26*0.8&gt;5800,"",IF($AE496*$AA479&gt;$AA501,"",IF(($AA$479*FW$476*$AE$496)&lt;=$ED$474,((MOD($ED$474,($AA$479*FW$476*$AE$496)))),"")))</f>
        <v/>
      </c>
      <c r="FX479" s="214" t="str">
        <f ca="1">IF($AE496*$AA479*'Customer Base'!$D$26*0.8&gt;5800,"",IF($AE496*$AA479&gt;$AA501,"",IF(($AA$479*FX$476*$AE$496)&lt;=$ED$474,((MOD($ED$474,($AA$479*FX$476*$AE$496)))),"")))</f>
        <v/>
      </c>
      <c r="FY479" s="214" t="str">
        <f ca="1">IF($AE496*$AA479*'Customer Base'!$D$26*0.8&gt;5800,"",IF($AE496*$AA479&gt;$AA501,"",IF(($AA$479*FY$476*$AE$496)&lt;=$ED$474,((MOD($ED$474,($AA$479*FY$476*$AE$496)))),"")))</f>
        <v/>
      </c>
      <c r="FZ479" s="214" t="str">
        <f ca="1">IF($AE496*$AA479*'Customer Base'!$D$26*0.8&gt;5800,"",IF($AE496*$AA479&gt;$AA501,"",IF(($AA$479*FZ$476*$AE$496)&lt;=$ED$474,((MOD($ED$474,($AA$479*FZ$476*$AE$496)))),"")))</f>
        <v/>
      </c>
      <c r="GA479" s="214" t="str">
        <f ca="1">IF($AE496*$AA479*'Customer Base'!$D$26*0.8&gt;5800,"",IF($AE496*$AA479&gt;$AA501,"",IF(($AA$479*GA$476*$AE$496)&lt;=$ED$474,((MOD($ED$474,($AA$479*GA$476*$AE$496)))),"")))</f>
        <v/>
      </c>
      <c r="GB479" s="214" t="str">
        <f ca="1">IF($AE496*$AA479*'Customer Base'!$D$26*0.8&gt;5800,"",IF($AE496*$AA479&gt;$AA501,"",IF(($AA$479*GB$476*$AE$496)&lt;=$ED$474,((MOD($ED$474,($AA$479*GB$476*$AE$496)))),"")))</f>
        <v/>
      </c>
      <c r="GC479" s="214" t="str">
        <f ca="1">IF($AE496*$AA479*'Customer Base'!$D$26*0.8&gt;5800,"",IF($AE496*$AA479&gt;$AA501,"",IF(($AA$479*GC$476*$AE$496)&lt;=$ED$474,((MOD($ED$474,($AA$479*GC$476*$AE$496)))),"")))</f>
        <v/>
      </c>
      <c r="GD479" s="214" t="str">
        <f ca="1">IF($AE496*$AA479*'Customer Base'!$D$26*0.8&gt;5800,"",IF($AE496*$AA479&gt;$AA501,"",IF(($AA$479*GD$476*$AE$496)&lt;=$ED$474,((MOD($ED$474,($AA$479*GD$476*$AE$496)))),"")))</f>
        <v/>
      </c>
      <c r="GE479" s="214" t="str">
        <f ca="1">IF($AE496*$AA479*'Customer Base'!$D$26*0.8&gt;5800,"",IF($AE496*$AA479&gt;$AA501,"",IF(($AA$479*GE$476*$AE$496)&lt;=$ED$474,((MOD($ED$474,($AA$479*GE$476*$AE$496)))),"")))</f>
        <v/>
      </c>
      <c r="GF479" s="214" t="str">
        <f ca="1">IF($AE496*$AA479*'Customer Base'!$D$26*0.8&gt;5800,"",IF($AE496*$AA479&gt;$AA501,"",IF(($AA$479*GF$476*$AE$496)&lt;=$ED$474,((MOD($ED$474,($AA$479*GF$476*$AE$496)))),"")))</f>
        <v/>
      </c>
      <c r="GG479" s="214" t="str">
        <f ca="1">IF($AE496*$AA479*'Customer Base'!$D$26*0.8&gt;5800,"",IF($AE496*$AA479&gt;$AA501,"",IF(($AA$479*GG$476*$AE$496)&lt;=$ED$474,((MOD($ED$474,($AA$479*GG$476*$AE$496)))),"")))</f>
        <v/>
      </c>
      <c r="GH479" s="214" t="str">
        <f ca="1">IF($AE496*$AA479*'Customer Base'!$D$26*0.8&gt;5800,"",IF($AE496*$AA479&gt;$AA501,"",IF(($AA$479*GH$476*$AE$496)&lt;=$ED$474,((MOD($ED$474,($AA$479*GH$476*$AE$496)))),"")))</f>
        <v/>
      </c>
      <c r="GI479" s="214" t="str">
        <f ca="1">IF($AE496*$AA479*'Customer Base'!$D$26*0.8&gt;5800,"",IF($AE496*$AA479&gt;$AA501,"",IF(($AA$479*GI$476*$AE$496)&lt;=$ED$474,((MOD($ED$474,($AA$479*GI$476*$AE$496)))),"")))</f>
        <v/>
      </c>
      <c r="GJ479" s="214" t="str">
        <f ca="1">IF($AE496*$AA479*'Customer Base'!$D$26*0.8&gt;5800,"",IF($AE496*$AA479&gt;$AA501,"",IF(($AA$479*GJ$476*$AE$496)&lt;=$ED$474,((MOD($ED$474,($AA$479*GJ$476*$AE$496)))),"")))</f>
        <v/>
      </c>
      <c r="GK479" s="214" t="str">
        <f ca="1">IF($AE496*$AA479*'Customer Base'!$D$26*0.8&gt;5800,"",IF($AE496*$AA479&gt;$AA501,"",IF(($AA$479*GK$476*$AE$496)&lt;=$ED$474,((MOD($ED$474,($AA$479*GK$476*$AE$496)))),"")))</f>
        <v/>
      </c>
      <c r="GL479" s="214" t="str">
        <f ca="1">IF($AE496*$AA479*'Customer Base'!$D$26*0.8&gt;5800,"",IF($AE496*$AA479&gt;$AA501,"",IF(($AA$479*GL$476*$AE$496)&lt;=$ED$474,((MOD($ED$474,($AA$479*GL$476*$AE$496)))),"")))</f>
        <v/>
      </c>
      <c r="GM479" s="214" t="str">
        <f ca="1">IF($AE496*$AA479*'Customer Base'!$D$26*0.8&gt;5800,"",IF($AE496*$AA479&gt;$AA501,"",IF(($AA$479*GM$476*$AE$496)&lt;=$ED$474,((MOD($ED$474,($AA$479*GM$476*$AE$496)))),"")))</f>
        <v/>
      </c>
      <c r="GN479" s="214" t="str">
        <f ca="1">IF($AE496*$AA479*'Customer Base'!$D$26*0.8&gt;5800,"",IF($AE496*$AA479&gt;$AA501,"",IF(($AA$479*GN$476*$AE$496)&lt;=$ED$474,((MOD($ED$474,($AA$479*GN$476*$AE$496)))),"")))</f>
        <v/>
      </c>
      <c r="GO479" s="214" t="str">
        <f ca="1">IF($AE496*$AA479*'Customer Base'!$D$26*0.8&gt;5800,"",IF($AE496*$AA479&gt;$AA501,"",IF(($AA$479*GO$476*$AE$496)&lt;=$ED$474,((MOD($ED$474,($AA$479*GO$476*$AE$496)))),"")))</f>
        <v/>
      </c>
      <c r="GP479" s="214" t="str">
        <f ca="1">IF($AE496*$AA479*'Customer Base'!$D$26*0.8&gt;5800,"",IF($AE496*$AA479&gt;$AA501,"",IF(($AA$479*GP$476*$AE$496)&lt;=$ED$474,((MOD($ED$474,($AA$479*GP$476*$AE$496)))),"")))</f>
        <v/>
      </c>
      <c r="GQ479" s="214" t="str">
        <f ca="1">IF($AE496*$AA479*'Customer Base'!$D$26*0.8&gt;5800,"",IF($AE496*$AA479&gt;$AA501,"",IF(($AA$479*GQ$476*$AE$496)&lt;=$ED$474,((MOD($ED$474,($AA$479*GQ$476*$AE$496)))),"")))</f>
        <v/>
      </c>
      <c r="GR479" s="214" t="str">
        <f ca="1">IF($AE496*$AA479*'Customer Base'!$D$26*0.8&gt;5800,"",IF($AE496*$AA479&gt;$AA501,"",IF(($AA$479*GR$476*$AE$496)&lt;=$ED$474,((MOD($ED$474,($AA$479*GR$476*$AE$496)))),"")))</f>
        <v/>
      </c>
      <c r="GS479" s="214" t="str">
        <f ca="1">IF($AE496*$AA479*'Customer Base'!$D$26*0.8&gt;5800,"",IF($AE496*$AA479&gt;$AA501,"",IF(($AA$479*GS$476*$AE$496)&lt;=$ED$474,((MOD($ED$474,($AA$479*GS$476*$AE$496)))),"")))</f>
        <v/>
      </c>
      <c r="GT479" s="214" t="str">
        <f ca="1">IF($AE496*$AA479*'Customer Base'!$D$26*0.8&gt;5800,"",IF($AE496*$AA479&gt;$AA501,"",IF(($AA$479*GT$476*$AE$496)&lt;=$ED$474,((MOD($ED$474,($AA$479*GT$476*$AE$496)))),"")))</f>
        <v/>
      </c>
      <c r="GU479" s="214" t="str">
        <f ca="1">IF($AE496*$AA479*'Customer Base'!$D$26*0.8&gt;5800,"",IF($AE496*$AA479&gt;$AA501,"",IF(($AA$479*GU$476*$AE$496)&lt;=$ED$474,((MOD($ED$474,($AA$479*GU$476*$AE$496)))),"")))</f>
        <v/>
      </c>
      <c r="GV479" s="214" t="str">
        <f ca="1">IF($AE496*$AA479*'Customer Base'!$D$26*0.8&gt;5800,"",IF($AE496*$AA479&gt;$AA501,"",IF(($AA$479*GV$476*$AE$496)&lt;=$ED$474,((MOD($ED$474,($AA$479*GV$476*$AE$496)))),"")))</f>
        <v/>
      </c>
      <c r="GW479" s="214" t="str">
        <f ca="1">IF($AE496*$AA479*'Customer Base'!$D$26*0.8&gt;5800,"",IF($AE496*$AA479&gt;$AA501,"",IF(($AA$479*GW$476*$AE$496)&lt;=$ED$474,((MOD($ED$474,($AA$479*GW$476*$AE$496)))),"")))</f>
        <v/>
      </c>
      <c r="GX479" s="214" t="str">
        <f ca="1">IF($AE496*$AA479*'Customer Base'!$D$26*0.8&gt;5800,"",IF($AE496*$AA479&gt;$AA501,"",IF(($AA$479*GX$476*$AE$496)&lt;=$ED$474,((MOD($ED$474,($AA$479*GX$476*$AE$496)))),"")))</f>
        <v/>
      </c>
      <c r="GY479" s="214" t="str">
        <f ca="1">IF($AE496*$AA479*'Customer Base'!$D$26*0.8&gt;5800,"",IF($AE496*$AA479&gt;$AA501,"",IF(($AA$479*GY$476*$AE$496)&lt;=$ED$474,((MOD($ED$474,($AA$479*GY$476*$AE$496)))),"")))</f>
        <v/>
      </c>
      <c r="GZ479" s="214" t="str">
        <f ca="1">IF($AE496*$AA479*'Customer Base'!$D$26*0.8&gt;5800,"",IF($AE496*$AA479&gt;$AA501,"",IF(($AA$479*GZ$476*$AE$496)&lt;=$ED$474,((MOD($ED$474,($AA$479*GZ$476*$AE$496)))),"")))</f>
        <v/>
      </c>
      <c r="HA479" s="214" t="str">
        <f ca="1">IF($AE496*$AA479*'Customer Base'!$D$26*0.8&gt;5800,"",IF($AE496*$AA479&gt;$AA501,"",IF(($AA$479*HA$476*$AE$496)&lt;=$ED$474,((MOD($ED$474,($AA$479*HA$476*$AE$496)))),"")))</f>
        <v/>
      </c>
      <c r="HB479" s="214" t="str">
        <f ca="1">IF($AE496*$AA479*'Customer Base'!$D$26*0.8&gt;5800,"",IF($AE496*$AA479&gt;$AA501,"",IF(($AA$479*HB$476*$AE$496)&lt;=$ED$474,((MOD($ED$474,($AA$479*HB$476*$AE$496)))),"")))</f>
        <v/>
      </c>
      <c r="HC479" s="214" t="str">
        <f ca="1">IF($AE496*$AA479*'Customer Base'!$D$26*0.8&gt;5800,"",IF($AE496*$AA479&gt;$AA501,"",IF(($AA$479*HC$476*$AE$496)&lt;=$ED$474,((MOD($ED$474,($AA$479*HC$476*$AE$496)))),"")))</f>
        <v/>
      </c>
      <c r="HD479" s="214" t="str">
        <f ca="1">IF($AE496*$AA479*'Customer Base'!$D$26*0.8&gt;5800,"",IF($AE496*$AA479&gt;$AA501,"",IF(($AA$479*HD$476*$AE$496)&lt;=$ED$474,((MOD($ED$474,($AA$479*HD$476*$AE$496)))),"")))</f>
        <v/>
      </c>
      <c r="HE479" s="214" t="str">
        <f ca="1">IF($AE496*$AA479*'Customer Base'!$D$26*0.8&gt;5800,"",IF($AE496*$AA479&gt;$AA501,"",IF(($AA$479*HE$476*$AE$496)&lt;=$ED$474,((MOD($ED$474,($AA$479*HE$476*$AE$496)))),"")))</f>
        <v/>
      </c>
      <c r="HF479" s="214" t="str">
        <f ca="1">IF($AE496*$AA479*'Customer Base'!$D$26*0.8&gt;5800,"",IF($AE496*$AA479&gt;$AA501,"",IF(($AA$479*HF$476*$AE$496)&lt;=$ED$474,((MOD($ED$474,($AA$479*HF$476*$AE$496)))),"")))</f>
        <v/>
      </c>
      <c r="HG479" s="214" t="str">
        <f ca="1">IF($AE496*$AA479*'Customer Base'!$D$26*0.8&gt;5800,"",IF($AE496*$AA479&gt;$AA501,"",IF(($AA$479*HG$476*$AE$496)&lt;=$ED$474,((MOD($ED$474,($AA$479*HG$476*$AE$496)))),"")))</f>
        <v/>
      </c>
      <c r="HH479" s="214" t="str">
        <f ca="1">IF($AE496*$AA479*'Customer Base'!$D$26*0.8&gt;5800,"",IF($AE496*$AA479&gt;$AA501,"",IF(($AA$479*HH$476*$AE$496)&lt;=$ED$474,((MOD($ED$474,($AA$479*HH$476*$AE$496)))),"")))</f>
        <v/>
      </c>
      <c r="HI479" s="214" t="str">
        <f ca="1">IF($AE496*$AA479*'Customer Base'!$D$26*0.8&gt;5800,"",IF($AE496*$AA479&gt;$AA501,"",IF(($AA$479*HI$476*$AE$496)&lt;=$ED$474,((MOD($ED$474,($AA$479*HI$476*$AE$496)))),"")))</f>
        <v/>
      </c>
      <c r="HJ479" s="214" t="str">
        <f ca="1">IF($AE496*$AA479*'Customer Base'!$D$26*0.8&gt;5800,"",IF($AE496*$AA479&gt;$AA501,"",IF(($AA$479*HJ$476*$AE$496)&lt;=$ED$474,((MOD($ED$474,($AA$479*HJ$476*$AE$496)))),"")))</f>
        <v/>
      </c>
      <c r="HK479" s="214" t="str">
        <f ca="1">IF($AE496*$AA479*'Customer Base'!$D$26*0.8&gt;5800,"",IF($AE496*$AA479&gt;$AA501,"",IF(($AA$479*HK$476*$AE$496)&lt;=$ED$474,((MOD($ED$474,($AA$479*HK$476*$AE$496)))),"")))</f>
        <v/>
      </c>
      <c r="HL479" s="214" t="str">
        <f ca="1">IF($AE496*$AA479*'Customer Base'!$D$26*0.8&gt;5800,"",IF($AE496*$AA479&gt;$AA501,"",IF(($AA$479*HL$476*$AE$496)&lt;=$ED$474,((MOD($ED$474,($AA$479*HL$476*$AE$496)))),"")))</f>
        <v/>
      </c>
      <c r="HM479" s="214" t="str">
        <f ca="1">IF($AE496*$AA479*'Customer Base'!$D$26*0.8&gt;5800,"",IF($AE496*$AA479&gt;$AA501,"",IF(($AA$479*HM$476*$AE$496)&lt;=$ED$474,((MOD($ED$474,($AA$479*HM$476*$AE$496)))),"")))</f>
        <v/>
      </c>
      <c r="HN479" s="214" t="str">
        <f ca="1">IF($AE496*$AA479*'Customer Base'!$D$26*0.8&gt;5800,"",IF($AE496*$AA479&gt;$AA501,"",IF(($AA$479*HN$476*$AE$496)&lt;=$ED$474,((MOD($ED$474,($AA$479*HN$476*$AE$496)))),"")))</f>
        <v/>
      </c>
      <c r="HO479" s="214" t="str">
        <f ca="1">IF($AE496*$AA479*'Customer Base'!$D$26*0.8&gt;5800,"",IF($AE496*$AA479&gt;$AA501,"",IF(($AA$479*HO$476*$AE$496)&lt;=$ED$474,((MOD($ED$474,($AA$479*HO$476*$AE$496)))),"")))</f>
        <v/>
      </c>
      <c r="HP479" s="214" t="str">
        <f ca="1">IF($AE496*$AA479*'Customer Base'!$D$26*0.8&gt;5800,"",IF($AE496*$AA479&gt;$AA501,"",IF(($AA$479*HP$476*$AE$496)&lt;=$ED$474,((MOD($ED$474,($AA$479*HP$476*$AE$496)))),"")))</f>
        <v/>
      </c>
      <c r="HQ479" s="214" t="str">
        <f ca="1">IF($AE496*$AA479*'Customer Base'!$D$26*0.8&gt;5800,"",IF($AE496*$AA479&gt;$AA501,"",IF(($AA$479*HQ$476*$AE$496)&lt;=$ED$474,((MOD($ED$474,($AA$479*HQ$476*$AE$496)))),"")))</f>
        <v/>
      </c>
      <c r="HR479" s="214" t="str">
        <f ca="1">IF($AE496*$AA479*'Customer Base'!$D$26*0.8&gt;5800,"",IF($AE496*$AA479&gt;$AA501,"",IF(($AA$479*HR$476*$AE$496)&lt;=$ED$474,((MOD($ED$474,($AA$479*HR$476*$AE$496)))),"")))</f>
        <v/>
      </c>
      <c r="HS479" s="214" t="str">
        <f ca="1">IF($AE496*$AA479*'Customer Base'!$D$26*0.8&gt;5800,"",IF($AE496*$AA479&gt;$AA501,"",IF(($AA$479*HS$476*$AE$496)&lt;=$ED$474,((MOD($ED$474,($AA$479*HS$476*$AE$496)))),"")))</f>
        <v/>
      </c>
      <c r="HT479" s="214" t="str">
        <f ca="1">IF($AE496*$AA479*'Customer Base'!$D$26*0.8&gt;5800,"",IF($AE496*$AA479&gt;$AA501,"",IF(($AA$479*HT$476*$AE$496)&lt;=$ED$474,((MOD($ED$474,($AA$479*HT$476*$AE$496)))),"")))</f>
        <v/>
      </c>
      <c r="HU479" s="214" t="str">
        <f ca="1">IF($AE496*$AA479*'Customer Base'!$D$26*0.8&gt;5800,"",IF($AE496*$AA479&gt;$AA501,"",IF(($AA$479*HU$476*$AE$496)&lt;=$ED$474,((MOD($ED$474,($AA$479*HU$476*$AE$496)))),"")))</f>
        <v/>
      </c>
      <c r="HV479" s="214" t="str">
        <f ca="1">IF($AE496*$AA479*'Customer Base'!$D$26*0.8&gt;5800,"",IF($AE496*$AA479&gt;$AA501,"",IF(($AA$479*HV$476*$AE$496)&lt;=$ED$474,((MOD($ED$474,($AA$479*HV$476*$AE$496)))),"")))</f>
        <v/>
      </c>
      <c r="HW479" s="214" t="str">
        <f ca="1">IF($AE496*$AA479*'Customer Base'!$D$26*0.8&gt;5800,"",IF($AE496*$AA479&gt;$AA501,"",IF(($AA$479*HW$476*$AE$496)&lt;=$ED$474,((MOD($ED$474,($AA$479*HW$476*$AE$496)))),"")))</f>
        <v/>
      </c>
      <c r="HX479" s="214" t="str">
        <f ca="1">IF($AE496*$AA479*'Customer Base'!$D$26*0.8&gt;5800,"",IF($AE496*$AA479&gt;$AA501,"",IF(($AA$479*HX$476*$AE$496)&lt;=$ED$474,((MOD($ED$474,($AA$479*HX$476*$AE$496)))),"")))</f>
        <v/>
      </c>
      <c r="HY479" s="214" t="str">
        <f ca="1">IF($AE496*$AA479*'Customer Base'!$D$26*0.8&gt;5800,"",IF($AE496*$AA479&gt;$AA501,"",IF(($AA$479*HY$476*$AE$496)&lt;=$ED$474,((MOD($ED$474,($AA$479*HY$476*$AE$496)))),"")))</f>
        <v/>
      </c>
      <c r="HZ479" s="214" t="str">
        <f ca="1">IF($AE496*$AA479*'Customer Base'!$D$26*0.8&gt;5800,"",IF($AE496*$AA479&gt;$AA501,"",IF(($AA$479*HZ$476*$AE$496)&lt;=$ED$474,((MOD($ED$474,($AA$479*HZ$476*$AE$496)))),"")))</f>
        <v/>
      </c>
      <c r="IA479" s="214" t="str">
        <f ca="1">IF($AE496*$AA479*'Customer Base'!$D$26*0.8&gt;5800,"",IF($AE496*$AA479&gt;$AA501,"",IF(($AA$479*IA$476*$AE$496)&lt;=$ED$474,((MOD($ED$474,($AA$479*IA$476*$AE$496)))),"")))</f>
        <v/>
      </c>
      <c r="IB479" s="214" t="str">
        <f ca="1">IF($AE496*$AA479*'Customer Base'!$D$26*0.8&gt;5800,"",IF($AE496*$AA479&gt;$AA501,"",IF(($AA$479*IB$476*$AE$496)&lt;=$ED$474,((MOD($ED$474,($AA$479*IB$476*$AE$496)))),"")))</f>
        <v/>
      </c>
      <c r="IC479" s="214" t="str">
        <f ca="1">IF($AE496*$AA479*'Customer Base'!$D$26*0.8&gt;5800,"",IF($AE496*$AA479&gt;$AA501,"",IF(($AA$479*IC$476*$AE$496)&lt;=$ED$474,((MOD($ED$474,($AA$479*IC$476*$AE$496)))),"")))</f>
        <v/>
      </c>
      <c r="ID479" s="214" t="str">
        <f ca="1">IF($AE496*$AA479*'Customer Base'!$D$26*0.8&gt;5800,"",IF($AE496*$AA479&gt;$AA501,"",IF(($AA$479*ID$476*$AE$496)&lt;=$ED$474,((MOD($ED$474,($AA$479*ID$476*$AE$496)))),"")))</f>
        <v/>
      </c>
      <c r="IE479" s="214" t="str">
        <f ca="1">IF($AE496*$AA479*'Customer Base'!$D$26*0.8&gt;5800,"",IF($AE496*$AA479&gt;$AA501,"",IF(($AA$479*IE$476*$AE$496)&lt;=$ED$474,((MOD($ED$474,($AA$479*IE$476*$AE$496)))),"")))</f>
        <v/>
      </c>
      <c r="IF479" s="214" t="str">
        <f ca="1">IF($AE496*$AA479*'Customer Base'!$D$26*0.8&gt;5800,"",IF($AE496*$AA479&gt;$AA501,"",IF(($AA$479*IF$476*$AE$496)&lt;=$ED$474,((MOD($ED$474,($AA$479*IF$476*$AE$496)))),"")))</f>
        <v/>
      </c>
      <c r="IG479" s="214" t="str">
        <f ca="1">IF($AE496*$AA479*'Customer Base'!$D$26*0.8&gt;5800,"",IF($AE496*$AA479&gt;$AA501,"",IF(($AA$479*IG$476*$AE$496)&lt;=$ED$474,((MOD($ED$474,($AA$479*IG$476*$AE$496)))),"")))</f>
        <v/>
      </c>
      <c r="IH479" s="214" t="str">
        <f ca="1">IF($AE496*$AA479*'Customer Base'!$D$26*0.8&gt;5800,"",IF($AE496*$AA479&gt;$AA501,"",IF(($AA$479*IH$476*$AE$496)&lt;=$ED$474,((MOD($ED$474,($AA$479*IH$476*$AE$496)))),"")))</f>
        <v/>
      </c>
      <c r="II479" s="214" t="str">
        <f ca="1">IF($AE496*$AA479*'Customer Base'!$D$26*0.8&gt;5800,"",IF($AE496*$AA479&gt;$AA501,"",IF(($AA$479*II$476*$AE$496)&lt;=$ED$474,((MOD($ED$474,($AA$479*II$476*$AE$496)))),"")))</f>
        <v/>
      </c>
      <c r="IK479" s="214" cm="1">
        <f t="array" aca="1" ref="IK479" ca="1">IFERROR(LOOKUP(2,1/(EN479:II479&lt;&gt;""),EN$482:II$482),"")</f>
        <v>1</v>
      </c>
      <c r="IL479" s="316" cm="1">
        <f t="array" aca="1" ref="IL479" ca="1">IF(IK$474=IK479,LOOKUP(2,1/(EN479:II479&lt;&gt;""),EN479:II479),"")</f>
        <v>0</v>
      </c>
      <c r="IM479" s="316">
        <f ca="1">IF(IL479=IL$474,1,"")</f>
        <v>1</v>
      </c>
    </row>
    <row r="480" spans="2:250" ht="17">
      <c r="B480" s="211" t="s">
        <v>1337</v>
      </c>
      <c r="C480" s="212" t="s">
        <v>81</v>
      </c>
      <c r="D480" s="212" t="s">
        <v>217</v>
      </c>
      <c r="E480" s="215" t="s">
        <v>1338</v>
      </c>
      <c r="F480" s="107" t="str">
        <f t="shared" si="15"/>
        <v>G</v>
      </c>
      <c r="G480" s="213" t="s">
        <v>1339</v>
      </c>
    </row>
    <row r="481" spans="2:248" ht="17">
      <c r="B481" s="211" t="s">
        <v>20</v>
      </c>
      <c r="C481" s="212" t="s">
        <v>58</v>
      </c>
      <c r="D481" s="212" t="s">
        <v>955</v>
      </c>
      <c r="E481" s="215" t="s">
        <v>1340</v>
      </c>
      <c r="F481" s="107" t="str">
        <f t="shared" si="15"/>
        <v>E</v>
      </c>
    </row>
    <row r="482" spans="2:248" ht="17">
      <c r="B482" s="211" t="s">
        <v>1342</v>
      </c>
      <c r="C482" s="212" t="s">
        <v>61</v>
      </c>
      <c r="D482" s="212" t="s">
        <v>955</v>
      </c>
      <c r="E482" s="215" t="s">
        <v>1343</v>
      </c>
      <c r="F482" s="107" t="str">
        <f t="shared" si="15"/>
        <v>E</v>
      </c>
      <c r="Z482" s="214" t="s">
        <v>2706</v>
      </c>
      <c r="AB482" s="214" t="s">
        <v>2702</v>
      </c>
      <c r="AC482" s="214" t="s">
        <v>2705</v>
      </c>
      <c r="AD482" s="214" t="s">
        <v>2701</v>
      </c>
      <c r="AE482" s="214" t="s">
        <v>800</v>
      </c>
      <c r="AF482" s="214">
        <v>1</v>
      </c>
      <c r="AG482" s="214">
        <v>2</v>
      </c>
      <c r="AH482" s="214">
        <v>3</v>
      </c>
      <c r="AI482" s="214">
        <v>4</v>
      </c>
      <c r="AJ482" s="214">
        <v>5</v>
      </c>
      <c r="AK482" s="214">
        <v>6</v>
      </c>
      <c r="AL482" s="214">
        <v>7</v>
      </c>
      <c r="AM482" s="214">
        <v>8</v>
      </c>
      <c r="AN482" s="214">
        <v>9</v>
      </c>
      <c r="AO482" s="214">
        <v>10</v>
      </c>
      <c r="AP482" s="214">
        <v>11</v>
      </c>
      <c r="AQ482" s="214">
        <v>12</v>
      </c>
      <c r="AR482" s="214">
        <v>13</v>
      </c>
      <c r="AS482" s="214">
        <v>14</v>
      </c>
      <c r="AT482" s="214">
        <v>15</v>
      </c>
      <c r="AU482" s="214">
        <v>16</v>
      </c>
      <c r="AV482" s="214">
        <v>17</v>
      </c>
      <c r="AW482" s="214">
        <v>18</v>
      </c>
      <c r="AX482" s="214">
        <v>19</v>
      </c>
      <c r="AY482" s="214">
        <v>20</v>
      </c>
      <c r="AZ482" s="214">
        <v>21</v>
      </c>
      <c r="BA482" s="214">
        <v>22</v>
      </c>
      <c r="BB482" s="214">
        <v>23</v>
      </c>
      <c r="BC482" s="214">
        <v>24</v>
      </c>
      <c r="BD482" s="214">
        <v>25</v>
      </c>
      <c r="BE482" s="214">
        <v>26</v>
      </c>
      <c r="BF482" s="214">
        <v>27</v>
      </c>
      <c r="BG482" s="214">
        <v>28</v>
      </c>
      <c r="BH482" s="214">
        <v>29</v>
      </c>
      <c r="BI482" s="214">
        <v>30</v>
      </c>
      <c r="BJ482" s="214">
        <v>31</v>
      </c>
      <c r="BK482" s="214">
        <v>32</v>
      </c>
      <c r="BL482" s="214">
        <v>33</v>
      </c>
      <c r="BM482" s="214">
        <v>34</v>
      </c>
      <c r="BN482" s="214">
        <v>35</v>
      </c>
      <c r="BO482" s="214">
        <v>36</v>
      </c>
      <c r="BP482" s="214">
        <v>37</v>
      </c>
      <c r="BQ482" s="214">
        <v>38</v>
      </c>
      <c r="BR482" s="214">
        <v>39</v>
      </c>
      <c r="BS482" s="214">
        <v>40</v>
      </c>
      <c r="BT482" s="214">
        <v>41</v>
      </c>
      <c r="BU482" s="214">
        <v>42</v>
      </c>
      <c r="BV482" s="214">
        <v>43</v>
      </c>
      <c r="BW482" s="214">
        <v>44</v>
      </c>
      <c r="BX482" s="214">
        <v>45</v>
      </c>
      <c r="BY482" s="214">
        <v>46</v>
      </c>
      <c r="BZ482" s="214">
        <v>47</v>
      </c>
      <c r="CA482" s="214">
        <v>48</v>
      </c>
      <c r="CB482" s="214">
        <v>49</v>
      </c>
      <c r="CC482" s="214">
        <v>50</v>
      </c>
      <c r="CD482" s="214">
        <v>51</v>
      </c>
      <c r="CE482" s="214">
        <v>52</v>
      </c>
      <c r="CF482" s="214">
        <v>53</v>
      </c>
      <c r="CG482" s="214">
        <v>54</v>
      </c>
      <c r="CH482" s="214">
        <v>55</v>
      </c>
      <c r="CI482" s="214">
        <v>56</v>
      </c>
      <c r="CJ482" s="214">
        <v>57</v>
      </c>
      <c r="CK482" s="214">
        <v>58</v>
      </c>
      <c r="CL482" s="214">
        <v>59</v>
      </c>
      <c r="CM482" s="214">
        <v>60</v>
      </c>
      <c r="CN482" s="214">
        <v>61</v>
      </c>
      <c r="CO482" s="214">
        <v>62</v>
      </c>
      <c r="CP482" s="214">
        <v>63</v>
      </c>
      <c r="CQ482" s="214">
        <v>64</v>
      </c>
      <c r="CR482" s="214">
        <v>65</v>
      </c>
      <c r="CS482" s="214">
        <v>66</v>
      </c>
      <c r="CT482" s="214">
        <v>67</v>
      </c>
      <c r="CU482" s="214">
        <v>68</v>
      </c>
      <c r="CV482" s="214">
        <v>69</v>
      </c>
      <c r="CW482" s="214">
        <v>70</v>
      </c>
      <c r="CX482" s="214">
        <v>71</v>
      </c>
      <c r="CY482" s="214">
        <v>72</v>
      </c>
      <c r="CZ482" s="214">
        <v>73</v>
      </c>
      <c r="DA482" s="214">
        <v>74</v>
      </c>
      <c r="DB482" s="214">
        <v>75</v>
      </c>
      <c r="DC482" s="214">
        <v>76</v>
      </c>
      <c r="DD482" s="214">
        <v>77</v>
      </c>
      <c r="DE482" s="214">
        <v>78</v>
      </c>
      <c r="DF482" s="214">
        <v>79</v>
      </c>
      <c r="DG482" s="214">
        <v>80</v>
      </c>
      <c r="DH482" s="214">
        <v>81</v>
      </c>
      <c r="DI482" s="214">
        <v>82</v>
      </c>
      <c r="DJ482" s="214">
        <v>83</v>
      </c>
      <c r="DK482" s="214">
        <v>84</v>
      </c>
      <c r="DL482" s="214">
        <v>85</v>
      </c>
      <c r="DM482" s="214">
        <v>86</v>
      </c>
      <c r="DN482" s="214">
        <v>87</v>
      </c>
      <c r="DO482" s="214">
        <v>88</v>
      </c>
      <c r="DP482" s="214">
        <v>89</v>
      </c>
      <c r="DQ482" s="214">
        <v>90</v>
      </c>
      <c r="DR482" s="214">
        <v>91</v>
      </c>
      <c r="DS482" s="214">
        <v>92</v>
      </c>
      <c r="DT482" s="214">
        <v>93</v>
      </c>
      <c r="DU482" s="214">
        <v>94</v>
      </c>
      <c r="DV482" s="214">
        <v>95</v>
      </c>
      <c r="DW482" s="214">
        <v>96</v>
      </c>
      <c r="DX482" s="214">
        <v>97</v>
      </c>
      <c r="DY482" s="214">
        <v>98</v>
      </c>
      <c r="DZ482" s="214">
        <v>99</v>
      </c>
      <c r="EA482" s="214">
        <v>100</v>
      </c>
      <c r="EJ482" s="214" t="s">
        <v>2702</v>
      </c>
      <c r="EK482" s="214" t="s">
        <v>2705</v>
      </c>
      <c r="EL482" s="214" t="s">
        <v>2701</v>
      </c>
      <c r="EM482" s="214" t="s">
        <v>800</v>
      </c>
      <c r="EN482" s="214">
        <v>1</v>
      </c>
      <c r="EO482" s="214">
        <v>2</v>
      </c>
      <c r="EP482" s="214">
        <v>3</v>
      </c>
      <c r="EQ482" s="214">
        <v>4</v>
      </c>
      <c r="ER482" s="214">
        <v>5</v>
      </c>
      <c r="ES482" s="214">
        <v>6</v>
      </c>
      <c r="ET482" s="214">
        <v>7</v>
      </c>
      <c r="EU482" s="214">
        <v>8</v>
      </c>
      <c r="EV482" s="214">
        <v>9</v>
      </c>
      <c r="EW482" s="214">
        <v>10</v>
      </c>
      <c r="EX482" s="214">
        <v>11</v>
      </c>
      <c r="EY482" s="214">
        <v>12</v>
      </c>
      <c r="EZ482" s="214">
        <v>13</v>
      </c>
      <c r="FA482" s="214">
        <v>14</v>
      </c>
      <c r="FB482" s="214">
        <v>15</v>
      </c>
      <c r="FC482" s="214">
        <v>16</v>
      </c>
      <c r="FD482" s="214">
        <v>17</v>
      </c>
      <c r="FE482" s="214">
        <v>18</v>
      </c>
      <c r="FF482" s="214">
        <v>19</v>
      </c>
      <c r="FG482" s="214">
        <v>20</v>
      </c>
      <c r="FH482" s="214">
        <v>21</v>
      </c>
      <c r="FI482" s="214">
        <v>22</v>
      </c>
      <c r="FJ482" s="214">
        <v>23</v>
      </c>
      <c r="FK482" s="214">
        <v>24</v>
      </c>
      <c r="FL482" s="214">
        <v>25</v>
      </c>
      <c r="FM482" s="214">
        <v>26</v>
      </c>
      <c r="FN482" s="214">
        <v>27</v>
      </c>
      <c r="FO482" s="214">
        <v>28</v>
      </c>
      <c r="FP482" s="214">
        <v>29</v>
      </c>
      <c r="FQ482" s="214">
        <v>30</v>
      </c>
      <c r="FR482" s="214">
        <v>31</v>
      </c>
      <c r="FS482" s="214">
        <v>32</v>
      </c>
      <c r="FT482" s="214">
        <v>33</v>
      </c>
      <c r="FU482" s="214">
        <v>34</v>
      </c>
      <c r="FV482" s="214">
        <v>35</v>
      </c>
      <c r="FW482" s="214">
        <v>36</v>
      </c>
      <c r="FX482" s="214">
        <v>37</v>
      </c>
      <c r="FY482" s="214">
        <v>38</v>
      </c>
      <c r="FZ482" s="214">
        <v>39</v>
      </c>
      <c r="GA482" s="214">
        <v>40</v>
      </c>
      <c r="GB482" s="214">
        <v>41</v>
      </c>
      <c r="GC482" s="214">
        <v>42</v>
      </c>
      <c r="GD482" s="214">
        <v>43</v>
      </c>
      <c r="GE482" s="214">
        <v>44</v>
      </c>
      <c r="GF482" s="214">
        <v>45</v>
      </c>
      <c r="GG482" s="214">
        <v>46</v>
      </c>
      <c r="GH482" s="214">
        <v>47</v>
      </c>
      <c r="GI482" s="214">
        <v>48</v>
      </c>
      <c r="GJ482" s="214">
        <v>49</v>
      </c>
      <c r="GK482" s="214">
        <v>50</v>
      </c>
      <c r="GL482" s="214">
        <v>51</v>
      </c>
      <c r="GM482" s="214">
        <v>52</v>
      </c>
      <c r="GN482" s="214">
        <v>53</v>
      </c>
      <c r="GO482" s="214">
        <v>54</v>
      </c>
      <c r="GP482" s="214">
        <v>55</v>
      </c>
      <c r="GQ482" s="214">
        <v>56</v>
      </c>
      <c r="GR482" s="214">
        <v>57</v>
      </c>
      <c r="GS482" s="214">
        <v>58</v>
      </c>
      <c r="GT482" s="214">
        <v>59</v>
      </c>
      <c r="GU482" s="214">
        <v>60</v>
      </c>
      <c r="GV482" s="214">
        <v>61</v>
      </c>
      <c r="GW482" s="214">
        <v>62</v>
      </c>
      <c r="GX482" s="214">
        <v>63</v>
      </c>
      <c r="GY482" s="214">
        <v>64</v>
      </c>
      <c r="GZ482" s="214">
        <v>65</v>
      </c>
      <c r="HA482" s="214">
        <v>66</v>
      </c>
      <c r="HB482" s="214">
        <v>67</v>
      </c>
      <c r="HC482" s="214">
        <v>68</v>
      </c>
      <c r="HD482" s="214">
        <v>69</v>
      </c>
      <c r="HE482" s="214">
        <v>70</v>
      </c>
      <c r="HF482" s="214">
        <v>71</v>
      </c>
      <c r="HG482" s="214">
        <v>72</v>
      </c>
      <c r="HH482" s="214">
        <v>73</v>
      </c>
      <c r="HI482" s="214">
        <v>74</v>
      </c>
      <c r="HJ482" s="214">
        <v>75</v>
      </c>
      <c r="HK482" s="214">
        <v>76</v>
      </c>
      <c r="HL482" s="214">
        <v>77</v>
      </c>
      <c r="HM482" s="214">
        <v>78</v>
      </c>
      <c r="HN482" s="214">
        <v>79</v>
      </c>
      <c r="HO482" s="214">
        <v>80</v>
      </c>
      <c r="HP482" s="214">
        <v>81</v>
      </c>
      <c r="HQ482" s="214">
        <v>82</v>
      </c>
      <c r="HR482" s="214">
        <v>83</v>
      </c>
      <c r="HS482" s="214">
        <v>84</v>
      </c>
      <c r="HT482" s="214">
        <v>85</v>
      </c>
      <c r="HU482" s="214">
        <v>86</v>
      </c>
      <c r="HV482" s="214">
        <v>87</v>
      </c>
      <c r="HW482" s="214">
        <v>88</v>
      </c>
      <c r="HX482" s="214">
        <v>89</v>
      </c>
      <c r="HY482" s="214">
        <v>90</v>
      </c>
      <c r="HZ482" s="214">
        <v>91</v>
      </c>
      <c r="IA482" s="214">
        <v>92</v>
      </c>
      <c r="IB482" s="214">
        <v>93</v>
      </c>
      <c r="IC482" s="214">
        <v>94</v>
      </c>
      <c r="ID482" s="214">
        <v>95</v>
      </c>
      <c r="IE482" s="214">
        <v>96</v>
      </c>
      <c r="IF482" s="214">
        <v>97</v>
      </c>
      <c r="IG482" s="214">
        <v>98</v>
      </c>
      <c r="IH482" s="214">
        <v>99</v>
      </c>
      <c r="II482" s="214">
        <v>100</v>
      </c>
    </row>
    <row r="483" spans="2:248" ht="17">
      <c r="B483" s="211" t="s">
        <v>1344</v>
      </c>
      <c r="C483" s="212" t="s">
        <v>961</v>
      </c>
      <c r="D483" s="212" t="s">
        <v>961</v>
      </c>
      <c r="E483" s="215" t="s">
        <v>1345</v>
      </c>
      <c r="F483" s="107" t="str">
        <f t="shared" si="15"/>
        <v>M</v>
      </c>
      <c r="AA483" s="214">
        <v>2</v>
      </c>
      <c r="AB483" s="315" t="s">
        <v>2698</v>
      </c>
      <c r="AC483" s="214">
        <f ca="1">IFERROR(MOD(AD$493,AA483),"")</f>
        <v>0</v>
      </c>
      <c r="AD483" s="214">
        <f ca="1">IF(OR(AD489=1,AD489=""),"",IF(AND(AC485&lt;&gt;0,AC484&lt;&gt;0,AC483=0),IF(AC483=0,AA483,""),IF(AND(MAX(AC483:AC485)&lt;=AA483,SUMPRODUCT(AD484:AD485,AE484:AE485)&lt;&gt;AD489),AA483,"")))</f>
        <v>2</v>
      </c>
      <c r="AE483" s="214">
        <f ca="1">IFERROR(IF(AND(AD483&lt;&gt;"",OR(AD484&lt;&gt;"",AD485&lt;&gt;"")),1,(ROUNDDOWN(AD$493/AD483,0))),"")</f>
        <v>1</v>
      </c>
      <c r="AF483" s="214">
        <f ca="1">IF($AE497*$AA483*'Customer Base'!$D$26*0.8&gt;5800,"",IF($AE497*$AA483&gt;$AA501,"",IF(($AA$483*AF$482*$AE$497)&lt;=$AA$501,((MOD($AA$501,($AA$483*AF$482*$AE$497)))),"")))</f>
        <v>0</v>
      </c>
      <c r="AG483" s="214">
        <f ca="1">IF($AE497*$AA483*'Customer Base'!$D$26*0.8&gt;5800,"",IF($AE497*$AA483&gt;$AA501,"",IF(($AA$483*AG$482*$AE$497)&lt;=$AA$501,((MOD($AA$501,($AA$483*AG$482*$AE$497)))),"")))</f>
        <v>0</v>
      </c>
      <c r="AH483" s="214">
        <f ca="1">IF($AE497*$AA483*'Customer Base'!$D$26*0.8&gt;5800,"",IF($AE497*$AA483&gt;$AA501,"",IF(($AA$483*AH$482*$AE$497)&lt;=$AA$501,((MOD($AA$501,($AA$483*AH$482*$AE$497)))),"")))</f>
        <v>4</v>
      </c>
      <c r="AI483" s="214">
        <f ca="1">IF($AE497*$AA483*'Customer Base'!$D$26*0.8&gt;5800,"",IF($AE497*$AA483&gt;$AA501,"",IF(($AA$483*AI$482*$AE$497)&lt;=$AA$501,((MOD($AA$501,($AA$483*AI$482*$AE$497)))),"")))</f>
        <v>8</v>
      </c>
      <c r="AJ483" s="214">
        <f ca="1">IF($AE497*$AA483*'Customer Base'!$D$26*0.8&gt;5800,"",IF($AE497*$AA483&gt;$AA501,"",IF(($AA$483*AJ$482*$AE$497)&lt;=$AA$501,((MOD($AA$501,($AA$483*AJ$482*$AE$497)))),"")))</f>
        <v>0</v>
      </c>
      <c r="AK483" s="214">
        <f ca="1">IF($AE497*$AA483*'Customer Base'!$D$26*0.8&gt;5800,"",IF($AE497*$AA483&gt;$AA501,"",IF(($AA$483*AK$482*$AE$497)&lt;=$AA$501,((MOD($AA$501,($AA$483*AK$482*$AE$497)))),"")))</f>
        <v>16</v>
      </c>
      <c r="AL483" s="214">
        <f ca="1">IF($AE497*$AA483*'Customer Base'!$D$26*0.8&gt;5800,"",IF($AE497*$AA483&gt;$AA501,"",IF(($AA$483*AL$482*$AE$497)&lt;=$AA$501,((MOD($AA$501,($AA$483*AL$482*$AE$497)))),"")))</f>
        <v>12</v>
      </c>
      <c r="AM483" s="214">
        <f ca="1">IF($AE497*$AA483*'Customer Base'!$D$26*0.8&gt;5800,"",IF($AE497*$AA483&gt;$AA501,"",IF(($AA$483*AM$482*$AE$497)&lt;=$AA$501,((MOD($AA$501,($AA$483*AM$482*$AE$497)))),"")))</f>
        <v>8</v>
      </c>
      <c r="AN483" s="214">
        <f ca="1">IF($AE497*$AA483*'Customer Base'!$D$26*0.8&gt;5800,"",IF($AE497*$AA483&gt;$AA501,"",IF(($AA$483*AN$482*$AE$497)&lt;=$AA$501,((MOD($AA$501,($AA$483*AN$482*$AE$497)))),"")))</f>
        <v>4</v>
      </c>
      <c r="AO483" s="214">
        <f ca="1">IF($AE497*$AA483*'Customer Base'!$D$26*0.8&gt;5800,"",IF($AE497*$AA483&gt;$AA501,"",IF(($AA$483*AO$482*$AE$497)&lt;=$AA$501,((MOD($AA$501,($AA$483*AO$482*$AE$497)))),"")))</f>
        <v>0</v>
      </c>
      <c r="AP483" s="214" t="str">
        <f ca="1">IF($AE497*$AA483*'Customer Base'!$D$26*0.8&gt;5800,"",IF($AE497*$AA483&gt;$AA501,"",IF(($AA$483*AP$482*$AE$497)&lt;=$AA$501,((MOD($AA$501,($AA$483*AP$482*$AE$497)))),"")))</f>
        <v/>
      </c>
      <c r="AQ483" s="214" t="str">
        <f ca="1">IF($AE497*$AA483*'Customer Base'!$D$26*0.8&gt;5800,"",IF($AE497*$AA483&gt;$AA501,"",IF(($AA$483*AQ$482*$AE$497)&lt;=$AA$501,((MOD($AA$501,($AA$483*AQ$482*$AE$497)))),"")))</f>
        <v/>
      </c>
      <c r="AR483" s="214" t="str">
        <f ca="1">IF($AE497*$AA483*'Customer Base'!$D$26*0.8&gt;5800,"",IF($AE497*$AA483&gt;$AA501,"",IF(($AA$483*AR$482*$AE$497)&lt;=$AA$501,((MOD($AA$501,($AA$483*AR$482*$AE$497)))),"")))</f>
        <v/>
      </c>
      <c r="AS483" s="214" t="str">
        <f ca="1">IF($AE497*$AA483*'Customer Base'!$D$26*0.8&gt;5800,"",IF($AE497*$AA483&gt;$AA501,"",IF(($AA$483*AS$482*$AE$497)&lt;=$AA$501,((MOD($AA$501,($AA$483*AS$482*$AE$497)))),"")))</f>
        <v/>
      </c>
      <c r="AT483" s="214" t="str">
        <f ca="1">IF($AE497*$AA483*'Customer Base'!$D$26*0.8&gt;5800,"",IF($AE497*$AA483&gt;$AA501,"",IF(($AA$483*AT$482*$AE$497)&lt;=$AA$501,((MOD($AA$501,($AA$483*AT$482*$AE$497)))),"")))</f>
        <v/>
      </c>
      <c r="AU483" s="214" t="str">
        <f ca="1">IF($AE497*$AA483*'Customer Base'!$D$26*0.8&gt;5800,"",IF($AE497*$AA483&gt;$AA501,"",IF(($AA$483*AU$482*$AE$497)&lt;=$AA$501,((MOD($AA$501,($AA$483*AU$482*$AE$497)))),"")))</f>
        <v/>
      </c>
      <c r="AV483" s="214" t="str">
        <f ca="1">IF($AE497*$AA483*'Customer Base'!$D$26*0.8&gt;5800,"",IF($AE497*$AA483&gt;$AA501,"",IF(($AA$483*AV$482*$AE$497)&lt;=$AA$501,((MOD($AA$501,($AA$483*AV$482*$AE$497)))),"")))</f>
        <v/>
      </c>
      <c r="AW483" s="214" t="str">
        <f ca="1">IF($AE497*$AA483*'Customer Base'!$D$26*0.8&gt;5800,"",IF($AE497*$AA483&gt;$AA501,"",IF(($AA$483*AW$482*$AE$497)&lt;=$AA$501,((MOD($AA$501,($AA$483*AW$482*$AE$497)))),"")))</f>
        <v/>
      </c>
      <c r="AX483" s="214" t="str">
        <f ca="1">IF($AE497*$AA483*'Customer Base'!$D$26*0.8&gt;5800,"",IF($AE497*$AA483&gt;$AA501,"",IF(($AA$483*AX$482*$AE$497)&lt;=$AA$501,((MOD($AA$501,($AA$483*AX$482*$AE$497)))),"")))</f>
        <v/>
      </c>
      <c r="AY483" s="214" t="str">
        <f ca="1">IF($AE497*$AA483*'Customer Base'!$D$26*0.8&gt;5800,"",IF($AE497*$AA483&gt;$AA501,"",IF(($AA$483*AY$482*$AE$497)&lt;=$AA$501,((MOD($AA$501,($AA$483*AY$482*$AE$497)))),"")))</f>
        <v/>
      </c>
      <c r="AZ483" s="214" t="str">
        <f ca="1">IF($AE497*$AA483*'Customer Base'!$D$26*0.8&gt;5800,"",IF($AE497*$AA483&gt;$AA501,"",IF(($AA$483*AZ$482*$AE$497)&lt;=$AA$501,((MOD($AA$501,($AA$483*AZ$482*$AE$497)))),"")))</f>
        <v/>
      </c>
      <c r="BA483" s="214" t="str">
        <f ca="1">IF($AE497*$AA483*'Customer Base'!$D$26*0.8&gt;5800,"",IF($AE497*$AA483&gt;$AA501,"",IF(($AA$483*BA$482*$AE$497)&lt;=$AA$501,((MOD($AA$501,($AA$483*BA$482*$AE$497)))),"")))</f>
        <v/>
      </c>
      <c r="BB483" s="214" t="str">
        <f ca="1">IF($AE497*$AA483*'Customer Base'!$D$26*0.8&gt;5800,"",IF($AE497*$AA483&gt;$AA501,"",IF(($AA$483*BB$482*$AE$497)&lt;=$AA$501,((MOD($AA$501,($AA$483*BB$482*$AE$497)))),"")))</f>
        <v/>
      </c>
      <c r="BC483" s="214" t="str">
        <f ca="1">IF($AE497*$AA483*'Customer Base'!$D$26*0.8&gt;5800,"",IF($AE497*$AA483&gt;$AA501,"",IF(($AA$483*BC$482*$AE$497)&lt;=$AA$501,((MOD($AA$501,($AA$483*BC$482*$AE$497)))),"")))</f>
        <v/>
      </c>
      <c r="BD483" s="214" t="str">
        <f ca="1">IF($AE497*$AA483*'Customer Base'!$D$26*0.8&gt;5800,"",IF($AE497*$AA483&gt;$AA501,"",IF(($AA$483*BD$482*$AE$497)&lt;=$AA$501,((MOD($AA$501,($AA$483*BD$482*$AE$497)))),"")))</f>
        <v/>
      </c>
      <c r="BE483" s="214" t="str">
        <f ca="1">IF($AE497*$AA483*'Customer Base'!$D$26*0.8&gt;5800,"",IF($AE497*$AA483&gt;$AA501,"",IF(($AA$483*BE$482*$AE$497)&lt;=$AA$501,((MOD($AA$501,($AA$483*BE$482*$AE$497)))),"")))</f>
        <v/>
      </c>
      <c r="BF483" s="214" t="str">
        <f ca="1">IF($AE497*$AA483*'Customer Base'!$D$26*0.8&gt;5800,"",IF($AE497*$AA483&gt;$AA501,"",IF(($AA$483*BF$482*$AE$497)&lt;=$AA$501,((MOD($AA$501,($AA$483*BF$482*$AE$497)))),"")))</f>
        <v/>
      </c>
      <c r="BG483" s="214" t="str">
        <f ca="1">IF($AE497*$AA483*'Customer Base'!$D$26*0.8&gt;5800,"",IF($AE497*$AA483&gt;$AA501,"",IF(($AA$483*BG$482*$AE$497)&lt;=$AA$501,((MOD($AA$501,($AA$483*BG$482*$AE$497)))),"")))</f>
        <v/>
      </c>
      <c r="BH483" s="214" t="str">
        <f ca="1">IF($AE497*$AA483*'Customer Base'!$D$26*0.8&gt;5800,"",IF($AE497*$AA483&gt;$AA501,"",IF(($AA$483*BH$482*$AE$497)&lt;=$AA$501,((MOD($AA$501,($AA$483*BH$482*$AE$497)))),"")))</f>
        <v/>
      </c>
      <c r="BI483" s="214" t="str">
        <f ca="1">IF($AE497*$AA483*'Customer Base'!$D$26*0.8&gt;5800,"",IF($AE497*$AA483&gt;$AA501,"",IF(($AA$483*BI$482*$AE$497)&lt;=$AA$501,((MOD($AA$501,($AA$483*BI$482*$AE$497)))),"")))</f>
        <v/>
      </c>
      <c r="BJ483" s="214" t="str">
        <f ca="1">IF($AE497*$AA483*'Customer Base'!$D$26*0.8&gt;5800,"",IF($AE497*$AA483&gt;$AA501,"",IF(($AA$483*BJ$482*$AE$497)&lt;=$AA$501,((MOD($AA$501,($AA$483*BJ$482*$AE$497)))),"")))</f>
        <v/>
      </c>
      <c r="BK483" s="214" t="str">
        <f ca="1">IF($AE497*$AA483*'Customer Base'!$D$26*0.8&gt;5800,"",IF($AE497*$AA483&gt;$AA501,"",IF(($AA$483*BK$482*$AE$497)&lt;=$AA$501,((MOD($AA$501,($AA$483*BK$482*$AE$497)))),"")))</f>
        <v/>
      </c>
      <c r="BL483" s="214" t="str">
        <f ca="1">IF($AE497*$AA483*'Customer Base'!$D$26*0.8&gt;5800,"",IF($AE497*$AA483&gt;$AA501,"",IF(($AA$483*BL$482*$AE$497)&lt;=$AA$501,((MOD($AA$501,($AA$483*BL$482*$AE$497)))),"")))</f>
        <v/>
      </c>
      <c r="BM483" s="214" t="str">
        <f ca="1">IF($AE497*$AA483*'Customer Base'!$D$26*0.8&gt;5800,"",IF($AE497*$AA483&gt;$AA501,"",IF(($AA$483*BM$482*$AE$497)&lt;=$AA$501,((MOD($AA$501,($AA$483*BM$482*$AE$497)))),"")))</f>
        <v/>
      </c>
      <c r="BN483" s="214" t="str">
        <f ca="1">IF($AE497*$AA483*'Customer Base'!$D$26*0.8&gt;5800,"",IF($AE497*$AA483&gt;$AA501,"",IF(($AA$483*BN$482*$AE$497)&lt;=$AA$501,((MOD($AA$501,($AA$483*BN$482*$AE$497)))),"")))</f>
        <v/>
      </c>
      <c r="BO483" s="214" t="str">
        <f ca="1">IF($AE497*$AA483*'Customer Base'!$D$26*0.8&gt;5800,"",IF($AE497*$AA483&gt;$AA501,"",IF(($AA$483*BO$482*$AE$497)&lt;=$AA$501,((MOD($AA$501,($AA$483*BO$482*$AE$497)))),"")))</f>
        <v/>
      </c>
      <c r="BP483" s="214" t="str">
        <f ca="1">IF($AE497*$AA483*'Customer Base'!$D$26*0.8&gt;5800,"",IF($AE497*$AA483&gt;$AA501,"",IF(($AA$483*BP$482*$AE$497)&lt;=$AA$501,((MOD($AA$501,($AA$483*BP$482*$AE$497)))),"")))</f>
        <v/>
      </c>
      <c r="BQ483" s="214" t="str">
        <f ca="1">IF($AE497*$AA483*'Customer Base'!$D$26*0.8&gt;5800,"",IF($AE497*$AA483&gt;$AA501,"",IF(($AA$483*BQ$482*$AE$497)&lt;=$AA$501,((MOD($AA$501,($AA$483*BQ$482*$AE$497)))),"")))</f>
        <v/>
      </c>
      <c r="BR483" s="214" t="str">
        <f ca="1">IF($AE497*$AA483*'Customer Base'!$D$26*0.8&gt;5800,"",IF($AE497*$AA483&gt;$AA501,"",IF(($AA$483*BR$482*$AE$497)&lt;=$AA$501,((MOD($AA$501,($AA$483*BR$482*$AE$497)))),"")))</f>
        <v/>
      </c>
      <c r="BS483" s="214" t="str">
        <f ca="1">IF($AE497*$AA483*'Customer Base'!$D$26*0.8&gt;5800,"",IF($AE497*$AA483&gt;$AA501,"",IF(($AA$483*BS$482*$AE$497)&lt;=$AA$501,((MOD($AA$501,($AA$483*BS$482*$AE$497)))),"")))</f>
        <v/>
      </c>
      <c r="BT483" s="214" t="str">
        <f ca="1">IF($AE497*$AA483*'Customer Base'!$D$26*0.8&gt;5800,"",IF($AE497*$AA483&gt;$AA501,"",IF(($AA$483*BT$482*$AE$497)&lt;=$AA$501,((MOD($AA$501,($AA$483*BT$482*$AE$497)))),"")))</f>
        <v/>
      </c>
      <c r="BU483" s="214" t="str">
        <f ca="1">IF($AE497*$AA483*'Customer Base'!$D$26*0.8&gt;5800,"",IF($AE497*$AA483&gt;$AA501,"",IF(($AA$483*BU$482*$AE$497)&lt;=$AA$501,((MOD($AA$501,($AA$483*BU$482*$AE$497)))),"")))</f>
        <v/>
      </c>
      <c r="BV483" s="214" t="str">
        <f ca="1">IF($AE497*$AA483*'Customer Base'!$D$26*0.8&gt;5800,"",IF($AE497*$AA483&gt;$AA501,"",IF(($AA$483*BV$482*$AE$497)&lt;=$AA$501,((MOD($AA$501,($AA$483*BV$482*$AE$497)))),"")))</f>
        <v/>
      </c>
      <c r="BW483" s="214" t="str">
        <f ca="1">IF($AE497*$AA483*'Customer Base'!$D$26*0.8&gt;5800,"",IF($AE497*$AA483&gt;$AA501,"",IF(($AA$483*BW$482*$AE$497)&lt;=$AA$501,((MOD($AA$501,($AA$483*BW$482*$AE$497)))),"")))</f>
        <v/>
      </c>
      <c r="BX483" s="214" t="str">
        <f ca="1">IF($AE497*$AA483*'Customer Base'!$D$26*0.8&gt;5800,"",IF($AE497*$AA483&gt;$AA501,"",IF(($AA$483*BX$482*$AE$497)&lt;=$AA$501,((MOD($AA$501,($AA$483*BX$482*$AE$497)))),"")))</f>
        <v/>
      </c>
      <c r="BY483" s="214" t="str">
        <f ca="1">IF($AE497*$AA483*'Customer Base'!$D$26*0.8&gt;5800,"",IF($AE497*$AA483&gt;$AA501,"",IF(($AA$483*BY$482*$AE$497)&lt;=$AA$501,((MOD($AA$501,($AA$483*BY$482*$AE$497)))),"")))</f>
        <v/>
      </c>
      <c r="BZ483" s="214" t="str">
        <f ca="1">IF($AE497*$AA483*'Customer Base'!$D$26*0.8&gt;5800,"",IF($AE497*$AA483&gt;$AA501,"",IF(($AA$483*BZ$482*$AE$497)&lt;=$AA$501,((MOD($AA$501,($AA$483*BZ$482*$AE$497)))),"")))</f>
        <v/>
      </c>
      <c r="CA483" s="214" t="str">
        <f ca="1">IF($AE497*$AA483*'Customer Base'!$D$26*0.8&gt;5800,"",IF($AE497*$AA483&gt;$AA501,"",IF(($AA$483*CA$482*$AE$497)&lt;=$AA$501,((MOD($AA$501,($AA$483*CA$482*$AE$497)))),"")))</f>
        <v/>
      </c>
      <c r="CB483" s="214" t="str">
        <f ca="1">IF($AE497*$AA483*'Customer Base'!$D$26*0.8&gt;5800,"",IF($AE497*$AA483&gt;$AA501,"",IF(($AA$483*CB$482*$AE$497)&lt;=$AA$501,((MOD($AA$501,($AA$483*CB$482*$AE$497)))),"")))</f>
        <v/>
      </c>
      <c r="CC483" s="214" t="str">
        <f ca="1">IF($AE497*$AA483*'Customer Base'!$D$26*0.8&gt;5800,"",IF($AE497*$AA483&gt;$AA501,"",IF(($AA$483*CC$482*$AE$497)&lt;=$AA$501,((MOD($AA$501,($AA$483*CC$482*$AE$497)))),"")))</f>
        <v/>
      </c>
      <c r="CD483" s="214" t="str">
        <f ca="1">IF($AE497*$AA483*'Customer Base'!$D$26*0.8&gt;5800,"",IF($AE497*$AA483&gt;$AA501,"",IF(($AA$483*CD$482*$AE$497)&lt;=$AA$501,((MOD($AA$501,($AA$483*CD$482*$AE$497)))),"")))</f>
        <v/>
      </c>
      <c r="CE483" s="214" t="str">
        <f ca="1">IF($AE497*$AA483*'Customer Base'!$D$26*0.8&gt;5800,"",IF($AE497*$AA483&gt;$AA501,"",IF(($AA$483*CE$482*$AE$497)&lt;=$AA$501,((MOD($AA$501,($AA$483*CE$482*$AE$497)))),"")))</f>
        <v/>
      </c>
      <c r="CF483" s="214" t="str">
        <f ca="1">IF($AE497*$AA483*'Customer Base'!$D$26*0.8&gt;5800,"",IF($AE497*$AA483&gt;$AA501,"",IF(($AA$483*CF$482*$AE$497)&lt;=$AA$501,((MOD($AA$501,($AA$483*CF$482*$AE$497)))),"")))</f>
        <v/>
      </c>
      <c r="CG483" s="214" t="str">
        <f ca="1">IF($AE497*$AA483*'Customer Base'!$D$26*0.8&gt;5800,"",IF($AE497*$AA483&gt;$AA501,"",IF(($AA$483*CG$482*$AE$497)&lt;=$AA$501,((MOD($AA$501,($AA$483*CG$482*$AE$497)))),"")))</f>
        <v/>
      </c>
      <c r="CH483" s="214" t="str">
        <f ca="1">IF($AE497*$AA483*'Customer Base'!$D$26*0.8&gt;5800,"",IF($AE497*$AA483&gt;$AA501,"",IF(($AA$483*CH$482*$AE$497)&lt;=$AA$501,((MOD($AA$501,($AA$483*CH$482*$AE$497)))),"")))</f>
        <v/>
      </c>
      <c r="CI483" s="214" t="str">
        <f ca="1">IF($AE497*$AA483*'Customer Base'!$D$26*0.8&gt;5800,"",IF($AE497*$AA483&gt;$AA501,"",IF(($AA$483*CI$482*$AE$497)&lt;=$AA$501,((MOD($AA$501,($AA$483*CI$482*$AE$497)))),"")))</f>
        <v/>
      </c>
      <c r="CJ483" s="214" t="str">
        <f ca="1">IF($AE497*$AA483*'Customer Base'!$D$26*0.8&gt;5800,"",IF($AE497*$AA483&gt;$AA501,"",IF(($AA$483*CJ$482*$AE$497)&lt;=$AA$501,((MOD($AA$501,($AA$483*CJ$482*$AE$497)))),"")))</f>
        <v/>
      </c>
      <c r="CK483" s="214" t="str">
        <f ca="1">IF($AE497*$AA483*'Customer Base'!$D$26*0.8&gt;5800,"",IF($AE497*$AA483&gt;$AA501,"",IF(($AA$483*CK$482*$AE$497)&lt;=$AA$501,((MOD($AA$501,($AA$483*CK$482*$AE$497)))),"")))</f>
        <v/>
      </c>
      <c r="CL483" s="214" t="str">
        <f ca="1">IF($AE497*$AA483*'Customer Base'!$D$26*0.8&gt;5800,"",IF($AE497*$AA483&gt;$AA501,"",IF(($AA$483*CL$482*$AE$497)&lt;=$AA$501,((MOD($AA$501,($AA$483*CL$482*$AE$497)))),"")))</f>
        <v/>
      </c>
      <c r="CM483" s="214" t="str">
        <f ca="1">IF($AE497*$AA483*'Customer Base'!$D$26*0.8&gt;5800,"",IF($AE497*$AA483&gt;$AA501,"",IF(($AA$483*CM$482*$AE$497)&lt;=$AA$501,((MOD($AA$501,($AA$483*CM$482*$AE$497)))),"")))</f>
        <v/>
      </c>
      <c r="CN483" s="214" t="str">
        <f ca="1">IF($AE497*$AA483*'Customer Base'!$D$26*0.8&gt;5800,"",IF($AE497*$AA483&gt;$AA501,"",IF(($AA$483*CN$482*$AE$497)&lt;=$AA$501,((MOD($AA$501,($AA$483*CN$482*$AE$497)))),"")))</f>
        <v/>
      </c>
      <c r="CO483" s="214" t="str">
        <f ca="1">IF($AE497*$AA483*'Customer Base'!$D$26*0.8&gt;5800,"",IF($AE497*$AA483&gt;$AA501,"",IF(($AA$483*CO$482*$AE$497)&lt;=$AA$501,((MOD($AA$501,($AA$483*CO$482*$AE$497)))),"")))</f>
        <v/>
      </c>
      <c r="CP483" s="214" t="str">
        <f ca="1">IF($AE497*$AA483*'Customer Base'!$D$26*0.8&gt;5800,"",IF($AE497*$AA483&gt;$AA501,"",IF(($AA$483*CP$482*$AE$497)&lt;=$AA$501,((MOD($AA$501,($AA$483*CP$482*$AE$497)))),"")))</f>
        <v/>
      </c>
      <c r="CQ483" s="214" t="str">
        <f ca="1">IF($AE497*$AA483*'Customer Base'!$D$26*0.8&gt;5800,"",IF($AE497*$AA483&gt;$AA501,"",IF(($AA$483*CQ$482*$AE$497)&lt;=$AA$501,((MOD($AA$501,($AA$483*CQ$482*$AE$497)))),"")))</f>
        <v/>
      </c>
      <c r="CR483" s="214" t="str">
        <f ca="1">IF($AE497*$AA483*'Customer Base'!$D$26*0.8&gt;5800,"",IF($AE497*$AA483&gt;$AA501,"",IF(($AA$483*CR$482*$AE$497)&lt;=$AA$501,((MOD($AA$501,($AA$483*CR$482*$AE$497)))),"")))</f>
        <v/>
      </c>
      <c r="CS483" s="214" t="str">
        <f ca="1">IF($AE497*$AA483*'Customer Base'!$D$26*0.8&gt;5800,"",IF($AE497*$AA483&gt;$AA501,"",IF(($AA$483*CS$482*$AE$497)&lt;=$AA$501,((MOD($AA$501,($AA$483*CS$482*$AE$497)))),"")))</f>
        <v/>
      </c>
      <c r="CT483" s="214" t="str">
        <f ca="1">IF($AE497*$AA483*'Customer Base'!$D$26*0.8&gt;5800,"",IF($AE497*$AA483&gt;$AA501,"",IF(($AA$483*CT$482*$AE$497)&lt;=$AA$501,((MOD($AA$501,($AA$483*CT$482*$AE$497)))),"")))</f>
        <v/>
      </c>
      <c r="CU483" s="214" t="str">
        <f ca="1">IF($AE497*$AA483*'Customer Base'!$D$26*0.8&gt;5800,"",IF($AE497*$AA483&gt;$AA501,"",IF(($AA$483*CU$482*$AE$497)&lt;=$AA$501,((MOD($AA$501,($AA$483*CU$482*$AE$497)))),"")))</f>
        <v/>
      </c>
      <c r="CV483" s="214" t="str">
        <f ca="1">IF($AE497*$AA483*'Customer Base'!$D$26*0.8&gt;5800,"",IF($AE497*$AA483&gt;$AA501,"",IF(($AA$483*CV$482*$AE$497)&lt;=$AA$501,((MOD($AA$501,($AA$483*CV$482*$AE$497)))),"")))</f>
        <v/>
      </c>
      <c r="CW483" s="214" t="str">
        <f ca="1">IF($AE497*$AA483*'Customer Base'!$D$26*0.8&gt;5800,"",IF($AE497*$AA483&gt;$AA501,"",IF(($AA$483*CW$482*$AE$497)&lt;=$AA$501,((MOD($AA$501,($AA$483*CW$482*$AE$497)))),"")))</f>
        <v/>
      </c>
      <c r="CX483" s="214" t="str">
        <f ca="1">IF($AE497*$AA483*'Customer Base'!$D$26*0.8&gt;5800,"",IF($AE497*$AA483&gt;$AA501,"",IF(($AA$483*CX$482*$AE$497)&lt;=$AA$501,((MOD($AA$501,($AA$483*CX$482*$AE$497)))),"")))</f>
        <v/>
      </c>
      <c r="CY483" s="214" t="str">
        <f ca="1">IF($AE497*$AA483*'Customer Base'!$D$26*0.8&gt;5800,"",IF($AE497*$AA483&gt;$AA501,"",IF(($AA$483*CY$482*$AE$497)&lt;=$AA$501,((MOD($AA$501,($AA$483*CY$482*$AE$497)))),"")))</f>
        <v/>
      </c>
      <c r="CZ483" s="214" t="str">
        <f ca="1">IF($AE497*$AA483*'Customer Base'!$D$26*0.8&gt;5800,"",IF($AE497*$AA483&gt;$AA501,"",IF(($AA$483*CZ$482*$AE$497)&lt;=$AA$501,((MOD($AA$501,($AA$483*CZ$482*$AE$497)))),"")))</f>
        <v/>
      </c>
      <c r="DA483" s="214" t="str">
        <f ca="1">IF($AE497*$AA483*'Customer Base'!$D$26*0.8&gt;5800,"",IF($AE497*$AA483&gt;$AA501,"",IF(($AA$483*DA$482*$AE$497)&lt;=$AA$501,((MOD($AA$501,($AA$483*DA$482*$AE$497)))),"")))</f>
        <v/>
      </c>
      <c r="DB483" s="214" t="str">
        <f ca="1">IF($AE497*$AA483*'Customer Base'!$D$26*0.8&gt;5800,"",IF($AE497*$AA483&gt;$AA501,"",IF(($AA$483*DB$482*$AE$497)&lt;=$AA$501,((MOD($AA$501,($AA$483*DB$482*$AE$497)))),"")))</f>
        <v/>
      </c>
      <c r="DC483" s="214" t="str">
        <f ca="1">IF($AE497*$AA483*'Customer Base'!$D$26*0.8&gt;5800,"",IF($AE497*$AA483&gt;$AA501,"",IF(($AA$483*DC$482*$AE$497)&lt;=$AA$501,((MOD($AA$501,($AA$483*DC$482*$AE$497)))),"")))</f>
        <v/>
      </c>
      <c r="DD483" s="214" t="str">
        <f ca="1">IF($AE497*$AA483*'Customer Base'!$D$26*0.8&gt;5800,"",IF($AE497*$AA483&gt;$AA501,"",IF(($AA$483*DD$482*$AE$497)&lt;=$AA$501,((MOD($AA$501,($AA$483*DD$482*$AE$497)))),"")))</f>
        <v/>
      </c>
      <c r="DE483" s="214" t="str">
        <f ca="1">IF($AE497*$AA483*'Customer Base'!$D$26*0.8&gt;5800,"",IF($AE497*$AA483&gt;$AA501,"",IF(($AA$483*DE$482*$AE$497)&lt;=$AA$501,((MOD($AA$501,($AA$483*DE$482*$AE$497)))),"")))</f>
        <v/>
      </c>
      <c r="DF483" s="214" t="str">
        <f ca="1">IF($AE497*$AA483*'Customer Base'!$D$26*0.8&gt;5800,"",IF($AE497*$AA483&gt;$AA501,"",IF(($AA$483*DF$482*$AE$497)&lt;=$AA$501,((MOD($AA$501,($AA$483*DF$482*$AE$497)))),"")))</f>
        <v/>
      </c>
      <c r="DG483" s="214" t="str">
        <f ca="1">IF($AE497*$AA483*'Customer Base'!$D$26*0.8&gt;5800,"",IF($AE497*$AA483&gt;$AA501,"",IF(($AA$483*DG$482*$AE$497)&lt;=$AA$501,((MOD($AA$501,($AA$483*DG$482*$AE$497)))),"")))</f>
        <v/>
      </c>
      <c r="DH483" s="214" t="str">
        <f ca="1">IF($AE497*$AA483*'Customer Base'!$D$26*0.8&gt;5800,"",IF($AE497*$AA483&gt;$AA501,"",IF(($AA$483*DH$482*$AE$497)&lt;=$AA$501,((MOD($AA$501,($AA$483*DH$482*$AE$497)))),"")))</f>
        <v/>
      </c>
      <c r="DI483" s="214" t="str">
        <f ca="1">IF($AE497*$AA483*'Customer Base'!$D$26*0.8&gt;5800,"",IF($AE497*$AA483&gt;$AA501,"",IF(($AA$483*DI$482*$AE$497)&lt;=$AA$501,((MOD($AA$501,($AA$483*DI$482*$AE$497)))),"")))</f>
        <v/>
      </c>
      <c r="DJ483" s="214" t="str">
        <f ca="1">IF($AE497*$AA483*'Customer Base'!$D$26*0.8&gt;5800,"",IF($AE497*$AA483&gt;$AA501,"",IF(($AA$483*DJ$482*$AE$497)&lt;=$AA$501,((MOD($AA$501,($AA$483*DJ$482*$AE$497)))),"")))</f>
        <v/>
      </c>
      <c r="DK483" s="214" t="str">
        <f ca="1">IF($AE497*$AA483*'Customer Base'!$D$26*0.8&gt;5800,"",IF($AE497*$AA483&gt;$AA501,"",IF(($AA$483*DK$482*$AE$497)&lt;=$AA$501,((MOD($AA$501,($AA$483*DK$482*$AE$497)))),"")))</f>
        <v/>
      </c>
      <c r="DL483" s="214" t="str">
        <f ca="1">IF($AE497*$AA483*'Customer Base'!$D$26*0.8&gt;5800,"",IF($AE497*$AA483&gt;$AA501,"",IF(($AA$483*DL$482*$AE$497)&lt;=$AA$501,((MOD($AA$501,($AA$483*DL$482*$AE$497)))),"")))</f>
        <v/>
      </c>
      <c r="DM483" s="214" t="str">
        <f ca="1">IF($AE497*$AA483*'Customer Base'!$D$26*0.8&gt;5800,"",IF($AE497*$AA483&gt;$AA501,"",IF(($AA$483*DM$482*$AE$497)&lt;=$AA$501,((MOD($AA$501,($AA$483*DM$482*$AE$497)))),"")))</f>
        <v/>
      </c>
      <c r="DN483" s="214" t="str">
        <f ca="1">IF($AE497*$AA483*'Customer Base'!$D$26*0.8&gt;5800,"",IF($AE497*$AA483&gt;$AA501,"",IF(($AA$483*DN$482*$AE$497)&lt;=$AA$501,((MOD($AA$501,($AA$483*DN$482*$AE$497)))),"")))</f>
        <v/>
      </c>
      <c r="DO483" s="214" t="str">
        <f ca="1">IF($AE497*$AA483*'Customer Base'!$D$26*0.8&gt;5800,"",IF($AE497*$AA483&gt;$AA501,"",IF(($AA$483*DO$482*$AE$497)&lt;=$AA$501,((MOD($AA$501,($AA$483*DO$482*$AE$497)))),"")))</f>
        <v/>
      </c>
      <c r="DP483" s="214" t="str">
        <f ca="1">IF($AE497*$AA483*'Customer Base'!$D$26*0.8&gt;5800,"",IF($AE497*$AA483&gt;$AA501,"",IF(($AA$483*DP$482*$AE$497)&lt;=$AA$501,((MOD($AA$501,($AA$483*DP$482*$AE$497)))),"")))</f>
        <v/>
      </c>
      <c r="DQ483" s="214" t="str">
        <f ca="1">IF($AE497*$AA483*'Customer Base'!$D$26*0.8&gt;5800,"",IF($AE497*$AA483&gt;$AA501,"",IF(($AA$483*DQ$482*$AE$497)&lt;=$AA$501,((MOD($AA$501,($AA$483*DQ$482*$AE$497)))),"")))</f>
        <v/>
      </c>
      <c r="DR483" s="214" t="str">
        <f ca="1">IF($AE497*$AA483*'Customer Base'!$D$26*0.8&gt;5800,"",IF($AE497*$AA483&gt;$AA501,"",IF(($AA$483*DR$482*$AE$497)&lt;=$AA$501,((MOD($AA$501,($AA$483*DR$482*$AE$497)))),"")))</f>
        <v/>
      </c>
      <c r="DS483" s="214" t="str">
        <f ca="1">IF($AE497*$AA483*'Customer Base'!$D$26*0.8&gt;5800,"",IF($AE497*$AA483&gt;$AA501,"",IF(($AA$483*DS$482*$AE$497)&lt;=$AA$501,((MOD($AA$501,($AA$483*DS$482*$AE$497)))),"")))</f>
        <v/>
      </c>
      <c r="DT483" s="214" t="str">
        <f ca="1">IF($AE497*$AA483*'Customer Base'!$D$26*0.8&gt;5800,"",IF($AE497*$AA483&gt;$AA501,"",IF(($AA$483*DT$482*$AE$497)&lt;=$AA$501,((MOD($AA$501,($AA$483*DT$482*$AE$497)))),"")))</f>
        <v/>
      </c>
      <c r="DU483" s="214" t="str">
        <f ca="1">IF($AE497*$AA483*'Customer Base'!$D$26*0.8&gt;5800,"",IF($AE497*$AA483&gt;$AA501,"",IF(($AA$483*DU$482*$AE$497)&lt;=$AA$501,((MOD($AA$501,($AA$483*DU$482*$AE$497)))),"")))</f>
        <v/>
      </c>
      <c r="DV483" s="214" t="str">
        <f ca="1">IF($AE497*$AA483*'Customer Base'!$D$26*0.8&gt;5800,"",IF($AE497*$AA483&gt;$AA501,"",IF(($AA$483*DV$482*$AE$497)&lt;=$AA$501,((MOD($AA$501,($AA$483*DV$482*$AE$497)))),"")))</f>
        <v/>
      </c>
      <c r="DW483" s="214" t="str">
        <f ca="1">IF($AE497*$AA483*'Customer Base'!$D$26*0.8&gt;5800,"",IF($AE497*$AA483&gt;$AA501,"",IF(($AA$483*DW$482*$AE$497)&lt;=$AA$501,((MOD($AA$501,($AA$483*DW$482*$AE$497)))),"")))</f>
        <v/>
      </c>
      <c r="DX483" s="214" t="str">
        <f ca="1">IF($AE497*$AA483*'Customer Base'!$D$26*0.8&gt;5800,"",IF($AE497*$AA483&gt;$AA501,"",IF(($AA$483*DX$482*$AE$497)&lt;=$AA$501,((MOD($AA$501,($AA$483*DX$482*$AE$497)))),"")))</f>
        <v/>
      </c>
      <c r="DY483" s="214" t="str">
        <f ca="1">IF($AE497*$AA483*'Customer Base'!$D$26*0.8&gt;5800,"",IF($AE497*$AA483&gt;$AA501,"",IF(($AA$483*DY$482*$AE$497)&lt;=$AA$501,((MOD($AA$501,($AA$483*DY$482*$AE$497)))),"")))</f>
        <v/>
      </c>
      <c r="DZ483" s="214" t="str">
        <f ca="1">IF($AE497*$AA483*'Customer Base'!$D$26*0.8&gt;5800,"",IF($AE497*$AA483&gt;$AA501,"",IF(($AA$483*DZ$482*$AE$497)&lt;=$AA$501,((MOD($AA$501,($AA$483*DZ$482*$AE$497)))),"")))</f>
        <v/>
      </c>
      <c r="EA483" s="214" t="str">
        <f ca="1">IF($AE497*$AA483*'Customer Base'!$D$26*0.8&gt;5800,"",IF($AE497*$AA483&gt;$AA501,"",IF(($AA$483*EA$482*$AE$497)&lt;=$AA$501,((MOD($AA$501,($AA$483*EA$482*$AE$497)))),"")))</f>
        <v/>
      </c>
      <c r="EC483" s="214" cm="1">
        <f t="array" aca="1" ref="EC483" ca="1">IFERROR(LOOKUP(2,1/(AF483:EA483&lt;&gt;""),AF$482:EA$482),"")</f>
        <v>10</v>
      </c>
      <c r="ED483" s="316" t="str" cm="1">
        <f t="array" aca="1" ref="ED483" ca="1">IF(EC$474=EC483,LOOKUP(2,1/(AF483:EA483&lt;&gt;""),AF483:EA483),"")</f>
        <v/>
      </c>
      <c r="EE483" s="316" t="str">
        <f ca="1">IF(ED483=ED$474,1,"")</f>
        <v/>
      </c>
      <c r="EF483" s="316"/>
      <c r="EG483" s="316"/>
      <c r="EH483" s="316"/>
      <c r="EI483" s="214">
        <v>2</v>
      </c>
      <c r="EJ483" s="315" t="s">
        <v>2698</v>
      </c>
      <c r="EK483" s="214">
        <f>IFERROR(MOD(EL$495,EI483),"")</f>
        <v>0</v>
      </c>
      <c r="EL483" s="214" t="str">
        <f>IF(OR(EL489=1,EL489=""),"",IF(AND(EK485&lt;&gt;0,EK484&lt;&gt;0,EK483=0),IF(EK483=0,EI483,""),IF(AND(MAX(EK483:EK485)&lt;=EI483,SUMPRODUCT(EL484:EL485,EM484:EM485)&lt;&gt;EL489),EI483,"")))</f>
        <v/>
      </c>
      <c r="EM483" s="214" t="str">
        <f>IFERROR(IF(AND(EL483&lt;&gt;"",OR(EL484&lt;&gt;"",EL485&lt;&gt;"")),1,(ROUNDDOWN(EL$495/EL483,0))),"")</f>
        <v/>
      </c>
      <c r="EN483" s="214">
        <f ca="1">IF($AE497*$AA483*'Customer Base'!$D$26*0.8&gt;5800,"",IF($AE497*$AA483&gt;$AA501,"",IF(($AA$483*EN$482*$AE$497)&lt;=$ED$474,((MOD($ED$474,($AA$483*EN$482*$AE$497)))),"")))</f>
        <v>0</v>
      </c>
      <c r="EO483" s="214" t="str">
        <f ca="1">IF($AE497*$AA483*'Customer Base'!$D$26*0.8&gt;5800,"",IF($AE497*$AA483&gt;$AA501,"",IF(($AA$483*EO$482*$AE$497)&lt;=$ED$474,((MOD($ED$474,($AA$483*EO$482*$AE$497)))),"")))</f>
        <v/>
      </c>
      <c r="EP483" s="214" t="str">
        <f ca="1">IF($AE497*$AA483*'Customer Base'!$D$26*0.8&gt;5800,"",IF($AE497*$AA483&gt;$AA501,"",IF(($AA$483*EP$482*$AE$497)&lt;=$ED$474,((MOD($ED$474,($AA$483*EP$482*$AE$497)))),"")))</f>
        <v/>
      </c>
      <c r="EQ483" s="214" t="str">
        <f ca="1">IF($AE497*$AA483*'Customer Base'!$D$26*0.8&gt;5800,"",IF($AE497*$AA483&gt;$AA501,"",IF(($AA$483*EQ$482*$AE$497)&lt;=$ED$474,((MOD($ED$474,($AA$483*EQ$482*$AE$497)))),"")))</f>
        <v/>
      </c>
      <c r="ER483" s="214" t="str">
        <f ca="1">IF($AE497*$AA483*'Customer Base'!$D$26*0.8&gt;5800,"",IF($AE497*$AA483&gt;$AA501,"",IF(($AA$483*ER$482*$AE$497)&lt;=$ED$474,((MOD($ED$474,($AA$483*ER$482*$AE$497)))),"")))</f>
        <v/>
      </c>
      <c r="ES483" s="214" t="str">
        <f ca="1">IF($AE497*$AA483*'Customer Base'!$D$26*0.8&gt;5800,"",IF($AE497*$AA483&gt;$AA501,"",IF(($AA$483*ES$482*$AE$497)&lt;=$ED$474,((MOD($ED$474,($AA$483*ES$482*$AE$497)))),"")))</f>
        <v/>
      </c>
      <c r="ET483" s="214" t="str">
        <f ca="1">IF($AE497*$AA483*'Customer Base'!$D$26*0.8&gt;5800,"",IF($AE497*$AA483&gt;$AA501,"",IF(($AA$483*ET$482*$AE$497)&lt;=$ED$474,((MOD($ED$474,($AA$483*ET$482*$AE$497)))),"")))</f>
        <v/>
      </c>
      <c r="EU483" s="214" t="str">
        <f ca="1">IF($AE497*$AA483*'Customer Base'!$D$26*0.8&gt;5800,"",IF($AE497*$AA483&gt;$AA501,"",IF(($AA$483*EU$482*$AE$497)&lt;=$ED$474,((MOD($ED$474,($AA$483*EU$482*$AE$497)))),"")))</f>
        <v/>
      </c>
      <c r="EV483" s="214" t="str">
        <f ca="1">IF($AE497*$AA483*'Customer Base'!$D$26*0.8&gt;5800,"",IF($AE497*$AA483&gt;$AA501,"",IF(($AA$483*EV$482*$AE$497)&lt;=$ED$474,((MOD($ED$474,($AA$483*EV$482*$AE$497)))),"")))</f>
        <v/>
      </c>
      <c r="EW483" s="214" t="str">
        <f ca="1">IF($AE497*$AA483*'Customer Base'!$D$26*0.8&gt;5800,"",IF($AE497*$AA483&gt;$AA501,"",IF(($AA$483*EW$482*$AE$497)&lt;=$ED$474,((MOD($ED$474,($AA$483*EW$482*$AE$497)))),"")))</f>
        <v/>
      </c>
      <c r="EX483" s="214" t="str">
        <f ca="1">IF($AE497*$AA483*'Customer Base'!$D$26*0.8&gt;5800,"",IF($AE497*$AA483&gt;$AA501,"",IF(($AA$483*EX$482*$AE$497)&lt;=$ED$474,((MOD($ED$474,($AA$483*EX$482*$AE$497)))),"")))</f>
        <v/>
      </c>
      <c r="EY483" s="214" t="str">
        <f ca="1">IF($AE497*$AA483*'Customer Base'!$D$26*0.8&gt;5800,"",IF($AE497*$AA483&gt;$AA501,"",IF(($AA$483*EY$482*$AE$497)&lt;=$ED$474,((MOD($ED$474,($AA$483*EY$482*$AE$497)))),"")))</f>
        <v/>
      </c>
      <c r="EZ483" s="214" t="str">
        <f ca="1">IF($AE497*$AA483*'Customer Base'!$D$26*0.8&gt;5800,"",IF($AE497*$AA483&gt;$AA501,"",IF(($AA$483*EZ$482*$AE$497)&lt;=$ED$474,((MOD($ED$474,($AA$483*EZ$482*$AE$497)))),"")))</f>
        <v/>
      </c>
      <c r="FA483" s="214" t="str">
        <f ca="1">IF($AE497*$AA483*'Customer Base'!$D$26*0.8&gt;5800,"",IF($AE497*$AA483&gt;$AA501,"",IF(($AA$483*FA$482*$AE$497)&lt;=$ED$474,((MOD($ED$474,($AA$483*FA$482*$AE$497)))),"")))</f>
        <v/>
      </c>
      <c r="FB483" s="214" t="str">
        <f ca="1">IF($AE497*$AA483*'Customer Base'!$D$26*0.8&gt;5800,"",IF($AE497*$AA483&gt;$AA501,"",IF(($AA$483*FB$482*$AE$497)&lt;=$ED$474,((MOD($ED$474,($AA$483*FB$482*$AE$497)))),"")))</f>
        <v/>
      </c>
      <c r="FC483" s="214" t="str">
        <f ca="1">IF($AE497*$AA483*'Customer Base'!$D$26*0.8&gt;5800,"",IF($AE497*$AA483&gt;$AA501,"",IF(($AA$483*FC$482*$AE$497)&lt;=$ED$474,((MOD($ED$474,($AA$483*FC$482*$AE$497)))),"")))</f>
        <v/>
      </c>
      <c r="FD483" s="214" t="str">
        <f ca="1">IF($AE497*$AA483*'Customer Base'!$D$26*0.8&gt;5800,"",IF($AE497*$AA483&gt;$AA501,"",IF(($AA$483*FD$482*$AE$497)&lt;=$ED$474,((MOD($ED$474,($AA$483*FD$482*$AE$497)))),"")))</f>
        <v/>
      </c>
      <c r="FE483" s="214" t="str">
        <f ca="1">IF($AE497*$AA483*'Customer Base'!$D$26*0.8&gt;5800,"",IF($AE497*$AA483&gt;$AA501,"",IF(($AA$483*FE$482*$AE$497)&lt;=$ED$474,((MOD($ED$474,($AA$483*FE$482*$AE$497)))),"")))</f>
        <v/>
      </c>
      <c r="FF483" s="214" t="str">
        <f ca="1">IF($AE497*$AA483*'Customer Base'!$D$26*0.8&gt;5800,"",IF($AE497*$AA483&gt;$AA501,"",IF(($AA$483*FF$482*$AE$497)&lt;=$ED$474,((MOD($ED$474,($AA$483*FF$482*$AE$497)))),"")))</f>
        <v/>
      </c>
      <c r="FG483" s="214" t="str">
        <f ca="1">IF($AE497*$AA483*'Customer Base'!$D$26*0.8&gt;5800,"",IF($AE497*$AA483&gt;$AA501,"",IF(($AA$483*FG$482*$AE$497)&lt;=$ED$474,((MOD($ED$474,($AA$483*FG$482*$AE$497)))),"")))</f>
        <v/>
      </c>
      <c r="FH483" s="214" t="str">
        <f ca="1">IF($AE497*$AA483*'Customer Base'!$D$26*0.8&gt;5800,"",IF($AE497*$AA483&gt;$AA501,"",IF(($AA$483*FH$482*$AE$497)&lt;=$ED$474,((MOD($ED$474,($AA$483*FH$482*$AE$497)))),"")))</f>
        <v/>
      </c>
      <c r="FI483" s="214" t="str">
        <f ca="1">IF($AE497*$AA483*'Customer Base'!$D$26*0.8&gt;5800,"",IF($AE497*$AA483&gt;$AA501,"",IF(($AA$483*FI$482*$AE$497)&lt;=$ED$474,((MOD($ED$474,($AA$483*FI$482*$AE$497)))),"")))</f>
        <v/>
      </c>
      <c r="FJ483" s="214" t="str">
        <f ca="1">IF($AE497*$AA483*'Customer Base'!$D$26*0.8&gt;5800,"",IF($AE497*$AA483&gt;$AA501,"",IF(($AA$483*FJ$482*$AE$497)&lt;=$ED$474,((MOD($ED$474,($AA$483*FJ$482*$AE$497)))),"")))</f>
        <v/>
      </c>
      <c r="FK483" s="214" t="str">
        <f ca="1">IF($AE497*$AA483*'Customer Base'!$D$26*0.8&gt;5800,"",IF($AE497*$AA483&gt;$AA501,"",IF(($AA$483*FK$482*$AE$497)&lt;=$ED$474,((MOD($ED$474,($AA$483*FK$482*$AE$497)))),"")))</f>
        <v/>
      </c>
      <c r="FL483" s="214" t="str">
        <f ca="1">IF($AE497*$AA483*'Customer Base'!$D$26*0.8&gt;5800,"",IF($AE497*$AA483&gt;$AA501,"",IF(($AA$483*FL$482*$AE$497)&lt;=$ED$474,((MOD($ED$474,($AA$483*FL$482*$AE$497)))),"")))</f>
        <v/>
      </c>
      <c r="FM483" s="214" t="str">
        <f ca="1">IF($AE497*$AA483*'Customer Base'!$D$26*0.8&gt;5800,"",IF($AE497*$AA483&gt;$AA501,"",IF(($AA$483*FM$482*$AE$497)&lt;=$ED$474,((MOD($ED$474,($AA$483*FM$482*$AE$497)))),"")))</f>
        <v/>
      </c>
      <c r="FN483" s="214" t="str">
        <f ca="1">IF($AE497*$AA483*'Customer Base'!$D$26*0.8&gt;5800,"",IF($AE497*$AA483&gt;$AA501,"",IF(($AA$483*FN$482*$AE$497)&lt;=$ED$474,((MOD($ED$474,($AA$483*FN$482*$AE$497)))),"")))</f>
        <v/>
      </c>
      <c r="FO483" s="214" t="str">
        <f ca="1">IF($AE497*$AA483*'Customer Base'!$D$26*0.8&gt;5800,"",IF($AE497*$AA483&gt;$AA501,"",IF(($AA$483*FO$482*$AE$497)&lt;=$ED$474,((MOD($ED$474,($AA$483*FO$482*$AE$497)))),"")))</f>
        <v/>
      </c>
      <c r="FP483" s="214" t="str">
        <f ca="1">IF($AE497*$AA483*'Customer Base'!$D$26*0.8&gt;5800,"",IF($AE497*$AA483&gt;$AA501,"",IF(($AA$483*FP$482*$AE$497)&lt;=$ED$474,((MOD($ED$474,($AA$483*FP$482*$AE$497)))),"")))</f>
        <v/>
      </c>
      <c r="FQ483" s="214" t="str">
        <f ca="1">IF($AE497*$AA483*'Customer Base'!$D$26*0.8&gt;5800,"",IF($AE497*$AA483&gt;$AA501,"",IF(($AA$483*FQ$482*$AE$497)&lt;=$ED$474,((MOD($ED$474,($AA$483*FQ$482*$AE$497)))),"")))</f>
        <v/>
      </c>
      <c r="FR483" s="214" t="str">
        <f ca="1">IF($AE497*$AA483*'Customer Base'!$D$26*0.8&gt;5800,"",IF($AE497*$AA483&gt;$AA501,"",IF(($AA$483*FR$482*$AE$497)&lt;=$ED$474,((MOD($ED$474,($AA$483*FR$482*$AE$497)))),"")))</f>
        <v/>
      </c>
      <c r="FS483" s="214" t="str">
        <f ca="1">IF($AE497*$AA483*'Customer Base'!$D$26*0.8&gt;5800,"",IF($AE497*$AA483&gt;$AA501,"",IF(($AA$483*FS$482*$AE$497)&lt;=$ED$474,((MOD($ED$474,($AA$483*FS$482*$AE$497)))),"")))</f>
        <v/>
      </c>
      <c r="FT483" s="214" t="str">
        <f ca="1">IF($AE497*$AA483*'Customer Base'!$D$26*0.8&gt;5800,"",IF($AE497*$AA483&gt;$AA501,"",IF(($AA$483*FT$482*$AE$497)&lt;=$ED$474,((MOD($ED$474,($AA$483*FT$482*$AE$497)))),"")))</f>
        <v/>
      </c>
      <c r="FU483" s="214" t="str">
        <f ca="1">IF($AE497*$AA483*'Customer Base'!$D$26*0.8&gt;5800,"",IF($AE497*$AA483&gt;$AA501,"",IF(($AA$483*FU$482*$AE$497)&lt;=$ED$474,((MOD($ED$474,($AA$483*FU$482*$AE$497)))),"")))</f>
        <v/>
      </c>
      <c r="FV483" s="214" t="str">
        <f ca="1">IF($AE497*$AA483*'Customer Base'!$D$26*0.8&gt;5800,"",IF($AE497*$AA483&gt;$AA501,"",IF(($AA$483*FV$482*$AE$497)&lt;=$ED$474,((MOD($ED$474,($AA$483*FV$482*$AE$497)))),"")))</f>
        <v/>
      </c>
      <c r="FW483" s="214" t="str">
        <f ca="1">IF($AE497*$AA483*'Customer Base'!$D$26*0.8&gt;5800,"",IF($AE497*$AA483&gt;$AA501,"",IF(($AA$483*FW$482*$AE$497)&lt;=$ED$474,((MOD($ED$474,($AA$483*FW$482*$AE$497)))),"")))</f>
        <v/>
      </c>
      <c r="FX483" s="214" t="str">
        <f ca="1">IF($AE497*$AA483*'Customer Base'!$D$26*0.8&gt;5800,"",IF($AE497*$AA483&gt;$AA501,"",IF(($AA$483*FX$482*$AE$497)&lt;=$ED$474,((MOD($ED$474,($AA$483*FX$482*$AE$497)))),"")))</f>
        <v/>
      </c>
      <c r="FY483" s="214" t="str">
        <f ca="1">IF($AE497*$AA483*'Customer Base'!$D$26*0.8&gt;5800,"",IF($AE497*$AA483&gt;$AA501,"",IF(($AA$483*FY$482*$AE$497)&lt;=$ED$474,((MOD($ED$474,($AA$483*FY$482*$AE$497)))),"")))</f>
        <v/>
      </c>
      <c r="FZ483" s="214" t="str">
        <f ca="1">IF($AE497*$AA483*'Customer Base'!$D$26*0.8&gt;5800,"",IF($AE497*$AA483&gt;$AA501,"",IF(($AA$483*FZ$482*$AE$497)&lt;=$ED$474,((MOD($ED$474,($AA$483*FZ$482*$AE$497)))),"")))</f>
        <v/>
      </c>
      <c r="GA483" s="214" t="str">
        <f ca="1">IF($AE497*$AA483*'Customer Base'!$D$26*0.8&gt;5800,"",IF($AE497*$AA483&gt;$AA501,"",IF(($AA$483*GA$482*$AE$497)&lt;=$ED$474,((MOD($ED$474,($AA$483*GA$482*$AE$497)))),"")))</f>
        <v/>
      </c>
      <c r="GB483" s="214" t="str">
        <f ca="1">IF($AE497*$AA483*'Customer Base'!$D$26*0.8&gt;5800,"",IF($AE497*$AA483&gt;$AA501,"",IF(($AA$483*GB$482*$AE$497)&lt;=$ED$474,((MOD($ED$474,($AA$483*GB$482*$AE$497)))),"")))</f>
        <v/>
      </c>
      <c r="GC483" s="214" t="str">
        <f ca="1">IF($AE497*$AA483*'Customer Base'!$D$26*0.8&gt;5800,"",IF($AE497*$AA483&gt;$AA501,"",IF(($AA$483*GC$482*$AE$497)&lt;=$ED$474,((MOD($ED$474,($AA$483*GC$482*$AE$497)))),"")))</f>
        <v/>
      </c>
      <c r="GD483" s="214" t="str">
        <f ca="1">IF($AE497*$AA483*'Customer Base'!$D$26*0.8&gt;5800,"",IF($AE497*$AA483&gt;$AA501,"",IF(($AA$483*GD$482*$AE$497)&lt;=$ED$474,((MOD($ED$474,($AA$483*GD$482*$AE$497)))),"")))</f>
        <v/>
      </c>
      <c r="GE483" s="214" t="str">
        <f ca="1">IF($AE497*$AA483*'Customer Base'!$D$26*0.8&gt;5800,"",IF($AE497*$AA483&gt;$AA501,"",IF(($AA$483*GE$482*$AE$497)&lt;=$ED$474,((MOD($ED$474,($AA$483*GE$482*$AE$497)))),"")))</f>
        <v/>
      </c>
      <c r="GF483" s="214" t="str">
        <f ca="1">IF($AE497*$AA483*'Customer Base'!$D$26*0.8&gt;5800,"",IF($AE497*$AA483&gt;$AA501,"",IF(($AA$483*GF$482*$AE$497)&lt;=$ED$474,((MOD($ED$474,($AA$483*GF$482*$AE$497)))),"")))</f>
        <v/>
      </c>
      <c r="GG483" s="214" t="str">
        <f ca="1">IF($AE497*$AA483*'Customer Base'!$D$26*0.8&gt;5800,"",IF($AE497*$AA483&gt;$AA501,"",IF(($AA$483*GG$482*$AE$497)&lt;=$ED$474,((MOD($ED$474,($AA$483*GG$482*$AE$497)))),"")))</f>
        <v/>
      </c>
      <c r="GH483" s="214" t="str">
        <f ca="1">IF($AE497*$AA483*'Customer Base'!$D$26*0.8&gt;5800,"",IF($AE497*$AA483&gt;$AA501,"",IF(($AA$483*GH$482*$AE$497)&lt;=$ED$474,((MOD($ED$474,($AA$483*GH$482*$AE$497)))),"")))</f>
        <v/>
      </c>
      <c r="GI483" s="214" t="str">
        <f ca="1">IF($AE497*$AA483*'Customer Base'!$D$26*0.8&gt;5800,"",IF($AE497*$AA483&gt;$AA501,"",IF(($AA$483*GI$482*$AE$497)&lt;=$ED$474,((MOD($ED$474,($AA$483*GI$482*$AE$497)))),"")))</f>
        <v/>
      </c>
      <c r="GJ483" s="214" t="str">
        <f ca="1">IF($AE497*$AA483*'Customer Base'!$D$26*0.8&gt;5800,"",IF($AE497*$AA483&gt;$AA501,"",IF(($AA$483*GJ$482*$AE$497)&lt;=$ED$474,((MOD($ED$474,($AA$483*GJ$482*$AE$497)))),"")))</f>
        <v/>
      </c>
      <c r="GK483" s="214" t="str">
        <f ca="1">IF($AE497*$AA483*'Customer Base'!$D$26*0.8&gt;5800,"",IF($AE497*$AA483&gt;$AA501,"",IF(($AA$483*GK$482*$AE$497)&lt;=$ED$474,((MOD($ED$474,($AA$483*GK$482*$AE$497)))),"")))</f>
        <v/>
      </c>
      <c r="GL483" s="214" t="str">
        <f ca="1">IF($AE497*$AA483*'Customer Base'!$D$26*0.8&gt;5800,"",IF($AE497*$AA483&gt;$AA501,"",IF(($AA$483*GL$482*$AE$497)&lt;=$ED$474,((MOD($ED$474,($AA$483*GL$482*$AE$497)))),"")))</f>
        <v/>
      </c>
      <c r="GM483" s="214" t="str">
        <f ca="1">IF($AE497*$AA483*'Customer Base'!$D$26*0.8&gt;5800,"",IF($AE497*$AA483&gt;$AA501,"",IF(($AA$483*GM$482*$AE$497)&lt;=$ED$474,((MOD($ED$474,($AA$483*GM$482*$AE$497)))),"")))</f>
        <v/>
      </c>
      <c r="GN483" s="214" t="str">
        <f ca="1">IF($AE497*$AA483*'Customer Base'!$D$26*0.8&gt;5800,"",IF($AE497*$AA483&gt;$AA501,"",IF(($AA$483*GN$482*$AE$497)&lt;=$ED$474,((MOD($ED$474,($AA$483*GN$482*$AE$497)))),"")))</f>
        <v/>
      </c>
      <c r="GO483" s="214" t="str">
        <f ca="1">IF($AE497*$AA483*'Customer Base'!$D$26*0.8&gt;5800,"",IF($AE497*$AA483&gt;$AA501,"",IF(($AA$483*GO$482*$AE$497)&lt;=$ED$474,((MOD($ED$474,($AA$483*GO$482*$AE$497)))),"")))</f>
        <v/>
      </c>
      <c r="GP483" s="214" t="str">
        <f ca="1">IF($AE497*$AA483*'Customer Base'!$D$26*0.8&gt;5800,"",IF($AE497*$AA483&gt;$AA501,"",IF(($AA$483*GP$482*$AE$497)&lt;=$ED$474,((MOD($ED$474,($AA$483*GP$482*$AE$497)))),"")))</f>
        <v/>
      </c>
      <c r="GQ483" s="214" t="str">
        <f ca="1">IF($AE497*$AA483*'Customer Base'!$D$26*0.8&gt;5800,"",IF($AE497*$AA483&gt;$AA501,"",IF(($AA$483*GQ$482*$AE$497)&lt;=$ED$474,((MOD($ED$474,($AA$483*GQ$482*$AE$497)))),"")))</f>
        <v/>
      </c>
      <c r="GR483" s="214" t="str">
        <f ca="1">IF($AE497*$AA483*'Customer Base'!$D$26*0.8&gt;5800,"",IF($AE497*$AA483&gt;$AA501,"",IF(($AA$483*GR$482*$AE$497)&lt;=$ED$474,((MOD($ED$474,($AA$483*GR$482*$AE$497)))),"")))</f>
        <v/>
      </c>
      <c r="GS483" s="214" t="str">
        <f ca="1">IF($AE497*$AA483*'Customer Base'!$D$26*0.8&gt;5800,"",IF($AE497*$AA483&gt;$AA501,"",IF(($AA$483*GS$482*$AE$497)&lt;=$ED$474,((MOD($ED$474,($AA$483*GS$482*$AE$497)))),"")))</f>
        <v/>
      </c>
      <c r="GT483" s="214" t="str">
        <f ca="1">IF($AE497*$AA483*'Customer Base'!$D$26*0.8&gt;5800,"",IF($AE497*$AA483&gt;$AA501,"",IF(($AA$483*GT$482*$AE$497)&lt;=$ED$474,((MOD($ED$474,($AA$483*GT$482*$AE$497)))),"")))</f>
        <v/>
      </c>
      <c r="GU483" s="214" t="str">
        <f ca="1">IF($AE497*$AA483*'Customer Base'!$D$26*0.8&gt;5800,"",IF($AE497*$AA483&gt;$AA501,"",IF(($AA$483*GU$482*$AE$497)&lt;=$ED$474,((MOD($ED$474,($AA$483*GU$482*$AE$497)))),"")))</f>
        <v/>
      </c>
      <c r="GV483" s="214" t="str">
        <f ca="1">IF($AE497*$AA483*'Customer Base'!$D$26*0.8&gt;5800,"",IF($AE497*$AA483&gt;$AA501,"",IF(($AA$483*GV$482*$AE$497)&lt;=$ED$474,((MOD($ED$474,($AA$483*GV$482*$AE$497)))),"")))</f>
        <v/>
      </c>
      <c r="GW483" s="214" t="str">
        <f ca="1">IF($AE497*$AA483*'Customer Base'!$D$26*0.8&gt;5800,"",IF($AE497*$AA483&gt;$AA501,"",IF(($AA$483*GW$482*$AE$497)&lt;=$ED$474,((MOD($ED$474,($AA$483*GW$482*$AE$497)))),"")))</f>
        <v/>
      </c>
      <c r="GX483" s="214" t="str">
        <f ca="1">IF($AE497*$AA483*'Customer Base'!$D$26*0.8&gt;5800,"",IF($AE497*$AA483&gt;$AA501,"",IF(($AA$483*GX$482*$AE$497)&lt;=$ED$474,((MOD($ED$474,($AA$483*GX$482*$AE$497)))),"")))</f>
        <v/>
      </c>
      <c r="GY483" s="214" t="str">
        <f ca="1">IF($AE497*$AA483*'Customer Base'!$D$26*0.8&gt;5800,"",IF($AE497*$AA483&gt;$AA501,"",IF(($AA$483*GY$482*$AE$497)&lt;=$ED$474,((MOD($ED$474,($AA$483*GY$482*$AE$497)))),"")))</f>
        <v/>
      </c>
      <c r="GZ483" s="214" t="str">
        <f ca="1">IF($AE497*$AA483*'Customer Base'!$D$26*0.8&gt;5800,"",IF($AE497*$AA483&gt;$AA501,"",IF(($AA$483*GZ$482*$AE$497)&lt;=$ED$474,((MOD($ED$474,($AA$483*GZ$482*$AE$497)))),"")))</f>
        <v/>
      </c>
      <c r="HA483" s="214" t="str">
        <f ca="1">IF($AE497*$AA483*'Customer Base'!$D$26*0.8&gt;5800,"",IF($AE497*$AA483&gt;$AA501,"",IF(($AA$483*HA$482*$AE$497)&lt;=$ED$474,((MOD($ED$474,($AA$483*HA$482*$AE$497)))),"")))</f>
        <v/>
      </c>
      <c r="HB483" s="214" t="str">
        <f ca="1">IF($AE497*$AA483*'Customer Base'!$D$26*0.8&gt;5800,"",IF($AE497*$AA483&gt;$AA501,"",IF(($AA$483*HB$482*$AE$497)&lt;=$ED$474,((MOD($ED$474,($AA$483*HB$482*$AE$497)))),"")))</f>
        <v/>
      </c>
      <c r="HC483" s="214" t="str">
        <f ca="1">IF($AE497*$AA483*'Customer Base'!$D$26*0.8&gt;5800,"",IF($AE497*$AA483&gt;$AA501,"",IF(($AA$483*HC$482*$AE$497)&lt;=$ED$474,((MOD($ED$474,($AA$483*HC$482*$AE$497)))),"")))</f>
        <v/>
      </c>
      <c r="HD483" s="214" t="str">
        <f ca="1">IF($AE497*$AA483*'Customer Base'!$D$26*0.8&gt;5800,"",IF($AE497*$AA483&gt;$AA501,"",IF(($AA$483*HD$482*$AE$497)&lt;=$ED$474,((MOD($ED$474,($AA$483*HD$482*$AE$497)))),"")))</f>
        <v/>
      </c>
      <c r="HE483" s="214" t="str">
        <f ca="1">IF($AE497*$AA483*'Customer Base'!$D$26*0.8&gt;5800,"",IF($AE497*$AA483&gt;$AA501,"",IF(($AA$483*HE$482*$AE$497)&lt;=$ED$474,((MOD($ED$474,($AA$483*HE$482*$AE$497)))),"")))</f>
        <v/>
      </c>
      <c r="HF483" s="214" t="str">
        <f ca="1">IF($AE497*$AA483*'Customer Base'!$D$26*0.8&gt;5800,"",IF($AE497*$AA483&gt;$AA501,"",IF(($AA$483*HF$482*$AE$497)&lt;=$ED$474,((MOD($ED$474,($AA$483*HF$482*$AE$497)))),"")))</f>
        <v/>
      </c>
      <c r="HG483" s="214" t="str">
        <f ca="1">IF($AE497*$AA483*'Customer Base'!$D$26*0.8&gt;5800,"",IF($AE497*$AA483&gt;$AA501,"",IF(($AA$483*HG$482*$AE$497)&lt;=$ED$474,((MOD($ED$474,($AA$483*HG$482*$AE$497)))),"")))</f>
        <v/>
      </c>
      <c r="HH483" s="214" t="str">
        <f ca="1">IF($AE497*$AA483*'Customer Base'!$D$26*0.8&gt;5800,"",IF($AE497*$AA483&gt;$AA501,"",IF(($AA$483*HH$482*$AE$497)&lt;=$ED$474,((MOD($ED$474,($AA$483*HH$482*$AE$497)))),"")))</f>
        <v/>
      </c>
      <c r="HI483" s="214" t="str">
        <f ca="1">IF($AE497*$AA483*'Customer Base'!$D$26*0.8&gt;5800,"",IF($AE497*$AA483&gt;$AA501,"",IF(($AA$483*HI$482*$AE$497)&lt;=$ED$474,((MOD($ED$474,($AA$483*HI$482*$AE$497)))),"")))</f>
        <v/>
      </c>
      <c r="HJ483" s="214" t="str">
        <f ca="1">IF($AE497*$AA483*'Customer Base'!$D$26*0.8&gt;5800,"",IF($AE497*$AA483&gt;$AA501,"",IF(($AA$483*HJ$482*$AE$497)&lt;=$ED$474,((MOD($ED$474,($AA$483*HJ$482*$AE$497)))),"")))</f>
        <v/>
      </c>
      <c r="HK483" s="214" t="str">
        <f ca="1">IF($AE497*$AA483*'Customer Base'!$D$26*0.8&gt;5800,"",IF($AE497*$AA483&gt;$AA501,"",IF(($AA$483*HK$482*$AE$497)&lt;=$ED$474,((MOD($ED$474,($AA$483*HK$482*$AE$497)))),"")))</f>
        <v/>
      </c>
      <c r="HL483" s="214" t="str">
        <f ca="1">IF($AE497*$AA483*'Customer Base'!$D$26*0.8&gt;5800,"",IF($AE497*$AA483&gt;$AA501,"",IF(($AA$483*HL$482*$AE$497)&lt;=$ED$474,((MOD($ED$474,($AA$483*HL$482*$AE$497)))),"")))</f>
        <v/>
      </c>
      <c r="HM483" s="214" t="str">
        <f ca="1">IF($AE497*$AA483*'Customer Base'!$D$26*0.8&gt;5800,"",IF($AE497*$AA483&gt;$AA501,"",IF(($AA$483*HM$482*$AE$497)&lt;=$ED$474,((MOD($ED$474,($AA$483*HM$482*$AE$497)))),"")))</f>
        <v/>
      </c>
      <c r="HN483" s="214" t="str">
        <f ca="1">IF($AE497*$AA483*'Customer Base'!$D$26*0.8&gt;5800,"",IF($AE497*$AA483&gt;$AA501,"",IF(($AA$483*HN$482*$AE$497)&lt;=$ED$474,((MOD($ED$474,($AA$483*HN$482*$AE$497)))),"")))</f>
        <v/>
      </c>
      <c r="HO483" s="214" t="str">
        <f ca="1">IF($AE497*$AA483*'Customer Base'!$D$26*0.8&gt;5800,"",IF($AE497*$AA483&gt;$AA501,"",IF(($AA$483*HO$482*$AE$497)&lt;=$ED$474,((MOD($ED$474,($AA$483*HO$482*$AE$497)))),"")))</f>
        <v/>
      </c>
      <c r="HP483" s="214" t="str">
        <f ca="1">IF($AE497*$AA483*'Customer Base'!$D$26*0.8&gt;5800,"",IF($AE497*$AA483&gt;$AA501,"",IF(($AA$483*HP$482*$AE$497)&lt;=$ED$474,((MOD($ED$474,($AA$483*HP$482*$AE$497)))),"")))</f>
        <v/>
      </c>
      <c r="HQ483" s="214" t="str">
        <f ca="1">IF($AE497*$AA483*'Customer Base'!$D$26*0.8&gt;5800,"",IF($AE497*$AA483&gt;$AA501,"",IF(($AA$483*HQ$482*$AE$497)&lt;=$ED$474,((MOD($ED$474,($AA$483*HQ$482*$AE$497)))),"")))</f>
        <v/>
      </c>
      <c r="HR483" s="214" t="str">
        <f ca="1">IF($AE497*$AA483*'Customer Base'!$D$26*0.8&gt;5800,"",IF($AE497*$AA483&gt;$AA501,"",IF(($AA$483*HR$482*$AE$497)&lt;=$ED$474,((MOD($ED$474,($AA$483*HR$482*$AE$497)))),"")))</f>
        <v/>
      </c>
      <c r="HS483" s="214" t="str">
        <f ca="1">IF($AE497*$AA483*'Customer Base'!$D$26*0.8&gt;5800,"",IF($AE497*$AA483&gt;$AA501,"",IF(($AA$483*HS$482*$AE$497)&lt;=$ED$474,((MOD($ED$474,($AA$483*HS$482*$AE$497)))),"")))</f>
        <v/>
      </c>
      <c r="HT483" s="214" t="str">
        <f ca="1">IF($AE497*$AA483*'Customer Base'!$D$26*0.8&gt;5800,"",IF($AE497*$AA483&gt;$AA501,"",IF(($AA$483*HT$482*$AE$497)&lt;=$ED$474,((MOD($ED$474,($AA$483*HT$482*$AE$497)))),"")))</f>
        <v/>
      </c>
      <c r="HU483" s="214" t="str">
        <f ca="1">IF($AE497*$AA483*'Customer Base'!$D$26*0.8&gt;5800,"",IF($AE497*$AA483&gt;$AA501,"",IF(($AA$483*HU$482*$AE$497)&lt;=$ED$474,((MOD($ED$474,($AA$483*HU$482*$AE$497)))),"")))</f>
        <v/>
      </c>
      <c r="HV483" s="214" t="str">
        <f ca="1">IF($AE497*$AA483*'Customer Base'!$D$26*0.8&gt;5800,"",IF($AE497*$AA483&gt;$AA501,"",IF(($AA$483*HV$482*$AE$497)&lt;=$ED$474,((MOD($ED$474,($AA$483*HV$482*$AE$497)))),"")))</f>
        <v/>
      </c>
      <c r="HW483" s="214" t="str">
        <f ca="1">IF($AE497*$AA483*'Customer Base'!$D$26*0.8&gt;5800,"",IF($AE497*$AA483&gt;$AA501,"",IF(($AA$483*HW$482*$AE$497)&lt;=$ED$474,((MOD($ED$474,($AA$483*HW$482*$AE$497)))),"")))</f>
        <v/>
      </c>
      <c r="HX483" s="214" t="str">
        <f ca="1">IF($AE497*$AA483*'Customer Base'!$D$26*0.8&gt;5800,"",IF($AE497*$AA483&gt;$AA501,"",IF(($AA$483*HX$482*$AE$497)&lt;=$ED$474,((MOD($ED$474,($AA$483*HX$482*$AE$497)))),"")))</f>
        <v/>
      </c>
      <c r="HY483" s="214" t="str">
        <f ca="1">IF($AE497*$AA483*'Customer Base'!$D$26*0.8&gt;5800,"",IF($AE497*$AA483&gt;$AA501,"",IF(($AA$483*HY$482*$AE$497)&lt;=$ED$474,((MOD($ED$474,($AA$483*HY$482*$AE$497)))),"")))</f>
        <v/>
      </c>
      <c r="HZ483" s="214" t="str">
        <f ca="1">IF($AE497*$AA483*'Customer Base'!$D$26*0.8&gt;5800,"",IF($AE497*$AA483&gt;$AA501,"",IF(($AA$483*HZ$482*$AE$497)&lt;=$ED$474,((MOD($ED$474,($AA$483*HZ$482*$AE$497)))),"")))</f>
        <v/>
      </c>
      <c r="IA483" s="214" t="str">
        <f ca="1">IF($AE497*$AA483*'Customer Base'!$D$26*0.8&gt;5800,"",IF($AE497*$AA483&gt;$AA501,"",IF(($AA$483*IA$482*$AE$497)&lt;=$ED$474,((MOD($ED$474,($AA$483*IA$482*$AE$497)))),"")))</f>
        <v/>
      </c>
      <c r="IB483" s="214" t="str">
        <f ca="1">IF($AE497*$AA483*'Customer Base'!$D$26*0.8&gt;5800,"",IF($AE497*$AA483&gt;$AA501,"",IF(($AA$483*IB$482*$AE$497)&lt;=$ED$474,((MOD($ED$474,($AA$483*IB$482*$AE$497)))),"")))</f>
        <v/>
      </c>
      <c r="IC483" s="214" t="str">
        <f ca="1">IF($AE497*$AA483*'Customer Base'!$D$26*0.8&gt;5800,"",IF($AE497*$AA483&gt;$AA501,"",IF(($AA$483*IC$482*$AE$497)&lt;=$ED$474,((MOD($ED$474,($AA$483*IC$482*$AE$497)))),"")))</f>
        <v/>
      </c>
      <c r="ID483" s="214" t="str">
        <f ca="1">IF($AE497*$AA483*'Customer Base'!$D$26*0.8&gt;5800,"",IF($AE497*$AA483&gt;$AA501,"",IF(($AA$483*ID$482*$AE$497)&lt;=$ED$474,((MOD($ED$474,($AA$483*ID$482*$AE$497)))),"")))</f>
        <v/>
      </c>
      <c r="IE483" s="214" t="str">
        <f ca="1">IF($AE497*$AA483*'Customer Base'!$D$26*0.8&gt;5800,"",IF($AE497*$AA483&gt;$AA501,"",IF(($AA$483*IE$482*$AE$497)&lt;=$ED$474,((MOD($ED$474,($AA$483*IE$482*$AE$497)))),"")))</f>
        <v/>
      </c>
      <c r="IF483" s="214" t="str">
        <f ca="1">IF($AE497*$AA483*'Customer Base'!$D$26*0.8&gt;5800,"",IF($AE497*$AA483&gt;$AA501,"",IF(($AA$483*IF$482*$AE$497)&lt;=$ED$474,((MOD($ED$474,($AA$483*IF$482*$AE$497)))),"")))</f>
        <v/>
      </c>
      <c r="IG483" s="214" t="str">
        <f ca="1">IF($AE497*$AA483*'Customer Base'!$D$26*0.8&gt;5800,"",IF($AE497*$AA483&gt;$AA501,"",IF(($AA$483*IG$482*$AE$497)&lt;=$ED$474,((MOD($ED$474,($AA$483*IG$482*$AE$497)))),"")))</f>
        <v/>
      </c>
      <c r="IH483" s="214" t="str">
        <f ca="1">IF($AE497*$AA483*'Customer Base'!$D$26*0.8&gt;5800,"",IF($AE497*$AA483&gt;$AA501,"",IF(($AA$483*IH$482*$AE$497)&lt;=$ED$474,((MOD($ED$474,($AA$483*IH$482*$AE$497)))),"")))</f>
        <v/>
      </c>
      <c r="II483" s="214" t="str">
        <f ca="1">IF($AE497*$AA483*'Customer Base'!$D$26*0.8&gt;5800,"",IF($AE497*$AA483&gt;$AA501,"",IF(($AA$483*II$482*$AE$497)&lt;=$ED$474,((MOD($ED$474,($AA$483*II$482*$AE$497)))),"")))</f>
        <v/>
      </c>
      <c r="IK483" s="214" cm="1">
        <f t="array" aca="1" ref="IK483" ca="1">IFERROR(LOOKUP(2,1/(EN483:II483&lt;&gt;""),EN$482:II$482),"")</f>
        <v>1</v>
      </c>
      <c r="IL483" s="316" cm="1">
        <f t="array" aca="1" ref="IL483" ca="1">IF(IK$474=IK483,LOOKUP(2,1/(EN483:II483&lt;&gt;""),EN483:II483),"")</f>
        <v>0</v>
      </c>
      <c r="IM483" s="316">
        <f ca="1">IF(IL483=IL$474,1,"")</f>
        <v>1</v>
      </c>
      <c r="IN483" s="316"/>
    </row>
    <row r="484" spans="2:248" ht="17">
      <c r="B484" s="211" t="s">
        <v>1346</v>
      </c>
      <c r="C484" s="212" t="s">
        <v>1347</v>
      </c>
      <c r="D484" s="212" t="s">
        <v>955</v>
      </c>
      <c r="F484" s="107" t="str">
        <f t="shared" si="15"/>
        <v>E</v>
      </c>
      <c r="AA484" s="214">
        <v>3</v>
      </c>
      <c r="AB484" s="316" t="s">
        <v>2699</v>
      </c>
      <c r="AC484" s="214">
        <f ca="1">IFERROR(MOD(AD$493,AA484),"")</f>
        <v>1</v>
      </c>
      <c r="AD484" s="214" t="str">
        <f ca="1">IF(OR(AD489=1,AD489=""),"",IF(AND(AC485&lt;&gt;0,AC484=0),IF(AC484=0,AA484,""),IF(AND(MAX(AC483:AC485)=AA484,SUMPRODUCT(AD485,AE485)&lt;&gt;AD489),AA484,"")))</f>
        <v/>
      </c>
      <c r="AE484" s="214" t="str">
        <f ca="1">IFERROR(IF(COUNT(AD484:AD485)&gt;1,1,(ROUNDDOWN(AD$493/AD484,0))),"")</f>
        <v/>
      </c>
      <c r="AF484" s="214">
        <f ca="1">IF($AE497*$AA484*'Customer Base'!$D$26*0.8&gt;5800,"",IF($AE497*$AA484&gt;$AA501,"",IF(($AA$484*AF$482*$AE$497)&lt;=$AA$501,((MOD($AA$501,($AA$484*AF$482*$AE$497)))),"")))</f>
        <v>4</v>
      </c>
      <c r="AG484" s="214">
        <f ca="1">IF($AE497*$AA484*'Customer Base'!$D$26*0.8&gt;5800,"",IF($AE497*$AA484&gt;$AA501,"",IF(($AA$484*AG$482*$AE$497)&lt;=$AA$501,((MOD($AA$501,($AA$484*AG$482*$AE$497)))),"")))</f>
        <v>4</v>
      </c>
      <c r="AH484" s="214">
        <f ca="1">IF($AE497*$AA484*'Customer Base'!$D$26*0.8&gt;5800,"",IF($AE497*$AA484&gt;$AA501,"",IF(($AA$484*AH$482*$AE$497)&lt;=$AA$501,((MOD($AA$501,($AA$484*AH$482*$AE$497)))),"")))</f>
        <v>4</v>
      </c>
      <c r="AI484" s="214">
        <f ca="1">IF($AE497*$AA484*'Customer Base'!$D$26*0.8&gt;5800,"",IF($AE497*$AA484&gt;$AA501,"",IF(($AA$484*AI$482*$AE$497)&lt;=$AA$501,((MOD($AA$501,($AA$484*AI$482*$AE$497)))),"")))</f>
        <v>16</v>
      </c>
      <c r="AJ484" s="214">
        <f ca="1">IF($AE497*$AA484*'Customer Base'!$D$26*0.8&gt;5800,"",IF($AE497*$AA484&gt;$AA501,"",IF(($AA$484*AJ$482*$AE$497)&lt;=$AA$501,((MOD($AA$501,($AA$484*AJ$482*$AE$497)))),"")))</f>
        <v>10</v>
      </c>
      <c r="AK484" s="214">
        <f ca="1">IF($AE497*$AA484*'Customer Base'!$D$26*0.8&gt;5800,"",IF($AE497*$AA484&gt;$AA501,"",IF(($AA$484*AK$482*$AE$497)&lt;=$AA$501,((MOD($AA$501,($AA$484*AK$482*$AE$497)))),"")))</f>
        <v>4</v>
      </c>
      <c r="AL484" s="214" t="str">
        <f ca="1">IF($AE497*$AA484*'Customer Base'!$D$26*0.8&gt;5800,"",IF($AE497*$AA484&gt;$AA501,"",IF(($AA$484*AL$482*$AE$497)&lt;=$AA$501,((MOD($AA$501,($AA$484*AL$482*$AE$497)))),"")))</f>
        <v/>
      </c>
      <c r="AM484" s="214" t="str">
        <f ca="1">IF($AE497*$AA484*'Customer Base'!$D$26*0.8&gt;5800,"",IF($AE497*$AA484&gt;$AA501,"",IF(($AA$484*AM$482*$AE$497)&lt;=$AA$501,((MOD($AA$501,($AA$484*AM$482*$AE$497)))),"")))</f>
        <v/>
      </c>
      <c r="AN484" s="214" t="str">
        <f ca="1">IF($AE497*$AA484*'Customer Base'!$D$26*0.8&gt;5800,"",IF($AE497*$AA484&gt;$AA501,"",IF(($AA$484*AN$482*$AE$497)&lt;=$AA$501,((MOD($AA$501,($AA$484*AN$482*$AE$497)))),"")))</f>
        <v/>
      </c>
      <c r="AO484" s="214" t="str">
        <f ca="1">IF($AE497*$AA484*'Customer Base'!$D$26*0.8&gt;5800,"",IF($AE497*$AA484&gt;$AA501,"",IF(($AA$484*AO$482*$AE$497)&lt;=$AA$501,((MOD($AA$501,($AA$484*AO$482*$AE$497)))),"")))</f>
        <v/>
      </c>
      <c r="AP484" s="214" t="str">
        <f ca="1">IF($AE497*$AA484*'Customer Base'!$D$26*0.8&gt;5800,"",IF($AE497*$AA484&gt;$AA501,"",IF(($AA$484*AP$482*$AE$497)&lt;=$AA$501,((MOD($AA$501,($AA$484*AP$482*$AE$497)))),"")))</f>
        <v/>
      </c>
      <c r="AQ484" s="214" t="str">
        <f ca="1">IF($AE497*$AA484*'Customer Base'!$D$26*0.8&gt;5800,"",IF($AE497*$AA484&gt;$AA501,"",IF(($AA$484*AQ$482*$AE$497)&lt;=$AA$501,((MOD($AA$501,($AA$484*AQ$482*$AE$497)))),"")))</f>
        <v/>
      </c>
      <c r="AR484" s="214" t="str">
        <f ca="1">IF($AE497*$AA484*'Customer Base'!$D$26*0.8&gt;5800,"",IF($AE497*$AA484&gt;$AA501,"",IF(($AA$484*AR$482*$AE$497)&lt;=$AA$501,((MOD($AA$501,($AA$484*AR$482*$AE$497)))),"")))</f>
        <v/>
      </c>
      <c r="AS484" s="214" t="str">
        <f ca="1">IF($AE497*$AA484*'Customer Base'!$D$26*0.8&gt;5800,"",IF($AE497*$AA484&gt;$AA501,"",IF(($AA$484*AS$482*$AE$497)&lt;=$AA$501,((MOD($AA$501,($AA$484*AS$482*$AE$497)))),"")))</f>
        <v/>
      </c>
      <c r="AT484" s="214" t="str">
        <f ca="1">IF($AE497*$AA484*'Customer Base'!$D$26*0.8&gt;5800,"",IF($AE497*$AA484&gt;$AA501,"",IF(($AA$484*AT$482*$AE$497)&lt;=$AA$501,((MOD($AA$501,($AA$484*AT$482*$AE$497)))),"")))</f>
        <v/>
      </c>
      <c r="AU484" s="214" t="str">
        <f ca="1">IF($AE497*$AA484*'Customer Base'!$D$26*0.8&gt;5800,"",IF($AE497*$AA484&gt;$AA501,"",IF(($AA$484*AU$482*$AE$497)&lt;=$AA$501,((MOD($AA$501,($AA$484*AU$482*$AE$497)))),"")))</f>
        <v/>
      </c>
      <c r="AV484" s="214" t="str">
        <f ca="1">IF($AE497*$AA484*'Customer Base'!$D$26*0.8&gt;5800,"",IF($AE497*$AA484&gt;$AA501,"",IF(($AA$484*AV$482*$AE$497)&lt;=$AA$501,((MOD($AA$501,($AA$484*AV$482*$AE$497)))),"")))</f>
        <v/>
      </c>
      <c r="AW484" s="214" t="str">
        <f ca="1">IF($AE497*$AA484*'Customer Base'!$D$26*0.8&gt;5800,"",IF($AE497*$AA484&gt;$AA501,"",IF(($AA$484*AW$482*$AE$497)&lt;=$AA$501,((MOD($AA$501,($AA$484*AW$482*$AE$497)))),"")))</f>
        <v/>
      </c>
      <c r="AX484" s="214" t="str">
        <f ca="1">IF($AE497*$AA484*'Customer Base'!$D$26*0.8&gt;5800,"",IF($AE497*$AA484&gt;$AA501,"",IF(($AA$484*AX$482*$AE$497)&lt;=$AA$501,((MOD($AA$501,($AA$484*AX$482*$AE$497)))),"")))</f>
        <v/>
      </c>
      <c r="AY484" s="214" t="str">
        <f ca="1">IF($AE497*$AA484*'Customer Base'!$D$26*0.8&gt;5800,"",IF($AE497*$AA484&gt;$AA501,"",IF(($AA$484*AY$482*$AE$497)&lt;=$AA$501,((MOD($AA$501,($AA$484*AY$482*$AE$497)))),"")))</f>
        <v/>
      </c>
      <c r="AZ484" s="214" t="str">
        <f ca="1">IF($AE497*$AA484*'Customer Base'!$D$26*0.8&gt;5800,"",IF($AE497*$AA484&gt;$AA501,"",IF(($AA$484*AZ$482*$AE$497)&lt;=$AA$501,((MOD($AA$501,($AA$484*AZ$482*$AE$497)))),"")))</f>
        <v/>
      </c>
      <c r="BA484" s="214" t="str">
        <f ca="1">IF($AE497*$AA484*'Customer Base'!$D$26*0.8&gt;5800,"",IF($AE497*$AA484&gt;$AA501,"",IF(($AA$484*BA$482*$AE$497)&lt;=$AA$501,((MOD($AA$501,($AA$484*BA$482*$AE$497)))),"")))</f>
        <v/>
      </c>
      <c r="BB484" s="214" t="str">
        <f ca="1">IF($AE497*$AA484*'Customer Base'!$D$26*0.8&gt;5800,"",IF($AE497*$AA484&gt;$AA501,"",IF(($AA$484*BB$482*$AE$497)&lt;=$AA$501,((MOD($AA$501,($AA$484*BB$482*$AE$497)))),"")))</f>
        <v/>
      </c>
      <c r="BC484" s="214" t="str">
        <f ca="1">IF($AE497*$AA484*'Customer Base'!$D$26*0.8&gt;5800,"",IF($AE497*$AA484&gt;$AA501,"",IF(($AA$484*BC$482*$AE$497)&lt;=$AA$501,((MOD($AA$501,($AA$484*BC$482*$AE$497)))),"")))</f>
        <v/>
      </c>
      <c r="BD484" s="214" t="str">
        <f ca="1">IF($AE497*$AA484*'Customer Base'!$D$26*0.8&gt;5800,"",IF($AE497*$AA484&gt;$AA501,"",IF(($AA$484*BD$482*$AE$497)&lt;=$AA$501,((MOD($AA$501,($AA$484*BD$482*$AE$497)))),"")))</f>
        <v/>
      </c>
      <c r="BE484" s="214" t="str">
        <f ca="1">IF($AE497*$AA484*'Customer Base'!$D$26*0.8&gt;5800,"",IF($AE497*$AA484&gt;$AA501,"",IF(($AA$484*BE$482*$AE$497)&lt;=$AA$501,((MOD($AA$501,($AA$484*BE$482*$AE$497)))),"")))</f>
        <v/>
      </c>
      <c r="BF484" s="214" t="str">
        <f ca="1">IF($AE497*$AA484*'Customer Base'!$D$26*0.8&gt;5800,"",IF($AE497*$AA484&gt;$AA501,"",IF(($AA$484*BF$482*$AE$497)&lt;=$AA$501,((MOD($AA$501,($AA$484*BF$482*$AE$497)))),"")))</f>
        <v/>
      </c>
      <c r="BG484" s="214" t="str">
        <f ca="1">IF($AE497*$AA484*'Customer Base'!$D$26*0.8&gt;5800,"",IF($AE497*$AA484&gt;$AA501,"",IF(($AA$484*BG$482*$AE$497)&lt;=$AA$501,((MOD($AA$501,($AA$484*BG$482*$AE$497)))),"")))</f>
        <v/>
      </c>
      <c r="BH484" s="214" t="str">
        <f ca="1">IF($AE497*$AA484*'Customer Base'!$D$26*0.8&gt;5800,"",IF($AE497*$AA484&gt;$AA501,"",IF(($AA$484*BH$482*$AE$497)&lt;=$AA$501,((MOD($AA$501,($AA$484*BH$482*$AE$497)))),"")))</f>
        <v/>
      </c>
      <c r="BI484" s="214" t="str">
        <f ca="1">IF($AE497*$AA484*'Customer Base'!$D$26*0.8&gt;5800,"",IF($AE497*$AA484&gt;$AA501,"",IF(($AA$484*BI$482*$AE$497)&lt;=$AA$501,((MOD($AA$501,($AA$484*BI$482*$AE$497)))),"")))</f>
        <v/>
      </c>
      <c r="BJ484" s="214" t="str">
        <f ca="1">IF($AE497*$AA484*'Customer Base'!$D$26*0.8&gt;5800,"",IF($AE497*$AA484&gt;$AA501,"",IF(($AA$484*BJ$482*$AE$497)&lt;=$AA$501,((MOD($AA$501,($AA$484*BJ$482*$AE$497)))),"")))</f>
        <v/>
      </c>
      <c r="BK484" s="214" t="str">
        <f ca="1">IF($AE497*$AA484*'Customer Base'!$D$26*0.8&gt;5800,"",IF($AE497*$AA484&gt;$AA501,"",IF(($AA$484*BK$482*$AE$497)&lt;=$AA$501,((MOD($AA$501,($AA$484*BK$482*$AE$497)))),"")))</f>
        <v/>
      </c>
      <c r="BL484" s="214" t="str">
        <f ca="1">IF($AE497*$AA484*'Customer Base'!$D$26*0.8&gt;5800,"",IF($AE497*$AA484&gt;$AA501,"",IF(($AA$484*BL$482*$AE$497)&lt;=$AA$501,((MOD($AA$501,($AA$484*BL$482*$AE$497)))),"")))</f>
        <v/>
      </c>
      <c r="BM484" s="214" t="str">
        <f ca="1">IF($AE497*$AA484*'Customer Base'!$D$26*0.8&gt;5800,"",IF($AE497*$AA484&gt;$AA501,"",IF(($AA$484*BM$482*$AE$497)&lt;=$AA$501,((MOD($AA$501,($AA$484*BM$482*$AE$497)))),"")))</f>
        <v/>
      </c>
      <c r="BN484" s="214" t="str">
        <f ca="1">IF($AE497*$AA484*'Customer Base'!$D$26*0.8&gt;5800,"",IF($AE497*$AA484&gt;$AA501,"",IF(($AA$484*BN$482*$AE$497)&lt;=$AA$501,((MOD($AA$501,($AA$484*BN$482*$AE$497)))),"")))</f>
        <v/>
      </c>
      <c r="BO484" s="214" t="str">
        <f ca="1">IF($AE497*$AA484*'Customer Base'!$D$26*0.8&gt;5800,"",IF($AE497*$AA484&gt;$AA501,"",IF(($AA$484*BO$482*$AE$497)&lt;=$AA$501,((MOD($AA$501,($AA$484*BO$482*$AE$497)))),"")))</f>
        <v/>
      </c>
      <c r="BP484" s="214" t="str">
        <f ca="1">IF($AE497*$AA484*'Customer Base'!$D$26*0.8&gt;5800,"",IF($AE497*$AA484&gt;$AA501,"",IF(($AA$484*BP$482*$AE$497)&lt;=$AA$501,((MOD($AA$501,($AA$484*BP$482*$AE$497)))),"")))</f>
        <v/>
      </c>
      <c r="BQ484" s="214" t="str">
        <f ca="1">IF($AE497*$AA484*'Customer Base'!$D$26*0.8&gt;5800,"",IF($AE497*$AA484&gt;$AA501,"",IF(($AA$484*BQ$482*$AE$497)&lt;=$AA$501,((MOD($AA$501,($AA$484*BQ$482*$AE$497)))),"")))</f>
        <v/>
      </c>
      <c r="BR484" s="214" t="str">
        <f ca="1">IF($AE497*$AA484*'Customer Base'!$D$26*0.8&gt;5800,"",IF($AE497*$AA484&gt;$AA501,"",IF(($AA$484*BR$482*$AE$497)&lt;=$AA$501,((MOD($AA$501,($AA$484*BR$482*$AE$497)))),"")))</f>
        <v/>
      </c>
      <c r="BS484" s="214" t="str">
        <f ca="1">IF($AE497*$AA484*'Customer Base'!$D$26*0.8&gt;5800,"",IF($AE497*$AA484&gt;$AA501,"",IF(($AA$484*BS$482*$AE$497)&lt;=$AA$501,((MOD($AA$501,($AA$484*BS$482*$AE$497)))),"")))</f>
        <v/>
      </c>
      <c r="BT484" s="214" t="str">
        <f ca="1">IF($AE497*$AA484*'Customer Base'!$D$26*0.8&gt;5800,"",IF($AE497*$AA484&gt;$AA501,"",IF(($AA$484*BT$482*$AE$497)&lt;=$AA$501,((MOD($AA$501,($AA$484*BT$482*$AE$497)))),"")))</f>
        <v/>
      </c>
      <c r="BU484" s="214" t="str">
        <f ca="1">IF($AE497*$AA484*'Customer Base'!$D$26*0.8&gt;5800,"",IF($AE497*$AA484&gt;$AA501,"",IF(($AA$484*BU$482*$AE$497)&lt;=$AA$501,((MOD($AA$501,($AA$484*BU$482*$AE$497)))),"")))</f>
        <v/>
      </c>
      <c r="BV484" s="214" t="str">
        <f ca="1">IF($AE497*$AA484*'Customer Base'!$D$26*0.8&gt;5800,"",IF($AE497*$AA484&gt;$AA501,"",IF(($AA$484*BV$482*$AE$497)&lt;=$AA$501,((MOD($AA$501,($AA$484*BV$482*$AE$497)))),"")))</f>
        <v/>
      </c>
      <c r="BW484" s="214" t="str">
        <f ca="1">IF($AE497*$AA484*'Customer Base'!$D$26*0.8&gt;5800,"",IF($AE497*$AA484&gt;$AA501,"",IF(($AA$484*BW$482*$AE$497)&lt;=$AA$501,((MOD($AA$501,($AA$484*BW$482*$AE$497)))),"")))</f>
        <v/>
      </c>
      <c r="BX484" s="214" t="str">
        <f ca="1">IF($AE497*$AA484*'Customer Base'!$D$26*0.8&gt;5800,"",IF($AE497*$AA484&gt;$AA501,"",IF(($AA$484*BX$482*$AE$497)&lt;=$AA$501,((MOD($AA$501,($AA$484*BX$482*$AE$497)))),"")))</f>
        <v/>
      </c>
      <c r="BY484" s="214" t="str">
        <f ca="1">IF($AE497*$AA484*'Customer Base'!$D$26*0.8&gt;5800,"",IF($AE497*$AA484&gt;$AA501,"",IF(($AA$484*BY$482*$AE$497)&lt;=$AA$501,((MOD($AA$501,($AA$484*BY$482*$AE$497)))),"")))</f>
        <v/>
      </c>
      <c r="BZ484" s="214" t="str">
        <f ca="1">IF($AE497*$AA484*'Customer Base'!$D$26*0.8&gt;5800,"",IF($AE497*$AA484&gt;$AA501,"",IF(($AA$484*BZ$482*$AE$497)&lt;=$AA$501,((MOD($AA$501,($AA$484*BZ$482*$AE$497)))),"")))</f>
        <v/>
      </c>
      <c r="CA484" s="214" t="str">
        <f ca="1">IF($AE497*$AA484*'Customer Base'!$D$26*0.8&gt;5800,"",IF($AE497*$AA484&gt;$AA501,"",IF(($AA$484*CA$482*$AE$497)&lt;=$AA$501,((MOD($AA$501,($AA$484*CA$482*$AE$497)))),"")))</f>
        <v/>
      </c>
      <c r="CB484" s="214" t="str">
        <f ca="1">IF($AE497*$AA484*'Customer Base'!$D$26*0.8&gt;5800,"",IF($AE497*$AA484&gt;$AA501,"",IF(($AA$484*CB$482*$AE$497)&lt;=$AA$501,((MOD($AA$501,($AA$484*CB$482*$AE$497)))),"")))</f>
        <v/>
      </c>
      <c r="CC484" s="214" t="str">
        <f ca="1">IF($AE497*$AA484*'Customer Base'!$D$26*0.8&gt;5800,"",IF($AE497*$AA484&gt;$AA501,"",IF(($AA$484*CC$482*$AE$497)&lt;=$AA$501,((MOD($AA$501,($AA$484*CC$482*$AE$497)))),"")))</f>
        <v/>
      </c>
      <c r="CD484" s="214" t="str">
        <f ca="1">IF($AE497*$AA484*'Customer Base'!$D$26*0.8&gt;5800,"",IF($AE497*$AA484&gt;$AA501,"",IF(($AA$484*CD$482*$AE$497)&lt;=$AA$501,((MOD($AA$501,($AA$484*CD$482*$AE$497)))),"")))</f>
        <v/>
      </c>
      <c r="CE484" s="214" t="str">
        <f ca="1">IF($AE497*$AA484*'Customer Base'!$D$26*0.8&gt;5800,"",IF($AE497*$AA484&gt;$AA501,"",IF(($AA$484*CE$482*$AE$497)&lt;=$AA$501,((MOD($AA$501,($AA$484*CE$482*$AE$497)))),"")))</f>
        <v/>
      </c>
      <c r="CF484" s="214" t="str">
        <f ca="1">IF($AE497*$AA484*'Customer Base'!$D$26*0.8&gt;5800,"",IF($AE497*$AA484&gt;$AA501,"",IF(($AA$484*CF$482*$AE$497)&lt;=$AA$501,((MOD($AA$501,($AA$484*CF$482*$AE$497)))),"")))</f>
        <v/>
      </c>
      <c r="CG484" s="214" t="str">
        <f ca="1">IF($AE497*$AA484*'Customer Base'!$D$26*0.8&gt;5800,"",IF($AE497*$AA484&gt;$AA501,"",IF(($AA$484*CG$482*$AE$497)&lt;=$AA$501,((MOD($AA$501,($AA$484*CG$482*$AE$497)))),"")))</f>
        <v/>
      </c>
      <c r="CH484" s="214" t="str">
        <f ca="1">IF($AE497*$AA484*'Customer Base'!$D$26*0.8&gt;5800,"",IF($AE497*$AA484&gt;$AA501,"",IF(($AA$484*CH$482*$AE$497)&lt;=$AA$501,((MOD($AA$501,($AA$484*CH$482*$AE$497)))),"")))</f>
        <v/>
      </c>
      <c r="CI484" s="214" t="str">
        <f ca="1">IF($AE497*$AA484*'Customer Base'!$D$26*0.8&gt;5800,"",IF($AE497*$AA484&gt;$AA501,"",IF(($AA$484*CI$482*$AE$497)&lt;=$AA$501,((MOD($AA$501,($AA$484*CI$482*$AE$497)))),"")))</f>
        <v/>
      </c>
      <c r="CJ484" s="214" t="str">
        <f ca="1">IF($AE497*$AA484*'Customer Base'!$D$26*0.8&gt;5800,"",IF($AE497*$AA484&gt;$AA501,"",IF(($AA$484*CJ$482*$AE$497)&lt;=$AA$501,((MOD($AA$501,($AA$484*CJ$482*$AE$497)))),"")))</f>
        <v/>
      </c>
      <c r="CK484" s="214" t="str">
        <f ca="1">IF($AE497*$AA484*'Customer Base'!$D$26*0.8&gt;5800,"",IF($AE497*$AA484&gt;$AA501,"",IF(($AA$484*CK$482*$AE$497)&lt;=$AA$501,((MOD($AA$501,($AA$484*CK$482*$AE$497)))),"")))</f>
        <v/>
      </c>
      <c r="CL484" s="214" t="str">
        <f ca="1">IF($AE497*$AA484*'Customer Base'!$D$26*0.8&gt;5800,"",IF($AE497*$AA484&gt;$AA501,"",IF(($AA$484*CL$482*$AE$497)&lt;=$AA$501,((MOD($AA$501,($AA$484*CL$482*$AE$497)))),"")))</f>
        <v/>
      </c>
      <c r="CM484" s="214" t="str">
        <f ca="1">IF($AE497*$AA484*'Customer Base'!$D$26*0.8&gt;5800,"",IF($AE497*$AA484&gt;$AA501,"",IF(($AA$484*CM$482*$AE$497)&lt;=$AA$501,((MOD($AA$501,($AA$484*CM$482*$AE$497)))),"")))</f>
        <v/>
      </c>
      <c r="CN484" s="214" t="str">
        <f ca="1">IF($AE497*$AA484*'Customer Base'!$D$26*0.8&gt;5800,"",IF($AE497*$AA484&gt;$AA501,"",IF(($AA$484*CN$482*$AE$497)&lt;=$AA$501,((MOD($AA$501,($AA$484*CN$482*$AE$497)))),"")))</f>
        <v/>
      </c>
      <c r="CO484" s="214" t="str">
        <f ca="1">IF($AE497*$AA484*'Customer Base'!$D$26*0.8&gt;5800,"",IF($AE497*$AA484&gt;$AA501,"",IF(($AA$484*CO$482*$AE$497)&lt;=$AA$501,((MOD($AA$501,($AA$484*CO$482*$AE$497)))),"")))</f>
        <v/>
      </c>
      <c r="CP484" s="214" t="str">
        <f ca="1">IF($AE497*$AA484*'Customer Base'!$D$26*0.8&gt;5800,"",IF($AE497*$AA484&gt;$AA501,"",IF(($AA$484*CP$482*$AE$497)&lt;=$AA$501,((MOD($AA$501,($AA$484*CP$482*$AE$497)))),"")))</f>
        <v/>
      </c>
      <c r="CQ484" s="214" t="str">
        <f ca="1">IF($AE497*$AA484*'Customer Base'!$D$26*0.8&gt;5800,"",IF($AE497*$AA484&gt;$AA501,"",IF(($AA$484*CQ$482*$AE$497)&lt;=$AA$501,((MOD($AA$501,($AA$484*CQ$482*$AE$497)))),"")))</f>
        <v/>
      </c>
      <c r="CR484" s="214" t="str">
        <f ca="1">IF($AE497*$AA484*'Customer Base'!$D$26*0.8&gt;5800,"",IF($AE497*$AA484&gt;$AA501,"",IF(($AA$484*CR$482*$AE$497)&lt;=$AA$501,((MOD($AA$501,($AA$484*CR$482*$AE$497)))),"")))</f>
        <v/>
      </c>
      <c r="CS484" s="214" t="str">
        <f ca="1">IF($AE497*$AA484*'Customer Base'!$D$26*0.8&gt;5800,"",IF($AE497*$AA484&gt;$AA501,"",IF(($AA$484*CS$482*$AE$497)&lt;=$AA$501,((MOD($AA$501,($AA$484*CS$482*$AE$497)))),"")))</f>
        <v/>
      </c>
      <c r="CT484" s="214" t="str">
        <f ca="1">IF($AE497*$AA484*'Customer Base'!$D$26*0.8&gt;5800,"",IF($AE497*$AA484&gt;$AA501,"",IF(($AA$484*CT$482*$AE$497)&lt;=$AA$501,((MOD($AA$501,($AA$484*CT$482*$AE$497)))),"")))</f>
        <v/>
      </c>
      <c r="CU484" s="214" t="str">
        <f ca="1">IF($AE497*$AA484*'Customer Base'!$D$26*0.8&gt;5800,"",IF($AE497*$AA484&gt;$AA501,"",IF(($AA$484*CU$482*$AE$497)&lt;=$AA$501,((MOD($AA$501,($AA$484*CU$482*$AE$497)))),"")))</f>
        <v/>
      </c>
      <c r="CV484" s="214" t="str">
        <f ca="1">IF($AE497*$AA484*'Customer Base'!$D$26*0.8&gt;5800,"",IF($AE497*$AA484&gt;$AA501,"",IF(($AA$484*CV$482*$AE$497)&lt;=$AA$501,((MOD($AA$501,($AA$484*CV$482*$AE$497)))),"")))</f>
        <v/>
      </c>
      <c r="CW484" s="214" t="str">
        <f ca="1">IF($AE497*$AA484*'Customer Base'!$D$26*0.8&gt;5800,"",IF($AE497*$AA484&gt;$AA501,"",IF(($AA$484*CW$482*$AE$497)&lt;=$AA$501,((MOD($AA$501,($AA$484*CW$482*$AE$497)))),"")))</f>
        <v/>
      </c>
      <c r="CX484" s="214" t="str">
        <f ca="1">IF($AE497*$AA484*'Customer Base'!$D$26*0.8&gt;5800,"",IF($AE497*$AA484&gt;$AA501,"",IF(($AA$484*CX$482*$AE$497)&lt;=$AA$501,((MOD($AA$501,($AA$484*CX$482*$AE$497)))),"")))</f>
        <v/>
      </c>
      <c r="CY484" s="214" t="str">
        <f ca="1">IF($AE497*$AA484*'Customer Base'!$D$26*0.8&gt;5800,"",IF($AE497*$AA484&gt;$AA501,"",IF(($AA$484*CY$482*$AE$497)&lt;=$AA$501,((MOD($AA$501,($AA$484*CY$482*$AE$497)))),"")))</f>
        <v/>
      </c>
      <c r="CZ484" s="214" t="str">
        <f ca="1">IF($AE497*$AA484*'Customer Base'!$D$26*0.8&gt;5800,"",IF($AE497*$AA484&gt;$AA501,"",IF(($AA$484*CZ$482*$AE$497)&lt;=$AA$501,((MOD($AA$501,($AA$484*CZ$482*$AE$497)))),"")))</f>
        <v/>
      </c>
      <c r="DA484" s="214" t="str">
        <f ca="1">IF($AE497*$AA484*'Customer Base'!$D$26*0.8&gt;5800,"",IF($AE497*$AA484&gt;$AA501,"",IF(($AA$484*DA$482*$AE$497)&lt;=$AA$501,((MOD($AA$501,($AA$484*DA$482*$AE$497)))),"")))</f>
        <v/>
      </c>
      <c r="DB484" s="214" t="str">
        <f ca="1">IF($AE497*$AA484*'Customer Base'!$D$26*0.8&gt;5800,"",IF($AE497*$AA484&gt;$AA501,"",IF(($AA$484*DB$482*$AE$497)&lt;=$AA$501,((MOD($AA$501,($AA$484*DB$482*$AE$497)))),"")))</f>
        <v/>
      </c>
      <c r="DC484" s="214" t="str">
        <f ca="1">IF($AE497*$AA484*'Customer Base'!$D$26*0.8&gt;5800,"",IF($AE497*$AA484&gt;$AA501,"",IF(($AA$484*DC$482*$AE$497)&lt;=$AA$501,((MOD($AA$501,($AA$484*DC$482*$AE$497)))),"")))</f>
        <v/>
      </c>
      <c r="DD484" s="214" t="str">
        <f ca="1">IF($AE497*$AA484*'Customer Base'!$D$26*0.8&gt;5800,"",IF($AE497*$AA484&gt;$AA501,"",IF(($AA$484*DD$482*$AE$497)&lt;=$AA$501,((MOD($AA$501,($AA$484*DD$482*$AE$497)))),"")))</f>
        <v/>
      </c>
      <c r="DE484" s="214" t="str">
        <f ca="1">IF($AE497*$AA484*'Customer Base'!$D$26*0.8&gt;5800,"",IF($AE497*$AA484&gt;$AA501,"",IF(($AA$484*DE$482*$AE$497)&lt;=$AA$501,((MOD($AA$501,($AA$484*DE$482*$AE$497)))),"")))</f>
        <v/>
      </c>
      <c r="DF484" s="214" t="str">
        <f ca="1">IF($AE497*$AA484*'Customer Base'!$D$26*0.8&gt;5800,"",IF($AE497*$AA484&gt;$AA501,"",IF(($AA$484*DF$482*$AE$497)&lt;=$AA$501,((MOD($AA$501,($AA$484*DF$482*$AE$497)))),"")))</f>
        <v/>
      </c>
      <c r="DG484" s="214" t="str">
        <f ca="1">IF($AE497*$AA484*'Customer Base'!$D$26*0.8&gt;5800,"",IF($AE497*$AA484&gt;$AA501,"",IF(($AA$484*DG$482*$AE$497)&lt;=$AA$501,((MOD($AA$501,($AA$484*DG$482*$AE$497)))),"")))</f>
        <v/>
      </c>
      <c r="DH484" s="214" t="str">
        <f ca="1">IF($AE497*$AA484*'Customer Base'!$D$26*0.8&gt;5800,"",IF($AE497*$AA484&gt;$AA501,"",IF(($AA$484*DH$482*$AE$497)&lt;=$AA$501,((MOD($AA$501,($AA$484*DH$482*$AE$497)))),"")))</f>
        <v/>
      </c>
      <c r="DI484" s="214" t="str">
        <f ca="1">IF($AE497*$AA484*'Customer Base'!$D$26*0.8&gt;5800,"",IF($AE497*$AA484&gt;$AA501,"",IF(($AA$484*DI$482*$AE$497)&lt;=$AA$501,((MOD($AA$501,($AA$484*DI$482*$AE$497)))),"")))</f>
        <v/>
      </c>
      <c r="DJ484" s="214" t="str">
        <f ca="1">IF($AE497*$AA484*'Customer Base'!$D$26*0.8&gt;5800,"",IF($AE497*$AA484&gt;$AA501,"",IF(($AA$484*DJ$482*$AE$497)&lt;=$AA$501,((MOD($AA$501,($AA$484*DJ$482*$AE$497)))),"")))</f>
        <v/>
      </c>
      <c r="DK484" s="214" t="str">
        <f ca="1">IF($AE497*$AA484*'Customer Base'!$D$26*0.8&gt;5800,"",IF($AE497*$AA484&gt;$AA501,"",IF(($AA$484*DK$482*$AE$497)&lt;=$AA$501,((MOD($AA$501,($AA$484*DK$482*$AE$497)))),"")))</f>
        <v/>
      </c>
      <c r="DL484" s="214" t="str">
        <f ca="1">IF($AE497*$AA484*'Customer Base'!$D$26*0.8&gt;5800,"",IF($AE497*$AA484&gt;$AA501,"",IF(($AA$484*DL$482*$AE$497)&lt;=$AA$501,((MOD($AA$501,($AA$484*DL$482*$AE$497)))),"")))</f>
        <v/>
      </c>
      <c r="DM484" s="214" t="str">
        <f ca="1">IF($AE497*$AA484*'Customer Base'!$D$26*0.8&gt;5800,"",IF($AE497*$AA484&gt;$AA501,"",IF(($AA$484*DM$482*$AE$497)&lt;=$AA$501,((MOD($AA$501,($AA$484*DM$482*$AE$497)))),"")))</f>
        <v/>
      </c>
      <c r="DN484" s="214" t="str">
        <f ca="1">IF($AE497*$AA484*'Customer Base'!$D$26*0.8&gt;5800,"",IF($AE497*$AA484&gt;$AA501,"",IF(($AA$484*DN$482*$AE$497)&lt;=$AA$501,((MOD($AA$501,($AA$484*DN$482*$AE$497)))),"")))</f>
        <v/>
      </c>
      <c r="DO484" s="214" t="str">
        <f ca="1">IF($AE497*$AA484*'Customer Base'!$D$26*0.8&gt;5800,"",IF($AE497*$AA484&gt;$AA501,"",IF(($AA$484*DO$482*$AE$497)&lt;=$AA$501,((MOD($AA$501,($AA$484*DO$482*$AE$497)))),"")))</f>
        <v/>
      </c>
      <c r="DP484" s="214" t="str">
        <f ca="1">IF($AE497*$AA484*'Customer Base'!$D$26*0.8&gt;5800,"",IF($AE497*$AA484&gt;$AA501,"",IF(($AA$484*DP$482*$AE$497)&lt;=$AA$501,((MOD($AA$501,($AA$484*DP$482*$AE$497)))),"")))</f>
        <v/>
      </c>
      <c r="DQ484" s="214" t="str">
        <f ca="1">IF($AE497*$AA484*'Customer Base'!$D$26*0.8&gt;5800,"",IF($AE497*$AA484&gt;$AA501,"",IF(($AA$484*DQ$482*$AE$497)&lt;=$AA$501,((MOD($AA$501,($AA$484*DQ$482*$AE$497)))),"")))</f>
        <v/>
      </c>
      <c r="DR484" s="214" t="str">
        <f ca="1">IF($AE497*$AA484*'Customer Base'!$D$26*0.8&gt;5800,"",IF($AE497*$AA484&gt;$AA501,"",IF(($AA$484*DR$482*$AE$497)&lt;=$AA$501,((MOD($AA$501,($AA$484*DR$482*$AE$497)))),"")))</f>
        <v/>
      </c>
      <c r="DS484" s="214" t="str">
        <f ca="1">IF($AE497*$AA484*'Customer Base'!$D$26*0.8&gt;5800,"",IF($AE497*$AA484&gt;$AA501,"",IF(($AA$484*DS$482*$AE$497)&lt;=$AA$501,((MOD($AA$501,($AA$484*DS$482*$AE$497)))),"")))</f>
        <v/>
      </c>
      <c r="DT484" s="214" t="str">
        <f ca="1">IF($AE497*$AA484*'Customer Base'!$D$26*0.8&gt;5800,"",IF($AE497*$AA484&gt;$AA501,"",IF(($AA$484*DT$482*$AE$497)&lt;=$AA$501,((MOD($AA$501,($AA$484*DT$482*$AE$497)))),"")))</f>
        <v/>
      </c>
      <c r="DU484" s="214" t="str">
        <f ca="1">IF($AE497*$AA484*'Customer Base'!$D$26*0.8&gt;5800,"",IF($AE497*$AA484&gt;$AA501,"",IF(($AA$484*DU$482*$AE$497)&lt;=$AA$501,((MOD($AA$501,($AA$484*DU$482*$AE$497)))),"")))</f>
        <v/>
      </c>
      <c r="DV484" s="214" t="str">
        <f ca="1">IF($AE497*$AA484*'Customer Base'!$D$26*0.8&gt;5800,"",IF($AE497*$AA484&gt;$AA501,"",IF(($AA$484*DV$482*$AE$497)&lt;=$AA$501,((MOD($AA$501,($AA$484*DV$482*$AE$497)))),"")))</f>
        <v/>
      </c>
      <c r="DW484" s="214" t="str">
        <f ca="1">IF($AE497*$AA484*'Customer Base'!$D$26*0.8&gt;5800,"",IF($AE497*$AA484&gt;$AA501,"",IF(($AA$484*DW$482*$AE$497)&lt;=$AA$501,((MOD($AA$501,($AA$484*DW$482*$AE$497)))),"")))</f>
        <v/>
      </c>
      <c r="DX484" s="214" t="str">
        <f ca="1">IF($AE497*$AA484*'Customer Base'!$D$26*0.8&gt;5800,"",IF($AE497*$AA484&gt;$AA501,"",IF(($AA$484*DX$482*$AE$497)&lt;=$AA$501,((MOD($AA$501,($AA$484*DX$482*$AE$497)))),"")))</f>
        <v/>
      </c>
      <c r="DY484" s="214" t="str">
        <f ca="1">IF($AE497*$AA484*'Customer Base'!$D$26*0.8&gt;5800,"",IF($AE497*$AA484&gt;$AA501,"",IF(($AA$484*DY$482*$AE$497)&lt;=$AA$501,((MOD($AA$501,($AA$484*DY$482*$AE$497)))),"")))</f>
        <v/>
      </c>
      <c r="DZ484" s="214" t="str">
        <f ca="1">IF($AE497*$AA484*'Customer Base'!$D$26*0.8&gt;5800,"",IF($AE497*$AA484&gt;$AA501,"",IF(($AA$484*DZ$482*$AE$497)&lt;=$AA$501,((MOD($AA$501,($AA$484*DZ$482*$AE$497)))),"")))</f>
        <v/>
      </c>
      <c r="EA484" s="214" t="str">
        <f ca="1">IF($AE497*$AA484*'Customer Base'!$D$26*0.8&gt;5800,"",IF($AE497*$AA484&gt;$AA501,"",IF(($AA$484*EA$482*$AE$497)&lt;=$AA$501,((MOD($AA$501,($AA$484*EA$482*$AE$497)))),"")))</f>
        <v/>
      </c>
      <c r="EC484" s="214" cm="1">
        <f t="array" aca="1" ref="EC484" ca="1">IFERROR(LOOKUP(2,1/(AF484:EA484&lt;&gt;""),AF$482:EA$482),"")</f>
        <v>6</v>
      </c>
      <c r="ED484" s="316" t="str" cm="1">
        <f t="array" aca="1" ref="ED484" ca="1">IF(EC$474=EC484,LOOKUP(2,1/(AF484:EA484&lt;&gt;""),AF484:EA484),"")</f>
        <v/>
      </c>
      <c r="EE484" s="316" t="str">
        <f ca="1">IF(ED484=ED$474,1,"")</f>
        <v/>
      </c>
      <c r="EF484" s="316"/>
      <c r="EG484" s="316"/>
      <c r="EH484" s="316"/>
      <c r="EI484" s="214">
        <v>3</v>
      </c>
      <c r="EJ484" s="316" t="s">
        <v>2699</v>
      </c>
      <c r="EK484" s="214">
        <f>IFERROR(MOD(EL$495,EI484),"")</f>
        <v>0</v>
      </c>
      <c r="EL484" s="214" t="str">
        <f>IF(OR(EL489=1,EL489=""),"",IF(AND(EK485&lt;&gt;0,EK484=0),IF(EK484=0,EI484,""),IF(AND(MAX(EK483:EK485)=EI484,SUMPRODUCT(EL485,EM485)&lt;&gt;EL489),EI484,"")))</f>
        <v/>
      </c>
      <c r="EM484" s="214" t="str">
        <f>IFERROR(IF(COUNT(EL484:EL485)&gt;1,1,(ROUNDDOWN(EL$495/EL484,0))),"")</f>
        <v/>
      </c>
      <c r="EN484" s="214" t="str">
        <f ca="1">IF($AE497*$AA484*'Customer Base'!$D$26*0.8&gt;5800,"",IF($AE497*$AA484&gt;$AA501,"",IF(($AA$484*EN$482*$AE$497)&lt;=$ED$474,((MOD($ED$474,($AA$484*EN$482*$AE$497)))),"")))</f>
        <v/>
      </c>
      <c r="EO484" s="214" t="str">
        <f ca="1">IF($AE497*$AA484*'Customer Base'!$D$26*0.8&gt;5800,"",IF($AE497*$AA484&gt;$AA501,"",IF(($AA$484*EO$482*$AE$497)&lt;=$ED$474,((MOD($ED$474,($AA$484*EO$482*$AE$497)))),"")))</f>
        <v/>
      </c>
      <c r="EP484" s="214" t="str">
        <f ca="1">IF($AE497*$AA484*'Customer Base'!$D$26*0.8&gt;5800,"",IF($AE497*$AA484&gt;$AA501,"",IF(($AA$484*EP$482*$AE$497)&lt;=$ED$474,((MOD($ED$474,($AA$484*EP$482*$AE$497)))),"")))</f>
        <v/>
      </c>
      <c r="EQ484" s="214" t="str">
        <f ca="1">IF($AE497*$AA484*'Customer Base'!$D$26*0.8&gt;5800,"",IF($AE497*$AA484&gt;$AA501,"",IF(($AA$484*EQ$482*$AE$497)&lt;=$ED$474,((MOD($ED$474,($AA$484*EQ$482*$AE$497)))),"")))</f>
        <v/>
      </c>
      <c r="ER484" s="214" t="str">
        <f ca="1">IF($AE497*$AA484*'Customer Base'!$D$26*0.8&gt;5800,"",IF($AE497*$AA484&gt;$AA501,"",IF(($AA$484*ER$482*$AE$497)&lt;=$ED$474,((MOD($ED$474,($AA$484*ER$482*$AE$497)))),"")))</f>
        <v/>
      </c>
      <c r="ES484" s="214" t="str">
        <f ca="1">IF($AE497*$AA484*'Customer Base'!$D$26*0.8&gt;5800,"",IF($AE497*$AA484&gt;$AA501,"",IF(($AA$484*ES$482*$AE$497)&lt;=$ED$474,((MOD($ED$474,($AA$484*ES$482*$AE$497)))),"")))</f>
        <v/>
      </c>
      <c r="ET484" s="214" t="str">
        <f ca="1">IF($AE497*$AA484*'Customer Base'!$D$26*0.8&gt;5800,"",IF($AE497*$AA484&gt;$AA501,"",IF(($AA$484*ET$482*$AE$497)&lt;=$ED$474,((MOD($ED$474,($AA$484*ET$482*$AE$497)))),"")))</f>
        <v/>
      </c>
      <c r="EU484" s="214" t="str">
        <f ca="1">IF($AE497*$AA484*'Customer Base'!$D$26*0.8&gt;5800,"",IF($AE497*$AA484&gt;$AA501,"",IF(($AA$484*EU$482*$AE$497)&lt;=$ED$474,((MOD($ED$474,($AA$484*EU$482*$AE$497)))),"")))</f>
        <v/>
      </c>
      <c r="EV484" s="214" t="str">
        <f ca="1">IF($AE497*$AA484*'Customer Base'!$D$26*0.8&gt;5800,"",IF($AE497*$AA484&gt;$AA501,"",IF(($AA$484*EV$482*$AE$497)&lt;=$ED$474,((MOD($ED$474,($AA$484*EV$482*$AE$497)))),"")))</f>
        <v/>
      </c>
      <c r="EW484" s="214" t="str">
        <f ca="1">IF($AE497*$AA484*'Customer Base'!$D$26*0.8&gt;5800,"",IF($AE497*$AA484&gt;$AA501,"",IF(($AA$484*EW$482*$AE$497)&lt;=$ED$474,((MOD($ED$474,($AA$484*EW$482*$AE$497)))),"")))</f>
        <v/>
      </c>
      <c r="EX484" s="214" t="str">
        <f ca="1">IF($AE497*$AA484*'Customer Base'!$D$26*0.8&gt;5800,"",IF($AE497*$AA484&gt;$AA501,"",IF(($AA$484*EX$482*$AE$497)&lt;=$ED$474,((MOD($ED$474,($AA$484*EX$482*$AE$497)))),"")))</f>
        <v/>
      </c>
      <c r="EY484" s="214" t="str">
        <f ca="1">IF($AE497*$AA484*'Customer Base'!$D$26*0.8&gt;5800,"",IF($AE497*$AA484&gt;$AA501,"",IF(($AA$484*EY$482*$AE$497)&lt;=$ED$474,((MOD($ED$474,($AA$484*EY$482*$AE$497)))),"")))</f>
        <v/>
      </c>
      <c r="EZ484" s="214" t="str">
        <f ca="1">IF($AE497*$AA484*'Customer Base'!$D$26*0.8&gt;5800,"",IF($AE497*$AA484&gt;$AA501,"",IF(($AA$484*EZ$482*$AE$497)&lt;=$ED$474,((MOD($ED$474,($AA$484*EZ$482*$AE$497)))),"")))</f>
        <v/>
      </c>
      <c r="FA484" s="214" t="str">
        <f ca="1">IF($AE497*$AA484*'Customer Base'!$D$26*0.8&gt;5800,"",IF($AE497*$AA484&gt;$AA501,"",IF(($AA$484*FA$482*$AE$497)&lt;=$ED$474,((MOD($ED$474,($AA$484*FA$482*$AE$497)))),"")))</f>
        <v/>
      </c>
      <c r="FB484" s="214" t="str">
        <f ca="1">IF($AE497*$AA484*'Customer Base'!$D$26*0.8&gt;5800,"",IF($AE497*$AA484&gt;$AA501,"",IF(($AA$484*FB$482*$AE$497)&lt;=$ED$474,((MOD($ED$474,($AA$484*FB$482*$AE$497)))),"")))</f>
        <v/>
      </c>
      <c r="FC484" s="214" t="str">
        <f ca="1">IF($AE497*$AA484*'Customer Base'!$D$26*0.8&gt;5800,"",IF($AE497*$AA484&gt;$AA501,"",IF(($AA$484*FC$482*$AE$497)&lt;=$ED$474,((MOD($ED$474,($AA$484*FC$482*$AE$497)))),"")))</f>
        <v/>
      </c>
      <c r="FD484" s="214" t="str">
        <f ca="1">IF($AE497*$AA484*'Customer Base'!$D$26*0.8&gt;5800,"",IF($AE497*$AA484&gt;$AA501,"",IF(($AA$484*FD$482*$AE$497)&lt;=$ED$474,((MOD($ED$474,($AA$484*FD$482*$AE$497)))),"")))</f>
        <v/>
      </c>
      <c r="FE484" s="214" t="str">
        <f ca="1">IF($AE497*$AA484*'Customer Base'!$D$26*0.8&gt;5800,"",IF($AE497*$AA484&gt;$AA501,"",IF(($AA$484*FE$482*$AE$497)&lt;=$ED$474,((MOD($ED$474,($AA$484*FE$482*$AE$497)))),"")))</f>
        <v/>
      </c>
      <c r="FF484" s="214" t="str">
        <f ca="1">IF($AE497*$AA484*'Customer Base'!$D$26*0.8&gt;5800,"",IF($AE497*$AA484&gt;$AA501,"",IF(($AA$484*FF$482*$AE$497)&lt;=$ED$474,((MOD($ED$474,($AA$484*FF$482*$AE$497)))),"")))</f>
        <v/>
      </c>
      <c r="FG484" s="214" t="str">
        <f ca="1">IF($AE497*$AA484*'Customer Base'!$D$26*0.8&gt;5800,"",IF($AE497*$AA484&gt;$AA501,"",IF(($AA$484*FG$482*$AE$497)&lt;=$ED$474,((MOD($ED$474,($AA$484*FG$482*$AE$497)))),"")))</f>
        <v/>
      </c>
      <c r="FH484" s="214" t="str">
        <f ca="1">IF($AE497*$AA484*'Customer Base'!$D$26*0.8&gt;5800,"",IF($AE497*$AA484&gt;$AA501,"",IF(($AA$484*FH$482*$AE$497)&lt;=$ED$474,((MOD($ED$474,($AA$484*FH$482*$AE$497)))),"")))</f>
        <v/>
      </c>
      <c r="FI484" s="214" t="str">
        <f ca="1">IF($AE497*$AA484*'Customer Base'!$D$26*0.8&gt;5800,"",IF($AE497*$AA484&gt;$AA501,"",IF(($AA$484*FI$482*$AE$497)&lt;=$ED$474,((MOD($ED$474,($AA$484*FI$482*$AE$497)))),"")))</f>
        <v/>
      </c>
      <c r="FJ484" s="214" t="str">
        <f ca="1">IF($AE497*$AA484*'Customer Base'!$D$26*0.8&gt;5800,"",IF($AE497*$AA484&gt;$AA501,"",IF(($AA$484*FJ$482*$AE$497)&lt;=$ED$474,((MOD($ED$474,($AA$484*FJ$482*$AE$497)))),"")))</f>
        <v/>
      </c>
      <c r="FK484" s="214" t="str">
        <f ca="1">IF($AE497*$AA484*'Customer Base'!$D$26*0.8&gt;5800,"",IF($AE497*$AA484&gt;$AA501,"",IF(($AA$484*FK$482*$AE$497)&lt;=$ED$474,((MOD($ED$474,($AA$484*FK$482*$AE$497)))),"")))</f>
        <v/>
      </c>
      <c r="FL484" s="214" t="str">
        <f ca="1">IF($AE497*$AA484*'Customer Base'!$D$26*0.8&gt;5800,"",IF($AE497*$AA484&gt;$AA501,"",IF(($AA$484*FL$482*$AE$497)&lt;=$ED$474,((MOD($ED$474,($AA$484*FL$482*$AE$497)))),"")))</f>
        <v/>
      </c>
      <c r="FM484" s="214" t="str">
        <f ca="1">IF($AE497*$AA484*'Customer Base'!$D$26*0.8&gt;5800,"",IF($AE497*$AA484&gt;$AA501,"",IF(($AA$484*FM$482*$AE$497)&lt;=$ED$474,((MOD($ED$474,($AA$484*FM$482*$AE$497)))),"")))</f>
        <v/>
      </c>
      <c r="FN484" s="214" t="str">
        <f ca="1">IF($AE497*$AA484*'Customer Base'!$D$26*0.8&gt;5800,"",IF($AE497*$AA484&gt;$AA501,"",IF(($AA$484*FN$482*$AE$497)&lt;=$ED$474,((MOD($ED$474,($AA$484*FN$482*$AE$497)))),"")))</f>
        <v/>
      </c>
      <c r="FO484" s="214" t="str">
        <f ca="1">IF($AE497*$AA484*'Customer Base'!$D$26*0.8&gt;5800,"",IF($AE497*$AA484&gt;$AA501,"",IF(($AA$484*FO$482*$AE$497)&lt;=$ED$474,((MOD($ED$474,($AA$484*FO$482*$AE$497)))),"")))</f>
        <v/>
      </c>
      <c r="FP484" s="214" t="str">
        <f ca="1">IF($AE497*$AA484*'Customer Base'!$D$26*0.8&gt;5800,"",IF($AE497*$AA484&gt;$AA501,"",IF(($AA$484*FP$482*$AE$497)&lt;=$ED$474,((MOD($ED$474,($AA$484*FP$482*$AE$497)))),"")))</f>
        <v/>
      </c>
      <c r="FQ484" s="214" t="str">
        <f ca="1">IF($AE497*$AA484*'Customer Base'!$D$26*0.8&gt;5800,"",IF($AE497*$AA484&gt;$AA501,"",IF(($AA$484*FQ$482*$AE$497)&lt;=$ED$474,((MOD($ED$474,($AA$484*FQ$482*$AE$497)))),"")))</f>
        <v/>
      </c>
      <c r="FR484" s="214" t="str">
        <f ca="1">IF($AE497*$AA484*'Customer Base'!$D$26*0.8&gt;5800,"",IF($AE497*$AA484&gt;$AA501,"",IF(($AA$484*FR$482*$AE$497)&lt;=$ED$474,((MOD($ED$474,($AA$484*FR$482*$AE$497)))),"")))</f>
        <v/>
      </c>
      <c r="FS484" s="214" t="str">
        <f ca="1">IF($AE497*$AA484*'Customer Base'!$D$26*0.8&gt;5800,"",IF($AE497*$AA484&gt;$AA501,"",IF(($AA$484*FS$482*$AE$497)&lt;=$ED$474,((MOD($ED$474,($AA$484*FS$482*$AE$497)))),"")))</f>
        <v/>
      </c>
      <c r="FT484" s="214" t="str">
        <f ca="1">IF($AE497*$AA484*'Customer Base'!$D$26*0.8&gt;5800,"",IF($AE497*$AA484&gt;$AA501,"",IF(($AA$484*FT$482*$AE$497)&lt;=$ED$474,((MOD($ED$474,($AA$484*FT$482*$AE$497)))),"")))</f>
        <v/>
      </c>
      <c r="FU484" s="214" t="str">
        <f ca="1">IF($AE497*$AA484*'Customer Base'!$D$26*0.8&gt;5800,"",IF($AE497*$AA484&gt;$AA501,"",IF(($AA$484*FU$482*$AE$497)&lt;=$ED$474,((MOD($ED$474,($AA$484*FU$482*$AE$497)))),"")))</f>
        <v/>
      </c>
      <c r="FV484" s="214" t="str">
        <f ca="1">IF($AE497*$AA484*'Customer Base'!$D$26*0.8&gt;5800,"",IF($AE497*$AA484&gt;$AA501,"",IF(($AA$484*FV$482*$AE$497)&lt;=$ED$474,((MOD($ED$474,($AA$484*FV$482*$AE$497)))),"")))</f>
        <v/>
      </c>
      <c r="FW484" s="214" t="str">
        <f ca="1">IF($AE497*$AA484*'Customer Base'!$D$26*0.8&gt;5800,"",IF($AE497*$AA484&gt;$AA501,"",IF(($AA$484*FW$482*$AE$497)&lt;=$ED$474,((MOD($ED$474,($AA$484*FW$482*$AE$497)))),"")))</f>
        <v/>
      </c>
      <c r="FX484" s="214" t="str">
        <f ca="1">IF($AE497*$AA484*'Customer Base'!$D$26*0.8&gt;5800,"",IF($AE497*$AA484&gt;$AA501,"",IF(($AA$484*FX$482*$AE$497)&lt;=$ED$474,((MOD($ED$474,($AA$484*FX$482*$AE$497)))),"")))</f>
        <v/>
      </c>
      <c r="FY484" s="214" t="str">
        <f ca="1">IF($AE497*$AA484*'Customer Base'!$D$26*0.8&gt;5800,"",IF($AE497*$AA484&gt;$AA501,"",IF(($AA$484*FY$482*$AE$497)&lt;=$ED$474,((MOD($ED$474,($AA$484*FY$482*$AE$497)))),"")))</f>
        <v/>
      </c>
      <c r="FZ484" s="214" t="str">
        <f ca="1">IF($AE497*$AA484*'Customer Base'!$D$26*0.8&gt;5800,"",IF($AE497*$AA484&gt;$AA501,"",IF(($AA$484*FZ$482*$AE$497)&lt;=$ED$474,((MOD($ED$474,($AA$484*FZ$482*$AE$497)))),"")))</f>
        <v/>
      </c>
      <c r="GA484" s="214" t="str">
        <f ca="1">IF($AE497*$AA484*'Customer Base'!$D$26*0.8&gt;5800,"",IF($AE497*$AA484&gt;$AA501,"",IF(($AA$484*GA$482*$AE$497)&lt;=$ED$474,((MOD($ED$474,($AA$484*GA$482*$AE$497)))),"")))</f>
        <v/>
      </c>
      <c r="GB484" s="214" t="str">
        <f ca="1">IF($AE497*$AA484*'Customer Base'!$D$26*0.8&gt;5800,"",IF($AE497*$AA484&gt;$AA501,"",IF(($AA$484*GB$482*$AE$497)&lt;=$ED$474,((MOD($ED$474,($AA$484*GB$482*$AE$497)))),"")))</f>
        <v/>
      </c>
      <c r="GC484" s="214" t="str">
        <f ca="1">IF($AE497*$AA484*'Customer Base'!$D$26*0.8&gt;5800,"",IF($AE497*$AA484&gt;$AA501,"",IF(($AA$484*GC$482*$AE$497)&lt;=$ED$474,((MOD($ED$474,($AA$484*GC$482*$AE$497)))),"")))</f>
        <v/>
      </c>
      <c r="GD484" s="214" t="str">
        <f ca="1">IF($AE497*$AA484*'Customer Base'!$D$26*0.8&gt;5800,"",IF($AE497*$AA484&gt;$AA501,"",IF(($AA$484*GD$482*$AE$497)&lt;=$ED$474,((MOD($ED$474,($AA$484*GD$482*$AE$497)))),"")))</f>
        <v/>
      </c>
      <c r="GE484" s="214" t="str">
        <f ca="1">IF($AE497*$AA484*'Customer Base'!$D$26*0.8&gt;5800,"",IF($AE497*$AA484&gt;$AA501,"",IF(($AA$484*GE$482*$AE$497)&lt;=$ED$474,((MOD($ED$474,($AA$484*GE$482*$AE$497)))),"")))</f>
        <v/>
      </c>
      <c r="GF484" s="214" t="str">
        <f ca="1">IF($AE497*$AA484*'Customer Base'!$D$26*0.8&gt;5800,"",IF($AE497*$AA484&gt;$AA501,"",IF(($AA$484*GF$482*$AE$497)&lt;=$ED$474,((MOD($ED$474,($AA$484*GF$482*$AE$497)))),"")))</f>
        <v/>
      </c>
      <c r="GG484" s="214" t="str">
        <f ca="1">IF($AE497*$AA484*'Customer Base'!$D$26*0.8&gt;5800,"",IF($AE497*$AA484&gt;$AA501,"",IF(($AA$484*GG$482*$AE$497)&lt;=$ED$474,((MOD($ED$474,($AA$484*GG$482*$AE$497)))),"")))</f>
        <v/>
      </c>
      <c r="GH484" s="214" t="str">
        <f ca="1">IF($AE497*$AA484*'Customer Base'!$D$26*0.8&gt;5800,"",IF($AE497*$AA484&gt;$AA501,"",IF(($AA$484*GH$482*$AE$497)&lt;=$ED$474,((MOD($ED$474,($AA$484*GH$482*$AE$497)))),"")))</f>
        <v/>
      </c>
      <c r="GI484" s="214" t="str">
        <f ca="1">IF($AE497*$AA484*'Customer Base'!$D$26*0.8&gt;5800,"",IF($AE497*$AA484&gt;$AA501,"",IF(($AA$484*GI$482*$AE$497)&lt;=$ED$474,((MOD($ED$474,($AA$484*GI$482*$AE$497)))),"")))</f>
        <v/>
      </c>
      <c r="GJ484" s="214" t="str">
        <f ca="1">IF($AE497*$AA484*'Customer Base'!$D$26*0.8&gt;5800,"",IF($AE497*$AA484&gt;$AA501,"",IF(($AA$484*GJ$482*$AE$497)&lt;=$ED$474,((MOD($ED$474,($AA$484*GJ$482*$AE$497)))),"")))</f>
        <v/>
      </c>
      <c r="GK484" s="214" t="str">
        <f ca="1">IF($AE497*$AA484*'Customer Base'!$D$26*0.8&gt;5800,"",IF($AE497*$AA484&gt;$AA501,"",IF(($AA$484*GK$482*$AE$497)&lt;=$ED$474,((MOD($ED$474,($AA$484*GK$482*$AE$497)))),"")))</f>
        <v/>
      </c>
      <c r="GL484" s="214" t="str">
        <f ca="1">IF($AE497*$AA484*'Customer Base'!$D$26*0.8&gt;5800,"",IF($AE497*$AA484&gt;$AA501,"",IF(($AA$484*GL$482*$AE$497)&lt;=$ED$474,((MOD($ED$474,($AA$484*GL$482*$AE$497)))),"")))</f>
        <v/>
      </c>
      <c r="GM484" s="214" t="str">
        <f ca="1">IF($AE497*$AA484*'Customer Base'!$D$26*0.8&gt;5800,"",IF($AE497*$AA484&gt;$AA501,"",IF(($AA$484*GM$482*$AE$497)&lt;=$ED$474,((MOD($ED$474,($AA$484*GM$482*$AE$497)))),"")))</f>
        <v/>
      </c>
      <c r="GN484" s="214" t="str">
        <f ca="1">IF($AE497*$AA484*'Customer Base'!$D$26*0.8&gt;5800,"",IF($AE497*$AA484&gt;$AA501,"",IF(($AA$484*GN$482*$AE$497)&lt;=$ED$474,((MOD($ED$474,($AA$484*GN$482*$AE$497)))),"")))</f>
        <v/>
      </c>
      <c r="GO484" s="214" t="str">
        <f ca="1">IF($AE497*$AA484*'Customer Base'!$D$26*0.8&gt;5800,"",IF($AE497*$AA484&gt;$AA501,"",IF(($AA$484*GO$482*$AE$497)&lt;=$ED$474,((MOD($ED$474,($AA$484*GO$482*$AE$497)))),"")))</f>
        <v/>
      </c>
      <c r="GP484" s="214" t="str">
        <f ca="1">IF($AE497*$AA484*'Customer Base'!$D$26*0.8&gt;5800,"",IF($AE497*$AA484&gt;$AA501,"",IF(($AA$484*GP$482*$AE$497)&lt;=$ED$474,((MOD($ED$474,($AA$484*GP$482*$AE$497)))),"")))</f>
        <v/>
      </c>
      <c r="GQ484" s="214" t="str">
        <f ca="1">IF($AE497*$AA484*'Customer Base'!$D$26*0.8&gt;5800,"",IF($AE497*$AA484&gt;$AA501,"",IF(($AA$484*GQ$482*$AE$497)&lt;=$ED$474,((MOD($ED$474,($AA$484*GQ$482*$AE$497)))),"")))</f>
        <v/>
      </c>
      <c r="GR484" s="214" t="str">
        <f ca="1">IF($AE497*$AA484*'Customer Base'!$D$26*0.8&gt;5800,"",IF($AE497*$AA484&gt;$AA501,"",IF(($AA$484*GR$482*$AE$497)&lt;=$ED$474,((MOD($ED$474,($AA$484*GR$482*$AE$497)))),"")))</f>
        <v/>
      </c>
      <c r="GS484" s="214" t="str">
        <f ca="1">IF($AE497*$AA484*'Customer Base'!$D$26*0.8&gt;5800,"",IF($AE497*$AA484&gt;$AA501,"",IF(($AA$484*GS$482*$AE$497)&lt;=$ED$474,((MOD($ED$474,($AA$484*GS$482*$AE$497)))),"")))</f>
        <v/>
      </c>
      <c r="GT484" s="214" t="str">
        <f ca="1">IF($AE497*$AA484*'Customer Base'!$D$26*0.8&gt;5800,"",IF($AE497*$AA484&gt;$AA501,"",IF(($AA$484*GT$482*$AE$497)&lt;=$ED$474,((MOD($ED$474,($AA$484*GT$482*$AE$497)))),"")))</f>
        <v/>
      </c>
      <c r="GU484" s="214" t="str">
        <f ca="1">IF($AE497*$AA484*'Customer Base'!$D$26*0.8&gt;5800,"",IF($AE497*$AA484&gt;$AA501,"",IF(($AA$484*GU$482*$AE$497)&lt;=$ED$474,((MOD($ED$474,($AA$484*GU$482*$AE$497)))),"")))</f>
        <v/>
      </c>
      <c r="GV484" s="214" t="str">
        <f ca="1">IF($AE497*$AA484*'Customer Base'!$D$26*0.8&gt;5800,"",IF($AE497*$AA484&gt;$AA501,"",IF(($AA$484*GV$482*$AE$497)&lt;=$ED$474,((MOD($ED$474,($AA$484*GV$482*$AE$497)))),"")))</f>
        <v/>
      </c>
      <c r="GW484" s="214" t="str">
        <f ca="1">IF($AE497*$AA484*'Customer Base'!$D$26*0.8&gt;5800,"",IF($AE497*$AA484&gt;$AA501,"",IF(($AA$484*GW$482*$AE$497)&lt;=$ED$474,((MOD($ED$474,($AA$484*GW$482*$AE$497)))),"")))</f>
        <v/>
      </c>
      <c r="GX484" s="214" t="str">
        <f ca="1">IF($AE497*$AA484*'Customer Base'!$D$26*0.8&gt;5800,"",IF($AE497*$AA484&gt;$AA501,"",IF(($AA$484*GX$482*$AE$497)&lt;=$ED$474,((MOD($ED$474,($AA$484*GX$482*$AE$497)))),"")))</f>
        <v/>
      </c>
      <c r="GY484" s="214" t="str">
        <f ca="1">IF($AE497*$AA484*'Customer Base'!$D$26*0.8&gt;5800,"",IF($AE497*$AA484&gt;$AA501,"",IF(($AA$484*GY$482*$AE$497)&lt;=$ED$474,((MOD($ED$474,($AA$484*GY$482*$AE$497)))),"")))</f>
        <v/>
      </c>
      <c r="GZ484" s="214" t="str">
        <f ca="1">IF($AE497*$AA484*'Customer Base'!$D$26*0.8&gt;5800,"",IF($AE497*$AA484&gt;$AA501,"",IF(($AA$484*GZ$482*$AE$497)&lt;=$ED$474,((MOD($ED$474,($AA$484*GZ$482*$AE$497)))),"")))</f>
        <v/>
      </c>
      <c r="HA484" s="214" t="str">
        <f ca="1">IF($AE497*$AA484*'Customer Base'!$D$26*0.8&gt;5800,"",IF($AE497*$AA484&gt;$AA501,"",IF(($AA$484*HA$482*$AE$497)&lt;=$ED$474,((MOD($ED$474,($AA$484*HA$482*$AE$497)))),"")))</f>
        <v/>
      </c>
      <c r="HB484" s="214" t="str">
        <f ca="1">IF($AE497*$AA484*'Customer Base'!$D$26*0.8&gt;5800,"",IF($AE497*$AA484&gt;$AA501,"",IF(($AA$484*HB$482*$AE$497)&lt;=$ED$474,((MOD($ED$474,($AA$484*HB$482*$AE$497)))),"")))</f>
        <v/>
      </c>
      <c r="HC484" s="214" t="str">
        <f ca="1">IF($AE497*$AA484*'Customer Base'!$D$26*0.8&gt;5800,"",IF($AE497*$AA484&gt;$AA501,"",IF(($AA$484*HC$482*$AE$497)&lt;=$ED$474,((MOD($ED$474,($AA$484*HC$482*$AE$497)))),"")))</f>
        <v/>
      </c>
      <c r="HD484" s="214" t="str">
        <f ca="1">IF($AE497*$AA484*'Customer Base'!$D$26*0.8&gt;5800,"",IF($AE497*$AA484&gt;$AA501,"",IF(($AA$484*HD$482*$AE$497)&lt;=$ED$474,((MOD($ED$474,($AA$484*HD$482*$AE$497)))),"")))</f>
        <v/>
      </c>
      <c r="HE484" s="214" t="str">
        <f ca="1">IF($AE497*$AA484*'Customer Base'!$D$26*0.8&gt;5800,"",IF($AE497*$AA484&gt;$AA501,"",IF(($AA$484*HE$482*$AE$497)&lt;=$ED$474,((MOD($ED$474,($AA$484*HE$482*$AE$497)))),"")))</f>
        <v/>
      </c>
      <c r="HF484" s="214" t="str">
        <f ca="1">IF($AE497*$AA484*'Customer Base'!$D$26*0.8&gt;5800,"",IF($AE497*$AA484&gt;$AA501,"",IF(($AA$484*HF$482*$AE$497)&lt;=$ED$474,((MOD($ED$474,($AA$484*HF$482*$AE$497)))),"")))</f>
        <v/>
      </c>
      <c r="HG484" s="214" t="str">
        <f ca="1">IF($AE497*$AA484*'Customer Base'!$D$26*0.8&gt;5800,"",IF($AE497*$AA484&gt;$AA501,"",IF(($AA$484*HG$482*$AE$497)&lt;=$ED$474,((MOD($ED$474,($AA$484*HG$482*$AE$497)))),"")))</f>
        <v/>
      </c>
      <c r="HH484" s="214" t="str">
        <f ca="1">IF($AE497*$AA484*'Customer Base'!$D$26*0.8&gt;5800,"",IF($AE497*$AA484&gt;$AA501,"",IF(($AA$484*HH$482*$AE$497)&lt;=$ED$474,((MOD($ED$474,($AA$484*HH$482*$AE$497)))),"")))</f>
        <v/>
      </c>
      <c r="HI484" s="214" t="str">
        <f ca="1">IF($AE497*$AA484*'Customer Base'!$D$26*0.8&gt;5800,"",IF($AE497*$AA484&gt;$AA501,"",IF(($AA$484*HI$482*$AE$497)&lt;=$ED$474,((MOD($ED$474,($AA$484*HI$482*$AE$497)))),"")))</f>
        <v/>
      </c>
      <c r="HJ484" s="214" t="str">
        <f ca="1">IF($AE497*$AA484*'Customer Base'!$D$26*0.8&gt;5800,"",IF($AE497*$AA484&gt;$AA501,"",IF(($AA$484*HJ$482*$AE$497)&lt;=$ED$474,((MOD($ED$474,($AA$484*HJ$482*$AE$497)))),"")))</f>
        <v/>
      </c>
      <c r="HK484" s="214" t="str">
        <f ca="1">IF($AE497*$AA484*'Customer Base'!$D$26*0.8&gt;5800,"",IF($AE497*$AA484&gt;$AA501,"",IF(($AA$484*HK$482*$AE$497)&lt;=$ED$474,((MOD($ED$474,($AA$484*HK$482*$AE$497)))),"")))</f>
        <v/>
      </c>
      <c r="HL484" s="214" t="str">
        <f ca="1">IF($AE497*$AA484*'Customer Base'!$D$26*0.8&gt;5800,"",IF($AE497*$AA484&gt;$AA501,"",IF(($AA$484*HL$482*$AE$497)&lt;=$ED$474,((MOD($ED$474,($AA$484*HL$482*$AE$497)))),"")))</f>
        <v/>
      </c>
      <c r="HM484" s="214" t="str">
        <f ca="1">IF($AE497*$AA484*'Customer Base'!$D$26*0.8&gt;5800,"",IF($AE497*$AA484&gt;$AA501,"",IF(($AA$484*HM$482*$AE$497)&lt;=$ED$474,((MOD($ED$474,($AA$484*HM$482*$AE$497)))),"")))</f>
        <v/>
      </c>
      <c r="HN484" s="214" t="str">
        <f ca="1">IF($AE497*$AA484*'Customer Base'!$D$26*0.8&gt;5800,"",IF($AE497*$AA484&gt;$AA501,"",IF(($AA$484*HN$482*$AE$497)&lt;=$ED$474,((MOD($ED$474,($AA$484*HN$482*$AE$497)))),"")))</f>
        <v/>
      </c>
      <c r="HO484" s="214" t="str">
        <f ca="1">IF($AE497*$AA484*'Customer Base'!$D$26*0.8&gt;5800,"",IF($AE497*$AA484&gt;$AA501,"",IF(($AA$484*HO$482*$AE$497)&lt;=$ED$474,((MOD($ED$474,($AA$484*HO$482*$AE$497)))),"")))</f>
        <v/>
      </c>
      <c r="HP484" s="214" t="str">
        <f ca="1">IF($AE497*$AA484*'Customer Base'!$D$26*0.8&gt;5800,"",IF($AE497*$AA484&gt;$AA501,"",IF(($AA$484*HP$482*$AE$497)&lt;=$ED$474,((MOD($ED$474,($AA$484*HP$482*$AE$497)))),"")))</f>
        <v/>
      </c>
      <c r="HQ484" s="214" t="str">
        <f ca="1">IF($AE497*$AA484*'Customer Base'!$D$26*0.8&gt;5800,"",IF($AE497*$AA484&gt;$AA501,"",IF(($AA$484*HQ$482*$AE$497)&lt;=$ED$474,((MOD($ED$474,($AA$484*HQ$482*$AE$497)))),"")))</f>
        <v/>
      </c>
      <c r="HR484" s="214" t="str">
        <f ca="1">IF($AE497*$AA484*'Customer Base'!$D$26*0.8&gt;5800,"",IF($AE497*$AA484&gt;$AA501,"",IF(($AA$484*HR$482*$AE$497)&lt;=$ED$474,((MOD($ED$474,($AA$484*HR$482*$AE$497)))),"")))</f>
        <v/>
      </c>
      <c r="HS484" s="214" t="str">
        <f ca="1">IF($AE497*$AA484*'Customer Base'!$D$26*0.8&gt;5800,"",IF($AE497*$AA484&gt;$AA501,"",IF(($AA$484*HS$482*$AE$497)&lt;=$ED$474,((MOD($ED$474,($AA$484*HS$482*$AE$497)))),"")))</f>
        <v/>
      </c>
      <c r="HT484" s="214" t="str">
        <f ca="1">IF($AE497*$AA484*'Customer Base'!$D$26*0.8&gt;5800,"",IF($AE497*$AA484&gt;$AA501,"",IF(($AA$484*HT$482*$AE$497)&lt;=$ED$474,((MOD($ED$474,($AA$484*HT$482*$AE$497)))),"")))</f>
        <v/>
      </c>
      <c r="HU484" s="214" t="str">
        <f ca="1">IF($AE497*$AA484*'Customer Base'!$D$26*0.8&gt;5800,"",IF($AE497*$AA484&gt;$AA501,"",IF(($AA$484*HU$482*$AE$497)&lt;=$ED$474,((MOD($ED$474,($AA$484*HU$482*$AE$497)))),"")))</f>
        <v/>
      </c>
      <c r="HV484" s="214" t="str">
        <f ca="1">IF($AE497*$AA484*'Customer Base'!$D$26*0.8&gt;5800,"",IF($AE497*$AA484&gt;$AA501,"",IF(($AA$484*HV$482*$AE$497)&lt;=$ED$474,((MOD($ED$474,($AA$484*HV$482*$AE$497)))),"")))</f>
        <v/>
      </c>
      <c r="HW484" s="214" t="str">
        <f ca="1">IF($AE497*$AA484*'Customer Base'!$D$26*0.8&gt;5800,"",IF($AE497*$AA484&gt;$AA501,"",IF(($AA$484*HW$482*$AE$497)&lt;=$ED$474,((MOD($ED$474,($AA$484*HW$482*$AE$497)))),"")))</f>
        <v/>
      </c>
      <c r="HX484" s="214" t="str">
        <f ca="1">IF($AE497*$AA484*'Customer Base'!$D$26*0.8&gt;5800,"",IF($AE497*$AA484&gt;$AA501,"",IF(($AA$484*HX$482*$AE$497)&lt;=$ED$474,((MOD($ED$474,($AA$484*HX$482*$AE$497)))),"")))</f>
        <v/>
      </c>
      <c r="HY484" s="214" t="str">
        <f ca="1">IF($AE497*$AA484*'Customer Base'!$D$26*0.8&gt;5800,"",IF($AE497*$AA484&gt;$AA501,"",IF(($AA$484*HY$482*$AE$497)&lt;=$ED$474,((MOD($ED$474,($AA$484*HY$482*$AE$497)))),"")))</f>
        <v/>
      </c>
      <c r="HZ484" s="214" t="str">
        <f ca="1">IF($AE497*$AA484*'Customer Base'!$D$26*0.8&gt;5800,"",IF($AE497*$AA484&gt;$AA501,"",IF(($AA$484*HZ$482*$AE$497)&lt;=$ED$474,((MOD($ED$474,($AA$484*HZ$482*$AE$497)))),"")))</f>
        <v/>
      </c>
      <c r="IA484" s="214" t="str">
        <f ca="1">IF($AE497*$AA484*'Customer Base'!$D$26*0.8&gt;5800,"",IF($AE497*$AA484&gt;$AA501,"",IF(($AA$484*IA$482*$AE$497)&lt;=$ED$474,((MOD($ED$474,($AA$484*IA$482*$AE$497)))),"")))</f>
        <v/>
      </c>
      <c r="IB484" s="214" t="str">
        <f ca="1">IF($AE497*$AA484*'Customer Base'!$D$26*0.8&gt;5800,"",IF($AE497*$AA484&gt;$AA501,"",IF(($AA$484*IB$482*$AE$497)&lt;=$ED$474,((MOD($ED$474,($AA$484*IB$482*$AE$497)))),"")))</f>
        <v/>
      </c>
      <c r="IC484" s="214" t="str">
        <f ca="1">IF($AE497*$AA484*'Customer Base'!$D$26*0.8&gt;5800,"",IF($AE497*$AA484&gt;$AA501,"",IF(($AA$484*IC$482*$AE$497)&lt;=$ED$474,((MOD($ED$474,($AA$484*IC$482*$AE$497)))),"")))</f>
        <v/>
      </c>
      <c r="ID484" s="214" t="str">
        <f ca="1">IF($AE497*$AA484*'Customer Base'!$D$26*0.8&gt;5800,"",IF($AE497*$AA484&gt;$AA501,"",IF(($AA$484*ID$482*$AE$497)&lt;=$ED$474,((MOD($ED$474,($AA$484*ID$482*$AE$497)))),"")))</f>
        <v/>
      </c>
      <c r="IE484" s="214" t="str">
        <f ca="1">IF($AE497*$AA484*'Customer Base'!$D$26*0.8&gt;5800,"",IF($AE497*$AA484&gt;$AA501,"",IF(($AA$484*IE$482*$AE$497)&lt;=$ED$474,((MOD($ED$474,($AA$484*IE$482*$AE$497)))),"")))</f>
        <v/>
      </c>
      <c r="IF484" s="214" t="str">
        <f ca="1">IF($AE497*$AA484*'Customer Base'!$D$26*0.8&gt;5800,"",IF($AE497*$AA484&gt;$AA501,"",IF(($AA$484*IF$482*$AE$497)&lt;=$ED$474,((MOD($ED$474,($AA$484*IF$482*$AE$497)))),"")))</f>
        <v/>
      </c>
      <c r="IG484" s="214" t="str">
        <f ca="1">IF($AE497*$AA484*'Customer Base'!$D$26*0.8&gt;5800,"",IF($AE497*$AA484&gt;$AA501,"",IF(($AA$484*IG$482*$AE$497)&lt;=$ED$474,((MOD($ED$474,($AA$484*IG$482*$AE$497)))),"")))</f>
        <v/>
      </c>
      <c r="IH484" s="214" t="str">
        <f ca="1">IF($AE497*$AA484*'Customer Base'!$D$26*0.8&gt;5800,"",IF($AE497*$AA484&gt;$AA501,"",IF(($AA$484*IH$482*$AE$497)&lt;=$ED$474,((MOD($ED$474,($AA$484*IH$482*$AE$497)))),"")))</f>
        <v/>
      </c>
      <c r="II484" s="214" t="str">
        <f ca="1">IF($AE497*$AA484*'Customer Base'!$D$26*0.8&gt;5800,"",IF($AE497*$AA484&gt;$AA501,"",IF(($AA$484*II$482*$AE$497)&lt;=$ED$474,((MOD($ED$474,($AA$484*II$482*$AE$497)))),"")))</f>
        <v/>
      </c>
      <c r="IK484" s="214" t="str" cm="1">
        <f t="array" aca="1" ref="IK484" ca="1">IFERROR(LOOKUP(2,1/(EN484:II484&lt;&gt;""),EN$482:II$482),"")</f>
        <v/>
      </c>
      <c r="IL484" s="316" t="str" cm="1">
        <f t="array" aca="1" ref="IL484" ca="1">IF(IK$474=IK484,LOOKUP(2,1/(EN484:II484&lt;&gt;""),EN484:II484),"")</f>
        <v/>
      </c>
      <c r="IM484" s="316" t="str">
        <f ca="1">IF(IL484=IL$474,1,"")</f>
        <v/>
      </c>
      <c r="IN484" s="316"/>
    </row>
    <row r="485" spans="2:248" ht="17">
      <c r="B485" s="211" t="s">
        <v>889</v>
      </c>
      <c r="C485" s="212" t="s">
        <v>1348</v>
      </c>
      <c r="D485" s="212" t="s">
        <v>1349</v>
      </c>
      <c r="F485" s="107" t="str">
        <f t="shared" si="15"/>
        <v>P</v>
      </c>
      <c r="AA485" s="214">
        <v>4</v>
      </c>
      <c r="AB485" s="316" t="s">
        <v>2700</v>
      </c>
      <c r="AC485" s="214">
        <f ca="1">IFERROR(MOD(AD$493,AA485),"")</f>
        <v>2</v>
      </c>
      <c r="AD485" s="214">
        <f ca="1">IF(OR(AD489=1,AD489=""),"",IF(AC485=0,AA485,IF(AND(AC485&lt;&gt;0,AC484&lt;&gt;0,AC483&lt;&gt;0),AA485,IF(AND(AC485&lt;&gt;0,AC484&lt;&gt;0,AC483=0),AA485,""))))</f>
        <v>4</v>
      </c>
      <c r="AE485" s="214">
        <f ca="1">IFERROR(ROUNDDOWN(AD$493/AD485,0),"")</f>
        <v>2</v>
      </c>
      <c r="AF485" s="214">
        <f ca="1">IF($AE497*$AA485*'Customer Base'!$D$26*0.8&gt;5800,"",IF($AE497*$AA485&gt;$AA501,"",IF(($AA$485*AF$482*$AE$497)&lt;=$AA$501,((MOD($AA$501,($AA$485*AF$482*$AE$497)))),"")))</f>
        <v>0</v>
      </c>
      <c r="AG485" s="214">
        <f ca="1">IF($AE497*$AA485*'Customer Base'!$D$26*0.8&gt;5800,"",IF($AE497*$AA485&gt;$AA501,"",IF(($AA$485*AG$482*$AE$497)&lt;=$AA$501,((MOD($AA$501,($AA$485*AG$482*$AE$497)))),"")))</f>
        <v>8</v>
      </c>
      <c r="AH485" s="214">
        <f ca="1">IF($AE497*$AA485*'Customer Base'!$D$26*0.8&gt;5800,"",IF($AE497*$AA485&gt;$AA501,"",IF(($AA$485*AH$482*$AE$497)&lt;=$AA$501,((MOD($AA$501,($AA$485*AH$482*$AE$497)))),"")))</f>
        <v>16</v>
      </c>
      <c r="AI485" s="214">
        <f ca="1">IF($AE497*$AA485*'Customer Base'!$D$26*0.8&gt;5800,"",IF($AE497*$AA485&gt;$AA501,"",IF(($AA$485*AI$482*$AE$497)&lt;=$AA$501,((MOD($AA$501,($AA$485*AI$482*$AE$497)))),"")))</f>
        <v>8</v>
      </c>
      <c r="AJ485" s="214">
        <f ca="1">IF($AE497*$AA485*'Customer Base'!$D$26*0.8&gt;5800,"",IF($AE497*$AA485&gt;$AA501,"",IF(($AA$485*AJ$482*$AE$497)&lt;=$AA$501,((MOD($AA$501,($AA$485*AJ$482*$AE$497)))),"")))</f>
        <v>0</v>
      </c>
      <c r="AK485" s="214" t="str">
        <f ca="1">IF($AE497*$AA485*'Customer Base'!$D$26*0.8&gt;5800,"",IF($AE497*$AA485&gt;$AA501,"",IF(($AA$485*AK$482*$AE$497)&lt;=$AA$501,((MOD($AA$501,($AA$485*AK$482*$AE$497)))),"")))</f>
        <v/>
      </c>
      <c r="AL485" s="214" t="str">
        <f ca="1">IF($AE497*$AA485*'Customer Base'!$D$26*0.8&gt;5800,"",IF($AE497*$AA485&gt;$AA501,"",IF(($AA$485*AL$482*$AE$497)&lt;=$AA$501,((MOD($AA$501,($AA$485*AL$482*$AE$497)))),"")))</f>
        <v/>
      </c>
      <c r="AM485" s="214" t="str">
        <f ca="1">IF($AE497*$AA485*'Customer Base'!$D$26*0.8&gt;5800,"",IF($AE497*$AA485&gt;$AA501,"",IF(($AA$485*AM$482*$AE$497)&lt;=$AA$501,((MOD($AA$501,($AA$485*AM$482*$AE$497)))),"")))</f>
        <v/>
      </c>
      <c r="AN485" s="214" t="str">
        <f ca="1">IF($AE497*$AA485*'Customer Base'!$D$26*0.8&gt;5800,"",IF($AE497*$AA485&gt;$AA501,"",IF(($AA$485*AN$482*$AE$497)&lt;=$AA$501,((MOD($AA$501,($AA$485*AN$482*$AE$497)))),"")))</f>
        <v/>
      </c>
      <c r="AO485" s="214" t="str">
        <f ca="1">IF($AE497*$AA485*'Customer Base'!$D$26*0.8&gt;5800,"",IF($AE497*$AA485&gt;$AA501,"",IF(($AA$485*AO$482*$AE$497)&lt;=$AA$501,((MOD($AA$501,($AA$485*AO$482*$AE$497)))),"")))</f>
        <v/>
      </c>
      <c r="AP485" s="214" t="str">
        <f ca="1">IF($AE497*$AA485*'Customer Base'!$D$26*0.8&gt;5800,"",IF($AE497*$AA485&gt;$AA501,"",IF(($AA$485*AP$482*$AE$497)&lt;=$AA$501,((MOD($AA$501,($AA$485*AP$482*$AE$497)))),"")))</f>
        <v/>
      </c>
      <c r="AQ485" s="214" t="str">
        <f ca="1">IF($AE497*$AA485*'Customer Base'!$D$26*0.8&gt;5800,"",IF($AE497*$AA485&gt;$AA501,"",IF(($AA$485*AQ$482*$AE$497)&lt;=$AA$501,((MOD($AA$501,($AA$485*AQ$482*$AE$497)))),"")))</f>
        <v/>
      </c>
      <c r="AR485" s="214" t="str">
        <f ca="1">IF($AE497*$AA485*'Customer Base'!$D$26*0.8&gt;5800,"",IF($AE497*$AA485&gt;$AA501,"",IF(($AA$485*AR$482*$AE$497)&lt;=$AA$501,((MOD($AA$501,($AA$485*AR$482*$AE$497)))),"")))</f>
        <v/>
      </c>
      <c r="AS485" s="214" t="str">
        <f ca="1">IF($AE497*$AA485*'Customer Base'!$D$26*0.8&gt;5800,"",IF($AE497*$AA485&gt;$AA501,"",IF(($AA$485*AS$482*$AE$497)&lt;=$AA$501,((MOD($AA$501,($AA$485*AS$482*$AE$497)))),"")))</f>
        <v/>
      </c>
      <c r="AT485" s="214" t="str">
        <f ca="1">IF($AE497*$AA485*'Customer Base'!$D$26*0.8&gt;5800,"",IF($AE497*$AA485&gt;$AA501,"",IF(($AA$485*AT$482*$AE$497)&lt;=$AA$501,((MOD($AA$501,($AA$485*AT$482*$AE$497)))),"")))</f>
        <v/>
      </c>
      <c r="AU485" s="214" t="str">
        <f ca="1">IF($AE497*$AA485*'Customer Base'!$D$26*0.8&gt;5800,"",IF($AE497*$AA485&gt;$AA501,"",IF(($AA$485*AU$482*$AE$497)&lt;=$AA$501,((MOD($AA$501,($AA$485*AU$482*$AE$497)))),"")))</f>
        <v/>
      </c>
      <c r="AV485" s="214" t="str">
        <f ca="1">IF($AE497*$AA485*'Customer Base'!$D$26*0.8&gt;5800,"",IF($AE497*$AA485&gt;$AA501,"",IF(($AA$485*AV$482*$AE$497)&lt;=$AA$501,((MOD($AA$501,($AA$485*AV$482*$AE$497)))),"")))</f>
        <v/>
      </c>
      <c r="AW485" s="214" t="str">
        <f ca="1">IF($AE497*$AA485*'Customer Base'!$D$26*0.8&gt;5800,"",IF($AE497*$AA485&gt;$AA501,"",IF(($AA$485*AW$482*$AE$497)&lt;=$AA$501,((MOD($AA$501,($AA$485*AW$482*$AE$497)))),"")))</f>
        <v/>
      </c>
      <c r="AX485" s="214" t="str">
        <f ca="1">IF($AE497*$AA485*'Customer Base'!$D$26*0.8&gt;5800,"",IF($AE497*$AA485&gt;$AA501,"",IF(($AA$485*AX$482*$AE$497)&lt;=$AA$501,((MOD($AA$501,($AA$485*AX$482*$AE$497)))),"")))</f>
        <v/>
      </c>
      <c r="AY485" s="214" t="str">
        <f ca="1">IF($AE497*$AA485*'Customer Base'!$D$26*0.8&gt;5800,"",IF($AE497*$AA485&gt;$AA501,"",IF(($AA$485*AY$482*$AE$497)&lt;=$AA$501,((MOD($AA$501,($AA$485*AY$482*$AE$497)))),"")))</f>
        <v/>
      </c>
      <c r="AZ485" s="214" t="str">
        <f ca="1">IF($AE497*$AA485*'Customer Base'!$D$26*0.8&gt;5800,"",IF($AE497*$AA485&gt;$AA501,"",IF(($AA$485*AZ$482*$AE$497)&lt;=$AA$501,((MOD($AA$501,($AA$485*AZ$482*$AE$497)))),"")))</f>
        <v/>
      </c>
      <c r="BA485" s="214" t="str">
        <f ca="1">IF($AE497*$AA485*'Customer Base'!$D$26*0.8&gt;5800,"",IF($AE497*$AA485&gt;$AA501,"",IF(($AA$485*BA$482*$AE$497)&lt;=$AA$501,((MOD($AA$501,($AA$485*BA$482*$AE$497)))),"")))</f>
        <v/>
      </c>
      <c r="BB485" s="214" t="str">
        <f ca="1">IF($AE497*$AA485*'Customer Base'!$D$26*0.8&gt;5800,"",IF($AE497*$AA485&gt;$AA501,"",IF(($AA$485*BB$482*$AE$497)&lt;=$AA$501,((MOD($AA$501,($AA$485*BB$482*$AE$497)))),"")))</f>
        <v/>
      </c>
      <c r="BC485" s="214" t="str">
        <f ca="1">IF($AE497*$AA485*'Customer Base'!$D$26*0.8&gt;5800,"",IF($AE497*$AA485&gt;$AA501,"",IF(($AA$485*BC$482*$AE$497)&lt;=$AA$501,((MOD($AA$501,($AA$485*BC$482*$AE$497)))),"")))</f>
        <v/>
      </c>
      <c r="BD485" s="214" t="str">
        <f ca="1">IF($AE497*$AA485*'Customer Base'!$D$26*0.8&gt;5800,"",IF($AE497*$AA485&gt;$AA501,"",IF(($AA$485*BD$482*$AE$497)&lt;=$AA$501,((MOD($AA$501,($AA$485*BD$482*$AE$497)))),"")))</f>
        <v/>
      </c>
      <c r="BE485" s="214" t="str">
        <f ca="1">IF($AE497*$AA485*'Customer Base'!$D$26*0.8&gt;5800,"",IF($AE497*$AA485&gt;$AA501,"",IF(($AA$485*BE$482*$AE$497)&lt;=$AA$501,((MOD($AA$501,($AA$485*BE$482*$AE$497)))),"")))</f>
        <v/>
      </c>
      <c r="BF485" s="214" t="str">
        <f ca="1">IF($AE497*$AA485*'Customer Base'!$D$26*0.8&gt;5800,"",IF($AE497*$AA485&gt;$AA501,"",IF(($AA$485*BF$482*$AE$497)&lt;=$AA$501,((MOD($AA$501,($AA$485*BF$482*$AE$497)))),"")))</f>
        <v/>
      </c>
      <c r="BG485" s="214" t="str">
        <f ca="1">IF($AE497*$AA485*'Customer Base'!$D$26*0.8&gt;5800,"",IF($AE497*$AA485&gt;$AA501,"",IF(($AA$485*BG$482*$AE$497)&lt;=$AA$501,((MOD($AA$501,($AA$485*BG$482*$AE$497)))),"")))</f>
        <v/>
      </c>
      <c r="BH485" s="214" t="str">
        <f ca="1">IF($AE497*$AA485*'Customer Base'!$D$26*0.8&gt;5800,"",IF($AE497*$AA485&gt;$AA501,"",IF(($AA$485*BH$482*$AE$497)&lt;=$AA$501,((MOD($AA$501,($AA$485*BH$482*$AE$497)))),"")))</f>
        <v/>
      </c>
      <c r="BI485" s="214" t="str">
        <f ca="1">IF($AE497*$AA485*'Customer Base'!$D$26*0.8&gt;5800,"",IF($AE497*$AA485&gt;$AA501,"",IF(($AA$485*BI$482*$AE$497)&lt;=$AA$501,((MOD($AA$501,($AA$485*BI$482*$AE$497)))),"")))</f>
        <v/>
      </c>
      <c r="BJ485" s="214" t="str">
        <f ca="1">IF($AE497*$AA485*'Customer Base'!$D$26*0.8&gt;5800,"",IF($AE497*$AA485&gt;$AA501,"",IF(($AA$485*BJ$482*$AE$497)&lt;=$AA$501,((MOD($AA$501,($AA$485*BJ$482*$AE$497)))),"")))</f>
        <v/>
      </c>
      <c r="BK485" s="214" t="str">
        <f ca="1">IF($AE497*$AA485*'Customer Base'!$D$26*0.8&gt;5800,"",IF($AE497*$AA485&gt;$AA501,"",IF(($AA$485*BK$482*$AE$497)&lt;=$AA$501,((MOD($AA$501,($AA$485*BK$482*$AE$497)))),"")))</f>
        <v/>
      </c>
      <c r="BL485" s="214" t="str">
        <f ca="1">IF($AE497*$AA485*'Customer Base'!$D$26*0.8&gt;5800,"",IF($AE497*$AA485&gt;$AA501,"",IF(($AA$485*BL$482*$AE$497)&lt;=$AA$501,((MOD($AA$501,($AA$485*BL$482*$AE$497)))),"")))</f>
        <v/>
      </c>
      <c r="BM485" s="214" t="str">
        <f ca="1">IF($AE497*$AA485*'Customer Base'!$D$26*0.8&gt;5800,"",IF($AE497*$AA485&gt;$AA501,"",IF(($AA$485*BM$482*$AE$497)&lt;=$AA$501,((MOD($AA$501,($AA$485*BM$482*$AE$497)))),"")))</f>
        <v/>
      </c>
      <c r="BN485" s="214" t="str">
        <f ca="1">IF($AE497*$AA485*'Customer Base'!$D$26*0.8&gt;5800,"",IF($AE497*$AA485&gt;$AA501,"",IF(($AA$485*BN$482*$AE$497)&lt;=$AA$501,((MOD($AA$501,($AA$485*BN$482*$AE$497)))),"")))</f>
        <v/>
      </c>
      <c r="BO485" s="214" t="str">
        <f ca="1">IF($AE497*$AA485*'Customer Base'!$D$26*0.8&gt;5800,"",IF($AE497*$AA485&gt;$AA501,"",IF(($AA$485*BO$482*$AE$497)&lt;=$AA$501,((MOD($AA$501,($AA$485*BO$482*$AE$497)))),"")))</f>
        <v/>
      </c>
      <c r="BP485" s="214" t="str">
        <f ca="1">IF($AE497*$AA485*'Customer Base'!$D$26*0.8&gt;5800,"",IF($AE497*$AA485&gt;$AA501,"",IF(($AA$485*BP$482*$AE$497)&lt;=$AA$501,((MOD($AA$501,($AA$485*BP$482*$AE$497)))),"")))</f>
        <v/>
      </c>
      <c r="BQ485" s="214" t="str">
        <f ca="1">IF($AE497*$AA485*'Customer Base'!$D$26*0.8&gt;5800,"",IF($AE497*$AA485&gt;$AA501,"",IF(($AA$485*BQ$482*$AE$497)&lt;=$AA$501,((MOD($AA$501,($AA$485*BQ$482*$AE$497)))),"")))</f>
        <v/>
      </c>
      <c r="BR485" s="214" t="str">
        <f ca="1">IF($AE497*$AA485*'Customer Base'!$D$26*0.8&gt;5800,"",IF($AE497*$AA485&gt;$AA501,"",IF(($AA$485*BR$482*$AE$497)&lt;=$AA$501,((MOD($AA$501,($AA$485*BR$482*$AE$497)))),"")))</f>
        <v/>
      </c>
      <c r="BS485" s="214" t="str">
        <f ca="1">IF($AE497*$AA485*'Customer Base'!$D$26*0.8&gt;5800,"",IF($AE497*$AA485&gt;$AA501,"",IF(($AA$485*BS$482*$AE$497)&lt;=$AA$501,((MOD($AA$501,($AA$485*BS$482*$AE$497)))),"")))</f>
        <v/>
      </c>
      <c r="BT485" s="214" t="str">
        <f ca="1">IF($AE497*$AA485*'Customer Base'!$D$26*0.8&gt;5800,"",IF($AE497*$AA485&gt;$AA501,"",IF(($AA$485*BT$482*$AE$497)&lt;=$AA$501,((MOD($AA$501,($AA$485*BT$482*$AE$497)))),"")))</f>
        <v/>
      </c>
      <c r="BU485" s="214" t="str">
        <f ca="1">IF($AE497*$AA485*'Customer Base'!$D$26*0.8&gt;5800,"",IF($AE497*$AA485&gt;$AA501,"",IF(($AA$485*BU$482*$AE$497)&lt;=$AA$501,((MOD($AA$501,($AA$485*BU$482*$AE$497)))),"")))</f>
        <v/>
      </c>
      <c r="BV485" s="214" t="str">
        <f ca="1">IF($AE497*$AA485*'Customer Base'!$D$26*0.8&gt;5800,"",IF($AE497*$AA485&gt;$AA501,"",IF(($AA$485*BV$482*$AE$497)&lt;=$AA$501,((MOD($AA$501,($AA$485*BV$482*$AE$497)))),"")))</f>
        <v/>
      </c>
      <c r="BW485" s="214" t="str">
        <f ca="1">IF($AE497*$AA485*'Customer Base'!$D$26*0.8&gt;5800,"",IF($AE497*$AA485&gt;$AA501,"",IF(($AA$485*BW$482*$AE$497)&lt;=$AA$501,((MOD($AA$501,($AA$485*BW$482*$AE$497)))),"")))</f>
        <v/>
      </c>
      <c r="BX485" s="214" t="str">
        <f ca="1">IF($AE497*$AA485*'Customer Base'!$D$26*0.8&gt;5800,"",IF($AE497*$AA485&gt;$AA501,"",IF(($AA$485*BX$482*$AE$497)&lt;=$AA$501,((MOD($AA$501,($AA$485*BX$482*$AE$497)))),"")))</f>
        <v/>
      </c>
      <c r="BY485" s="214" t="str">
        <f ca="1">IF($AE497*$AA485*'Customer Base'!$D$26*0.8&gt;5800,"",IF($AE497*$AA485&gt;$AA501,"",IF(($AA$485*BY$482*$AE$497)&lt;=$AA$501,((MOD($AA$501,($AA$485*BY$482*$AE$497)))),"")))</f>
        <v/>
      </c>
      <c r="BZ485" s="214" t="str">
        <f ca="1">IF($AE497*$AA485*'Customer Base'!$D$26*0.8&gt;5800,"",IF($AE497*$AA485&gt;$AA501,"",IF(($AA$485*BZ$482*$AE$497)&lt;=$AA$501,((MOD($AA$501,($AA$485*BZ$482*$AE$497)))),"")))</f>
        <v/>
      </c>
      <c r="CA485" s="214" t="str">
        <f ca="1">IF($AE497*$AA485*'Customer Base'!$D$26*0.8&gt;5800,"",IF($AE497*$AA485&gt;$AA501,"",IF(($AA$485*CA$482*$AE$497)&lt;=$AA$501,((MOD($AA$501,($AA$485*CA$482*$AE$497)))),"")))</f>
        <v/>
      </c>
      <c r="CB485" s="214" t="str">
        <f ca="1">IF($AE497*$AA485*'Customer Base'!$D$26*0.8&gt;5800,"",IF($AE497*$AA485&gt;$AA501,"",IF(($AA$485*CB$482*$AE$497)&lt;=$AA$501,((MOD($AA$501,($AA$485*CB$482*$AE$497)))),"")))</f>
        <v/>
      </c>
      <c r="CC485" s="214" t="str">
        <f ca="1">IF($AE497*$AA485*'Customer Base'!$D$26*0.8&gt;5800,"",IF($AE497*$AA485&gt;$AA501,"",IF(($AA$485*CC$482*$AE$497)&lt;=$AA$501,((MOD($AA$501,($AA$485*CC$482*$AE$497)))),"")))</f>
        <v/>
      </c>
      <c r="CD485" s="214" t="str">
        <f ca="1">IF($AE497*$AA485*'Customer Base'!$D$26*0.8&gt;5800,"",IF($AE497*$AA485&gt;$AA501,"",IF(($AA$485*CD$482*$AE$497)&lt;=$AA$501,((MOD($AA$501,($AA$485*CD$482*$AE$497)))),"")))</f>
        <v/>
      </c>
      <c r="CE485" s="214" t="str">
        <f ca="1">IF($AE497*$AA485*'Customer Base'!$D$26*0.8&gt;5800,"",IF($AE497*$AA485&gt;$AA501,"",IF(($AA$485*CE$482*$AE$497)&lt;=$AA$501,((MOD($AA$501,($AA$485*CE$482*$AE$497)))),"")))</f>
        <v/>
      </c>
      <c r="CF485" s="214" t="str">
        <f ca="1">IF($AE497*$AA485*'Customer Base'!$D$26*0.8&gt;5800,"",IF($AE497*$AA485&gt;$AA501,"",IF(($AA$485*CF$482*$AE$497)&lt;=$AA$501,((MOD($AA$501,($AA$485*CF$482*$AE$497)))),"")))</f>
        <v/>
      </c>
      <c r="CG485" s="214" t="str">
        <f ca="1">IF($AE497*$AA485*'Customer Base'!$D$26*0.8&gt;5800,"",IF($AE497*$AA485&gt;$AA501,"",IF(($AA$485*CG$482*$AE$497)&lt;=$AA$501,((MOD($AA$501,($AA$485*CG$482*$AE$497)))),"")))</f>
        <v/>
      </c>
      <c r="CH485" s="214" t="str">
        <f ca="1">IF($AE497*$AA485*'Customer Base'!$D$26*0.8&gt;5800,"",IF($AE497*$AA485&gt;$AA501,"",IF(($AA$485*CH$482*$AE$497)&lt;=$AA$501,((MOD($AA$501,($AA$485*CH$482*$AE$497)))),"")))</f>
        <v/>
      </c>
      <c r="CI485" s="214" t="str">
        <f ca="1">IF($AE497*$AA485*'Customer Base'!$D$26*0.8&gt;5800,"",IF($AE497*$AA485&gt;$AA501,"",IF(($AA$485*CI$482*$AE$497)&lt;=$AA$501,((MOD($AA$501,($AA$485*CI$482*$AE$497)))),"")))</f>
        <v/>
      </c>
      <c r="CJ485" s="214" t="str">
        <f ca="1">IF($AE497*$AA485*'Customer Base'!$D$26*0.8&gt;5800,"",IF($AE497*$AA485&gt;$AA501,"",IF(($AA$485*CJ$482*$AE$497)&lt;=$AA$501,((MOD($AA$501,($AA$485*CJ$482*$AE$497)))),"")))</f>
        <v/>
      </c>
      <c r="CK485" s="214" t="str">
        <f ca="1">IF($AE497*$AA485*'Customer Base'!$D$26*0.8&gt;5800,"",IF($AE497*$AA485&gt;$AA501,"",IF(($AA$485*CK$482*$AE$497)&lt;=$AA$501,((MOD($AA$501,($AA$485*CK$482*$AE$497)))),"")))</f>
        <v/>
      </c>
      <c r="CL485" s="214" t="str">
        <f ca="1">IF($AE497*$AA485*'Customer Base'!$D$26*0.8&gt;5800,"",IF($AE497*$AA485&gt;$AA501,"",IF(($AA$485*CL$482*$AE$497)&lt;=$AA$501,((MOD($AA$501,($AA$485*CL$482*$AE$497)))),"")))</f>
        <v/>
      </c>
      <c r="CM485" s="214" t="str">
        <f ca="1">IF($AE497*$AA485*'Customer Base'!$D$26*0.8&gt;5800,"",IF($AE497*$AA485&gt;$AA501,"",IF(($AA$485*CM$482*$AE$497)&lt;=$AA$501,((MOD($AA$501,($AA$485*CM$482*$AE$497)))),"")))</f>
        <v/>
      </c>
      <c r="CN485" s="214" t="str">
        <f ca="1">IF($AE497*$AA485*'Customer Base'!$D$26*0.8&gt;5800,"",IF($AE497*$AA485&gt;$AA501,"",IF(($AA$485*CN$482*$AE$497)&lt;=$AA$501,((MOD($AA$501,($AA$485*CN$482*$AE$497)))),"")))</f>
        <v/>
      </c>
      <c r="CO485" s="214" t="str">
        <f ca="1">IF($AE497*$AA485*'Customer Base'!$D$26*0.8&gt;5800,"",IF($AE497*$AA485&gt;$AA501,"",IF(($AA$485*CO$482*$AE$497)&lt;=$AA$501,((MOD($AA$501,($AA$485*CO$482*$AE$497)))),"")))</f>
        <v/>
      </c>
      <c r="CP485" s="214" t="str">
        <f ca="1">IF($AE497*$AA485*'Customer Base'!$D$26*0.8&gt;5800,"",IF($AE497*$AA485&gt;$AA501,"",IF(($AA$485*CP$482*$AE$497)&lt;=$AA$501,((MOD($AA$501,($AA$485*CP$482*$AE$497)))),"")))</f>
        <v/>
      </c>
      <c r="CQ485" s="214" t="str">
        <f ca="1">IF($AE497*$AA485*'Customer Base'!$D$26*0.8&gt;5800,"",IF($AE497*$AA485&gt;$AA501,"",IF(($AA$485*CQ$482*$AE$497)&lt;=$AA$501,((MOD($AA$501,($AA$485*CQ$482*$AE$497)))),"")))</f>
        <v/>
      </c>
      <c r="CR485" s="214" t="str">
        <f ca="1">IF($AE497*$AA485*'Customer Base'!$D$26*0.8&gt;5800,"",IF($AE497*$AA485&gt;$AA501,"",IF(($AA$485*CR$482*$AE$497)&lt;=$AA$501,((MOD($AA$501,($AA$485*CR$482*$AE$497)))),"")))</f>
        <v/>
      </c>
      <c r="CS485" s="214" t="str">
        <f ca="1">IF($AE497*$AA485*'Customer Base'!$D$26*0.8&gt;5800,"",IF($AE497*$AA485&gt;$AA501,"",IF(($AA$485*CS$482*$AE$497)&lt;=$AA$501,((MOD($AA$501,($AA$485*CS$482*$AE$497)))),"")))</f>
        <v/>
      </c>
      <c r="CT485" s="214" t="str">
        <f ca="1">IF($AE497*$AA485*'Customer Base'!$D$26*0.8&gt;5800,"",IF($AE497*$AA485&gt;$AA501,"",IF(($AA$485*CT$482*$AE$497)&lt;=$AA$501,((MOD($AA$501,($AA$485*CT$482*$AE$497)))),"")))</f>
        <v/>
      </c>
      <c r="CU485" s="214" t="str">
        <f ca="1">IF($AE497*$AA485*'Customer Base'!$D$26*0.8&gt;5800,"",IF($AE497*$AA485&gt;$AA501,"",IF(($AA$485*CU$482*$AE$497)&lt;=$AA$501,((MOD($AA$501,($AA$485*CU$482*$AE$497)))),"")))</f>
        <v/>
      </c>
      <c r="CV485" s="214" t="str">
        <f ca="1">IF($AE497*$AA485*'Customer Base'!$D$26*0.8&gt;5800,"",IF($AE497*$AA485&gt;$AA501,"",IF(($AA$485*CV$482*$AE$497)&lt;=$AA$501,((MOD($AA$501,($AA$485*CV$482*$AE$497)))),"")))</f>
        <v/>
      </c>
      <c r="CW485" s="214" t="str">
        <f ca="1">IF($AE497*$AA485*'Customer Base'!$D$26*0.8&gt;5800,"",IF($AE497*$AA485&gt;$AA501,"",IF(($AA$485*CW$482*$AE$497)&lt;=$AA$501,((MOD($AA$501,($AA$485*CW$482*$AE$497)))),"")))</f>
        <v/>
      </c>
      <c r="CX485" s="214" t="str">
        <f ca="1">IF($AE497*$AA485*'Customer Base'!$D$26*0.8&gt;5800,"",IF($AE497*$AA485&gt;$AA501,"",IF(($AA$485*CX$482*$AE$497)&lt;=$AA$501,((MOD($AA$501,($AA$485*CX$482*$AE$497)))),"")))</f>
        <v/>
      </c>
      <c r="CY485" s="214" t="str">
        <f ca="1">IF($AE497*$AA485*'Customer Base'!$D$26*0.8&gt;5800,"",IF($AE497*$AA485&gt;$AA501,"",IF(($AA$485*CY$482*$AE$497)&lt;=$AA$501,((MOD($AA$501,($AA$485*CY$482*$AE$497)))),"")))</f>
        <v/>
      </c>
      <c r="CZ485" s="214" t="str">
        <f ca="1">IF($AE497*$AA485*'Customer Base'!$D$26*0.8&gt;5800,"",IF($AE497*$AA485&gt;$AA501,"",IF(($AA$485*CZ$482*$AE$497)&lt;=$AA$501,((MOD($AA$501,($AA$485*CZ$482*$AE$497)))),"")))</f>
        <v/>
      </c>
      <c r="DA485" s="214" t="str">
        <f ca="1">IF($AE497*$AA485*'Customer Base'!$D$26*0.8&gt;5800,"",IF($AE497*$AA485&gt;$AA501,"",IF(($AA$485*DA$482*$AE$497)&lt;=$AA$501,((MOD($AA$501,($AA$485*DA$482*$AE$497)))),"")))</f>
        <v/>
      </c>
      <c r="DB485" s="214" t="str">
        <f ca="1">IF($AE497*$AA485*'Customer Base'!$D$26*0.8&gt;5800,"",IF($AE497*$AA485&gt;$AA501,"",IF(($AA$485*DB$482*$AE$497)&lt;=$AA$501,((MOD($AA$501,($AA$485*DB$482*$AE$497)))),"")))</f>
        <v/>
      </c>
      <c r="DC485" s="214" t="str">
        <f ca="1">IF($AE497*$AA485*'Customer Base'!$D$26*0.8&gt;5800,"",IF($AE497*$AA485&gt;$AA501,"",IF(($AA$485*DC$482*$AE$497)&lt;=$AA$501,((MOD($AA$501,($AA$485*DC$482*$AE$497)))),"")))</f>
        <v/>
      </c>
      <c r="DD485" s="214" t="str">
        <f ca="1">IF($AE497*$AA485*'Customer Base'!$D$26*0.8&gt;5800,"",IF($AE497*$AA485&gt;$AA501,"",IF(($AA$485*DD$482*$AE$497)&lt;=$AA$501,((MOD($AA$501,($AA$485*DD$482*$AE$497)))),"")))</f>
        <v/>
      </c>
      <c r="DE485" s="214" t="str">
        <f ca="1">IF($AE497*$AA485*'Customer Base'!$D$26*0.8&gt;5800,"",IF($AE497*$AA485&gt;$AA501,"",IF(($AA$485*DE$482*$AE$497)&lt;=$AA$501,((MOD($AA$501,($AA$485*DE$482*$AE$497)))),"")))</f>
        <v/>
      </c>
      <c r="DF485" s="214" t="str">
        <f ca="1">IF($AE497*$AA485*'Customer Base'!$D$26*0.8&gt;5800,"",IF($AE497*$AA485&gt;$AA501,"",IF(($AA$485*DF$482*$AE$497)&lt;=$AA$501,((MOD($AA$501,($AA$485*DF$482*$AE$497)))),"")))</f>
        <v/>
      </c>
      <c r="DG485" s="214" t="str">
        <f ca="1">IF($AE497*$AA485*'Customer Base'!$D$26*0.8&gt;5800,"",IF($AE497*$AA485&gt;$AA501,"",IF(($AA$485*DG$482*$AE$497)&lt;=$AA$501,((MOD($AA$501,($AA$485*DG$482*$AE$497)))),"")))</f>
        <v/>
      </c>
      <c r="DH485" s="214" t="str">
        <f ca="1">IF($AE497*$AA485*'Customer Base'!$D$26*0.8&gt;5800,"",IF($AE497*$AA485&gt;$AA501,"",IF(($AA$485*DH$482*$AE$497)&lt;=$AA$501,((MOD($AA$501,($AA$485*DH$482*$AE$497)))),"")))</f>
        <v/>
      </c>
      <c r="DI485" s="214" t="str">
        <f ca="1">IF($AE497*$AA485*'Customer Base'!$D$26*0.8&gt;5800,"",IF($AE497*$AA485&gt;$AA501,"",IF(($AA$485*DI$482*$AE$497)&lt;=$AA$501,((MOD($AA$501,($AA$485*DI$482*$AE$497)))),"")))</f>
        <v/>
      </c>
      <c r="DJ485" s="214" t="str">
        <f ca="1">IF($AE497*$AA485*'Customer Base'!$D$26*0.8&gt;5800,"",IF($AE497*$AA485&gt;$AA501,"",IF(($AA$485*DJ$482*$AE$497)&lt;=$AA$501,((MOD($AA$501,($AA$485*DJ$482*$AE$497)))),"")))</f>
        <v/>
      </c>
      <c r="DK485" s="214" t="str">
        <f ca="1">IF($AE497*$AA485*'Customer Base'!$D$26*0.8&gt;5800,"",IF($AE497*$AA485&gt;$AA501,"",IF(($AA$485*DK$482*$AE$497)&lt;=$AA$501,((MOD($AA$501,($AA$485*DK$482*$AE$497)))),"")))</f>
        <v/>
      </c>
      <c r="DL485" s="214" t="str">
        <f ca="1">IF($AE497*$AA485*'Customer Base'!$D$26*0.8&gt;5800,"",IF($AE497*$AA485&gt;$AA501,"",IF(($AA$485*DL$482*$AE$497)&lt;=$AA$501,((MOD($AA$501,($AA$485*DL$482*$AE$497)))),"")))</f>
        <v/>
      </c>
      <c r="DM485" s="214" t="str">
        <f ca="1">IF($AE497*$AA485*'Customer Base'!$D$26*0.8&gt;5800,"",IF($AE497*$AA485&gt;$AA501,"",IF(($AA$485*DM$482*$AE$497)&lt;=$AA$501,((MOD($AA$501,($AA$485*DM$482*$AE$497)))),"")))</f>
        <v/>
      </c>
      <c r="DN485" s="214" t="str">
        <f ca="1">IF($AE497*$AA485*'Customer Base'!$D$26*0.8&gt;5800,"",IF($AE497*$AA485&gt;$AA501,"",IF(($AA$485*DN$482*$AE$497)&lt;=$AA$501,((MOD($AA$501,($AA$485*DN$482*$AE$497)))),"")))</f>
        <v/>
      </c>
      <c r="DO485" s="214" t="str">
        <f ca="1">IF($AE497*$AA485*'Customer Base'!$D$26*0.8&gt;5800,"",IF($AE497*$AA485&gt;$AA501,"",IF(($AA$485*DO$482*$AE$497)&lt;=$AA$501,((MOD($AA$501,($AA$485*DO$482*$AE$497)))),"")))</f>
        <v/>
      </c>
      <c r="DP485" s="214" t="str">
        <f ca="1">IF($AE497*$AA485*'Customer Base'!$D$26*0.8&gt;5800,"",IF($AE497*$AA485&gt;$AA501,"",IF(($AA$485*DP$482*$AE$497)&lt;=$AA$501,((MOD($AA$501,($AA$485*DP$482*$AE$497)))),"")))</f>
        <v/>
      </c>
      <c r="DQ485" s="214" t="str">
        <f ca="1">IF($AE497*$AA485*'Customer Base'!$D$26*0.8&gt;5800,"",IF($AE497*$AA485&gt;$AA501,"",IF(($AA$485*DQ$482*$AE$497)&lt;=$AA$501,((MOD($AA$501,($AA$485*DQ$482*$AE$497)))),"")))</f>
        <v/>
      </c>
      <c r="DR485" s="214" t="str">
        <f ca="1">IF($AE497*$AA485*'Customer Base'!$D$26*0.8&gt;5800,"",IF($AE497*$AA485&gt;$AA501,"",IF(($AA$485*DR$482*$AE$497)&lt;=$AA$501,((MOD($AA$501,($AA$485*DR$482*$AE$497)))),"")))</f>
        <v/>
      </c>
      <c r="DS485" s="214" t="str">
        <f ca="1">IF($AE497*$AA485*'Customer Base'!$D$26*0.8&gt;5800,"",IF($AE497*$AA485&gt;$AA501,"",IF(($AA$485*DS$482*$AE$497)&lt;=$AA$501,((MOD($AA$501,($AA$485*DS$482*$AE$497)))),"")))</f>
        <v/>
      </c>
      <c r="DT485" s="214" t="str">
        <f ca="1">IF($AE497*$AA485*'Customer Base'!$D$26*0.8&gt;5800,"",IF($AE497*$AA485&gt;$AA501,"",IF(($AA$485*DT$482*$AE$497)&lt;=$AA$501,((MOD($AA$501,($AA$485*DT$482*$AE$497)))),"")))</f>
        <v/>
      </c>
      <c r="DU485" s="214" t="str">
        <f ca="1">IF($AE497*$AA485*'Customer Base'!$D$26*0.8&gt;5800,"",IF($AE497*$AA485&gt;$AA501,"",IF(($AA$485*DU$482*$AE$497)&lt;=$AA$501,((MOD($AA$501,($AA$485*DU$482*$AE$497)))),"")))</f>
        <v/>
      </c>
      <c r="DV485" s="214" t="str">
        <f ca="1">IF($AE497*$AA485*'Customer Base'!$D$26*0.8&gt;5800,"",IF($AE497*$AA485&gt;$AA501,"",IF(($AA$485*DV$482*$AE$497)&lt;=$AA$501,((MOD($AA$501,($AA$485*DV$482*$AE$497)))),"")))</f>
        <v/>
      </c>
      <c r="DW485" s="214" t="str">
        <f ca="1">IF($AE497*$AA485*'Customer Base'!$D$26*0.8&gt;5800,"",IF($AE497*$AA485&gt;$AA501,"",IF(($AA$485*DW$482*$AE$497)&lt;=$AA$501,((MOD($AA$501,($AA$485*DW$482*$AE$497)))),"")))</f>
        <v/>
      </c>
      <c r="DX485" s="214" t="str">
        <f ca="1">IF($AE497*$AA485*'Customer Base'!$D$26*0.8&gt;5800,"",IF($AE497*$AA485&gt;$AA501,"",IF(($AA$485*DX$482*$AE$497)&lt;=$AA$501,((MOD($AA$501,($AA$485*DX$482*$AE$497)))),"")))</f>
        <v/>
      </c>
      <c r="DY485" s="214" t="str">
        <f ca="1">IF($AE497*$AA485*'Customer Base'!$D$26*0.8&gt;5800,"",IF($AE497*$AA485&gt;$AA501,"",IF(($AA$485*DY$482*$AE$497)&lt;=$AA$501,((MOD($AA$501,($AA$485*DY$482*$AE$497)))),"")))</f>
        <v/>
      </c>
      <c r="DZ485" s="214" t="str">
        <f ca="1">IF($AE497*$AA485*'Customer Base'!$D$26*0.8&gt;5800,"",IF($AE497*$AA485&gt;$AA501,"",IF(($AA$485*DZ$482*$AE$497)&lt;=$AA$501,((MOD($AA$501,($AA$485*DZ$482*$AE$497)))),"")))</f>
        <v/>
      </c>
      <c r="EA485" s="214" t="str">
        <f ca="1">IF($AE497*$AA485*'Customer Base'!$D$26*0.8&gt;5800,"",IF($AE497*$AA485&gt;$AA501,"",IF(($AA$485*EA$482*$AE$497)&lt;=$AA$501,((MOD($AA$501,($AA$485*EA$482*$AE$497)))),"")))</f>
        <v/>
      </c>
      <c r="EC485" s="214" cm="1">
        <f t="array" aca="1" ref="EC485" ca="1">IFERROR(LOOKUP(2,1/(AF485:EA485&lt;&gt;""),AF$482:EA$482),"")</f>
        <v>5</v>
      </c>
      <c r="ED485" s="316" t="str" cm="1">
        <f t="array" aca="1" ref="ED485" ca="1">IF(EC$474=EC485,LOOKUP(2,1/(AF485:EA485&lt;&gt;""),AF485:EA485),"")</f>
        <v/>
      </c>
      <c r="EE485" s="316" t="str">
        <f ca="1">IF(ED485=ED$474,1,"")</f>
        <v/>
      </c>
      <c r="EF485" s="316"/>
      <c r="EG485" s="316"/>
      <c r="EH485" s="316"/>
      <c r="EI485" s="214">
        <v>4</v>
      </c>
      <c r="EJ485" s="316" t="s">
        <v>2700</v>
      </c>
      <c r="EK485" s="214">
        <f>IFERROR(MOD(EL$495,EI485),"")</f>
        <v>0</v>
      </c>
      <c r="EL485" s="214" t="str">
        <f>IF(OR(EL489=1,EL489=""),"",IF(EK485=0,EI485,IF(AND(EK485&lt;&gt;0,EK484&lt;&gt;0,EK483&lt;&gt;0),EI485,IF(AND(EK485&lt;&gt;0,EK484&lt;&gt;0,EK483=0),EI485,""))))</f>
        <v/>
      </c>
      <c r="EM485" s="214" t="str">
        <f>IFERROR(ROUNDDOWN(EL$495/EL485,0),"")</f>
        <v/>
      </c>
      <c r="EN485" s="214" t="str">
        <f ca="1">IF($AE497*$AA485*'Customer Base'!$D$26*0.8&gt;5800,"",IF($AE497*$AA485&gt;$AA501,"",IF(($AA$485*EN$482*$AE$497)&lt;=$ED$474,((MOD($ED$474,($AA$485*EN$482*$AE$497)))),"")))</f>
        <v/>
      </c>
      <c r="EO485" s="214" t="str">
        <f ca="1">IF($AE497*$AA485*'Customer Base'!$D$26*0.8&gt;5800,"",IF($AE497*$AA485&gt;$AA501,"",IF(($AA$485*EO$482*$AE$497)&lt;=$ED$474,((MOD($ED$474,($AA$485*EO$482*$AE$497)))),"")))</f>
        <v/>
      </c>
      <c r="EP485" s="214" t="str">
        <f ca="1">IF($AE497*$AA485*'Customer Base'!$D$26*0.8&gt;5800,"",IF($AE497*$AA485&gt;$AA501,"",IF(($AA$485*EP$482*$AE$497)&lt;=$ED$474,((MOD($ED$474,($AA$485*EP$482*$AE$497)))),"")))</f>
        <v/>
      </c>
      <c r="EQ485" s="214" t="str">
        <f ca="1">IF($AE497*$AA485*'Customer Base'!$D$26*0.8&gt;5800,"",IF($AE497*$AA485&gt;$AA501,"",IF(($AA$485*EQ$482*$AE$497)&lt;=$ED$474,((MOD($ED$474,($AA$485*EQ$482*$AE$497)))),"")))</f>
        <v/>
      </c>
      <c r="ER485" s="214" t="str">
        <f ca="1">IF($AE497*$AA485*'Customer Base'!$D$26*0.8&gt;5800,"",IF($AE497*$AA485&gt;$AA501,"",IF(($AA$485*ER$482*$AE$497)&lt;=$ED$474,((MOD($ED$474,($AA$485*ER$482*$AE$497)))),"")))</f>
        <v/>
      </c>
      <c r="ES485" s="214" t="str">
        <f ca="1">IF($AE497*$AA485*'Customer Base'!$D$26*0.8&gt;5800,"",IF($AE497*$AA485&gt;$AA501,"",IF(($AA$485*ES$482*$AE$497)&lt;=$ED$474,((MOD($ED$474,($AA$485*ES$482*$AE$497)))),"")))</f>
        <v/>
      </c>
      <c r="ET485" s="214" t="str">
        <f ca="1">IF($AE497*$AA485*'Customer Base'!$D$26*0.8&gt;5800,"",IF($AE497*$AA485&gt;$AA501,"",IF(($AA$485*ET$482*$AE$497)&lt;=$ED$474,((MOD($ED$474,($AA$485*ET$482*$AE$497)))),"")))</f>
        <v/>
      </c>
      <c r="EU485" s="214" t="str">
        <f ca="1">IF($AE497*$AA485*'Customer Base'!$D$26*0.8&gt;5800,"",IF($AE497*$AA485&gt;$AA501,"",IF(($AA$485*EU$482*$AE$497)&lt;=$ED$474,((MOD($ED$474,($AA$485*EU$482*$AE$497)))),"")))</f>
        <v/>
      </c>
      <c r="EV485" s="214" t="str">
        <f ca="1">IF($AE497*$AA485*'Customer Base'!$D$26*0.8&gt;5800,"",IF($AE497*$AA485&gt;$AA501,"",IF(($AA$485*EV$482*$AE$497)&lt;=$ED$474,((MOD($ED$474,($AA$485*EV$482*$AE$497)))),"")))</f>
        <v/>
      </c>
      <c r="EW485" s="214" t="str">
        <f ca="1">IF($AE497*$AA485*'Customer Base'!$D$26*0.8&gt;5800,"",IF($AE497*$AA485&gt;$AA501,"",IF(($AA$485*EW$482*$AE$497)&lt;=$ED$474,((MOD($ED$474,($AA$485*EW$482*$AE$497)))),"")))</f>
        <v/>
      </c>
      <c r="EX485" s="214" t="str">
        <f ca="1">IF($AE497*$AA485*'Customer Base'!$D$26*0.8&gt;5800,"",IF($AE497*$AA485&gt;$AA501,"",IF(($AA$485*EX$482*$AE$497)&lt;=$ED$474,((MOD($ED$474,($AA$485*EX$482*$AE$497)))),"")))</f>
        <v/>
      </c>
      <c r="EY485" s="214" t="str">
        <f ca="1">IF($AE497*$AA485*'Customer Base'!$D$26*0.8&gt;5800,"",IF($AE497*$AA485&gt;$AA501,"",IF(($AA$485*EY$482*$AE$497)&lt;=$ED$474,((MOD($ED$474,($AA$485*EY$482*$AE$497)))),"")))</f>
        <v/>
      </c>
      <c r="EZ485" s="214" t="str">
        <f ca="1">IF($AE497*$AA485*'Customer Base'!$D$26*0.8&gt;5800,"",IF($AE497*$AA485&gt;$AA501,"",IF(($AA$485*EZ$482*$AE$497)&lt;=$ED$474,((MOD($ED$474,($AA$485*EZ$482*$AE$497)))),"")))</f>
        <v/>
      </c>
      <c r="FA485" s="214" t="str">
        <f ca="1">IF($AE497*$AA485*'Customer Base'!$D$26*0.8&gt;5800,"",IF($AE497*$AA485&gt;$AA501,"",IF(($AA$485*FA$482*$AE$497)&lt;=$ED$474,((MOD($ED$474,($AA$485*FA$482*$AE$497)))),"")))</f>
        <v/>
      </c>
      <c r="FB485" s="214" t="str">
        <f ca="1">IF($AE497*$AA485*'Customer Base'!$D$26*0.8&gt;5800,"",IF($AE497*$AA485&gt;$AA501,"",IF(($AA$485*FB$482*$AE$497)&lt;=$ED$474,((MOD($ED$474,($AA$485*FB$482*$AE$497)))),"")))</f>
        <v/>
      </c>
      <c r="FC485" s="214" t="str">
        <f ca="1">IF($AE497*$AA485*'Customer Base'!$D$26*0.8&gt;5800,"",IF($AE497*$AA485&gt;$AA501,"",IF(($AA$485*FC$482*$AE$497)&lt;=$ED$474,((MOD($ED$474,($AA$485*FC$482*$AE$497)))),"")))</f>
        <v/>
      </c>
      <c r="FD485" s="214" t="str">
        <f ca="1">IF($AE497*$AA485*'Customer Base'!$D$26*0.8&gt;5800,"",IF($AE497*$AA485&gt;$AA501,"",IF(($AA$485*FD$482*$AE$497)&lt;=$ED$474,((MOD($ED$474,($AA$485*FD$482*$AE$497)))),"")))</f>
        <v/>
      </c>
      <c r="FE485" s="214" t="str">
        <f ca="1">IF($AE497*$AA485*'Customer Base'!$D$26*0.8&gt;5800,"",IF($AE497*$AA485&gt;$AA501,"",IF(($AA$485*FE$482*$AE$497)&lt;=$ED$474,((MOD($ED$474,($AA$485*FE$482*$AE$497)))),"")))</f>
        <v/>
      </c>
      <c r="FF485" s="214" t="str">
        <f ca="1">IF($AE497*$AA485*'Customer Base'!$D$26*0.8&gt;5800,"",IF($AE497*$AA485&gt;$AA501,"",IF(($AA$485*FF$482*$AE$497)&lt;=$ED$474,((MOD($ED$474,($AA$485*FF$482*$AE$497)))),"")))</f>
        <v/>
      </c>
      <c r="FG485" s="214" t="str">
        <f ca="1">IF($AE497*$AA485*'Customer Base'!$D$26*0.8&gt;5800,"",IF($AE497*$AA485&gt;$AA501,"",IF(($AA$485*FG$482*$AE$497)&lt;=$ED$474,((MOD($ED$474,($AA$485*FG$482*$AE$497)))),"")))</f>
        <v/>
      </c>
      <c r="FH485" s="214" t="str">
        <f ca="1">IF($AE497*$AA485*'Customer Base'!$D$26*0.8&gt;5800,"",IF($AE497*$AA485&gt;$AA501,"",IF(($AA$485*FH$482*$AE$497)&lt;=$ED$474,((MOD($ED$474,($AA$485*FH$482*$AE$497)))),"")))</f>
        <v/>
      </c>
      <c r="FI485" s="214" t="str">
        <f ca="1">IF($AE497*$AA485*'Customer Base'!$D$26*0.8&gt;5800,"",IF($AE497*$AA485&gt;$AA501,"",IF(($AA$485*FI$482*$AE$497)&lt;=$ED$474,((MOD($ED$474,($AA$485*FI$482*$AE$497)))),"")))</f>
        <v/>
      </c>
      <c r="FJ485" s="214" t="str">
        <f ca="1">IF($AE497*$AA485*'Customer Base'!$D$26*0.8&gt;5800,"",IF($AE497*$AA485&gt;$AA501,"",IF(($AA$485*FJ$482*$AE$497)&lt;=$ED$474,((MOD($ED$474,($AA$485*FJ$482*$AE$497)))),"")))</f>
        <v/>
      </c>
      <c r="FK485" s="214" t="str">
        <f ca="1">IF($AE497*$AA485*'Customer Base'!$D$26*0.8&gt;5800,"",IF($AE497*$AA485&gt;$AA501,"",IF(($AA$485*FK$482*$AE$497)&lt;=$ED$474,((MOD($ED$474,($AA$485*FK$482*$AE$497)))),"")))</f>
        <v/>
      </c>
      <c r="FL485" s="214" t="str">
        <f ca="1">IF($AE497*$AA485*'Customer Base'!$D$26*0.8&gt;5800,"",IF($AE497*$AA485&gt;$AA501,"",IF(($AA$485*FL$482*$AE$497)&lt;=$ED$474,((MOD($ED$474,($AA$485*FL$482*$AE$497)))),"")))</f>
        <v/>
      </c>
      <c r="FM485" s="214" t="str">
        <f ca="1">IF($AE497*$AA485*'Customer Base'!$D$26*0.8&gt;5800,"",IF($AE497*$AA485&gt;$AA501,"",IF(($AA$485*FM$482*$AE$497)&lt;=$ED$474,((MOD($ED$474,($AA$485*FM$482*$AE$497)))),"")))</f>
        <v/>
      </c>
      <c r="FN485" s="214" t="str">
        <f ca="1">IF($AE497*$AA485*'Customer Base'!$D$26*0.8&gt;5800,"",IF($AE497*$AA485&gt;$AA501,"",IF(($AA$485*FN$482*$AE$497)&lt;=$ED$474,((MOD($ED$474,($AA$485*FN$482*$AE$497)))),"")))</f>
        <v/>
      </c>
      <c r="FO485" s="214" t="str">
        <f ca="1">IF($AE497*$AA485*'Customer Base'!$D$26*0.8&gt;5800,"",IF($AE497*$AA485&gt;$AA501,"",IF(($AA$485*FO$482*$AE$497)&lt;=$ED$474,((MOD($ED$474,($AA$485*FO$482*$AE$497)))),"")))</f>
        <v/>
      </c>
      <c r="FP485" s="214" t="str">
        <f ca="1">IF($AE497*$AA485*'Customer Base'!$D$26*0.8&gt;5800,"",IF($AE497*$AA485&gt;$AA501,"",IF(($AA$485*FP$482*$AE$497)&lt;=$ED$474,((MOD($ED$474,($AA$485*FP$482*$AE$497)))),"")))</f>
        <v/>
      </c>
      <c r="FQ485" s="214" t="str">
        <f ca="1">IF($AE497*$AA485*'Customer Base'!$D$26*0.8&gt;5800,"",IF($AE497*$AA485&gt;$AA501,"",IF(($AA$485*FQ$482*$AE$497)&lt;=$ED$474,((MOD($ED$474,($AA$485*FQ$482*$AE$497)))),"")))</f>
        <v/>
      </c>
      <c r="FR485" s="214" t="str">
        <f ca="1">IF($AE497*$AA485*'Customer Base'!$D$26*0.8&gt;5800,"",IF($AE497*$AA485&gt;$AA501,"",IF(($AA$485*FR$482*$AE$497)&lt;=$ED$474,((MOD($ED$474,($AA$485*FR$482*$AE$497)))),"")))</f>
        <v/>
      </c>
      <c r="FS485" s="214" t="str">
        <f ca="1">IF($AE497*$AA485*'Customer Base'!$D$26*0.8&gt;5800,"",IF($AE497*$AA485&gt;$AA501,"",IF(($AA$485*FS$482*$AE$497)&lt;=$ED$474,((MOD($ED$474,($AA$485*FS$482*$AE$497)))),"")))</f>
        <v/>
      </c>
      <c r="FT485" s="214" t="str">
        <f ca="1">IF($AE497*$AA485*'Customer Base'!$D$26*0.8&gt;5800,"",IF($AE497*$AA485&gt;$AA501,"",IF(($AA$485*FT$482*$AE$497)&lt;=$ED$474,((MOD($ED$474,($AA$485*FT$482*$AE$497)))),"")))</f>
        <v/>
      </c>
      <c r="FU485" s="214" t="str">
        <f ca="1">IF($AE497*$AA485*'Customer Base'!$D$26*0.8&gt;5800,"",IF($AE497*$AA485&gt;$AA501,"",IF(($AA$485*FU$482*$AE$497)&lt;=$ED$474,((MOD($ED$474,($AA$485*FU$482*$AE$497)))),"")))</f>
        <v/>
      </c>
      <c r="FV485" s="214" t="str">
        <f ca="1">IF($AE497*$AA485*'Customer Base'!$D$26*0.8&gt;5800,"",IF($AE497*$AA485&gt;$AA501,"",IF(($AA$485*FV$482*$AE$497)&lt;=$ED$474,((MOD($ED$474,($AA$485*FV$482*$AE$497)))),"")))</f>
        <v/>
      </c>
      <c r="FW485" s="214" t="str">
        <f ca="1">IF($AE497*$AA485*'Customer Base'!$D$26*0.8&gt;5800,"",IF($AE497*$AA485&gt;$AA501,"",IF(($AA$485*FW$482*$AE$497)&lt;=$ED$474,((MOD($ED$474,($AA$485*FW$482*$AE$497)))),"")))</f>
        <v/>
      </c>
      <c r="FX485" s="214" t="str">
        <f ca="1">IF($AE497*$AA485*'Customer Base'!$D$26*0.8&gt;5800,"",IF($AE497*$AA485&gt;$AA501,"",IF(($AA$485*FX$482*$AE$497)&lt;=$ED$474,((MOD($ED$474,($AA$485*FX$482*$AE$497)))),"")))</f>
        <v/>
      </c>
      <c r="FY485" s="214" t="str">
        <f ca="1">IF($AE497*$AA485*'Customer Base'!$D$26*0.8&gt;5800,"",IF($AE497*$AA485&gt;$AA501,"",IF(($AA$485*FY$482*$AE$497)&lt;=$ED$474,((MOD($ED$474,($AA$485*FY$482*$AE$497)))),"")))</f>
        <v/>
      </c>
      <c r="FZ485" s="214" t="str">
        <f ca="1">IF($AE497*$AA485*'Customer Base'!$D$26*0.8&gt;5800,"",IF($AE497*$AA485&gt;$AA501,"",IF(($AA$485*FZ$482*$AE$497)&lt;=$ED$474,((MOD($ED$474,($AA$485*FZ$482*$AE$497)))),"")))</f>
        <v/>
      </c>
      <c r="GA485" s="214" t="str">
        <f ca="1">IF($AE497*$AA485*'Customer Base'!$D$26*0.8&gt;5800,"",IF($AE497*$AA485&gt;$AA501,"",IF(($AA$485*GA$482*$AE$497)&lt;=$ED$474,((MOD($ED$474,($AA$485*GA$482*$AE$497)))),"")))</f>
        <v/>
      </c>
      <c r="GB485" s="214" t="str">
        <f ca="1">IF($AE497*$AA485*'Customer Base'!$D$26*0.8&gt;5800,"",IF($AE497*$AA485&gt;$AA501,"",IF(($AA$485*GB$482*$AE$497)&lt;=$ED$474,((MOD($ED$474,($AA$485*GB$482*$AE$497)))),"")))</f>
        <v/>
      </c>
      <c r="GC485" s="214" t="str">
        <f ca="1">IF($AE497*$AA485*'Customer Base'!$D$26*0.8&gt;5800,"",IF($AE497*$AA485&gt;$AA501,"",IF(($AA$485*GC$482*$AE$497)&lt;=$ED$474,((MOD($ED$474,($AA$485*GC$482*$AE$497)))),"")))</f>
        <v/>
      </c>
      <c r="GD485" s="214" t="str">
        <f ca="1">IF($AE497*$AA485*'Customer Base'!$D$26*0.8&gt;5800,"",IF($AE497*$AA485&gt;$AA501,"",IF(($AA$485*GD$482*$AE$497)&lt;=$ED$474,((MOD($ED$474,($AA$485*GD$482*$AE$497)))),"")))</f>
        <v/>
      </c>
      <c r="GE485" s="214" t="str">
        <f ca="1">IF($AE497*$AA485*'Customer Base'!$D$26*0.8&gt;5800,"",IF($AE497*$AA485&gt;$AA501,"",IF(($AA$485*GE$482*$AE$497)&lt;=$ED$474,((MOD($ED$474,($AA$485*GE$482*$AE$497)))),"")))</f>
        <v/>
      </c>
      <c r="GF485" s="214" t="str">
        <f ca="1">IF($AE497*$AA485*'Customer Base'!$D$26*0.8&gt;5800,"",IF($AE497*$AA485&gt;$AA501,"",IF(($AA$485*GF$482*$AE$497)&lt;=$ED$474,((MOD($ED$474,($AA$485*GF$482*$AE$497)))),"")))</f>
        <v/>
      </c>
      <c r="GG485" s="214" t="str">
        <f ca="1">IF($AE497*$AA485*'Customer Base'!$D$26*0.8&gt;5800,"",IF($AE497*$AA485&gt;$AA501,"",IF(($AA$485*GG$482*$AE$497)&lt;=$ED$474,((MOD($ED$474,($AA$485*GG$482*$AE$497)))),"")))</f>
        <v/>
      </c>
      <c r="GH485" s="214" t="str">
        <f ca="1">IF($AE497*$AA485*'Customer Base'!$D$26*0.8&gt;5800,"",IF($AE497*$AA485&gt;$AA501,"",IF(($AA$485*GH$482*$AE$497)&lt;=$ED$474,((MOD($ED$474,($AA$485*GH$482*$AE$497)))),"")))</f>
        <v/>
      </c>
      <c r="GI485" s="214" t="str">
        <f ca="1">IF($AE497*$AA485*'Customer Base'!$D$26*0.8&gt;5800,"",IF($AE497*$AA485&gt;$AA501,"",IF(($AA$485*GI$482*$AE$497)&lt;=$ED$474,((MOD($ED$474,($AA$485*GI$482*$AE$497)))),"")))</f>
        <v/>
      </c>
      <c r="GJ485" s="214" t="str">
        <f ca="1">IF($AE497*$AA485*'Customer Base'!$D$26*0.8&gt;5800,"",IF($AE497*$AA485&gt;$AA501,"",IF(($AA$485*GJ$482*$AE$497)&lt;=$ED$474,((MOD($ED$474,($AA$485*GJ$482*$AE$497)))),"")))</f>
        <v/>
      </c>
      <c r="GK485" s="214" t="str">
        <f ca="1">IF($AE497*$AA485*'Customer Base'!$D$26*0.8&gt;5800,"",IF($AE497*$AA485&gt;$AA501,"",IF(($AA$485*GK$482*$AE$497)&lt;=$ED$474,((MOD($ED$474,($AA$485*GK$482*$AE$497)))),"")))</f>
        <v/>
      </c>
      <c r="GL485" s="214" t="str">
        <f ca="1">IF($AE497*$AA485*'Customer Base'!$D$26*0.8&gt;5800,"",IF($AE497*$AA485&gt;$AA501,"",IF(($AA$485*GL$482*$AE$497)&lt;=$ED$474,((MOD($ED$474,($AA$485*GL$482*$AE$497)))),"")))</f>
        <v/>
      </c>
      <c r="GM485" s="214" t="str">
        <f ca="1">IF($AE497*$AA485*'Customer Base'!$D$26*0.8&gt;5800,"",IF($AE497*$AA485&gt;$AA501,"",IF(($AA$485*GM$482*$AE$497)&lt;=$ED$474,((MOD($ED$474,($AA$485*GM$482*$AE$497)))),"")))</f>
        <v/>
      </c>
      <c r="GN485" s="214" t="str">
        <f ca="1">IF($AE497*$AA485*'Customer Base'!$D$26*0.8&gt;5800,"",IF($AE497*$AA485&gt;$AA501,"",IF(($AA$485*GN$482*$AE$497)&lt;=$ED$474,((MOD($ED$474,($AA$485*GN$482*$AE$497)))),"")))</f>
        <v/>
      </c>
      <c r="GO485" s="214" t="str">
        <f ca="1">IF($AE497*$AA485*'Customer Base'!$D$26*0.8&gt;5800,"",IF($AE497*$AA485&gt;$AA501,"",IF(($AA$485*GO$482*$AE$497)&lt;=$ED$474,((MOD($ED$474,($AA$485*GO$482*$AE$497)))),"")))</f>
        <v/>
      </c>
      <c r="GP485" s="214" t="str">
        <f ca="1">IF($AE497*$AA485*'Customer Base'!$D$26*0.8&gt;5800,"",IF($AE497*$AA485&gt;$AA501,"",IF(($AA$485*GP$482*$AE$497)&lt;=$ED$474,((MOD($ED$474,($AA$485*GP$482*$AE$497)))),"")))</f>
        <v/>
      </c>
      <c r="GQ485" s="214" t="str">
        <f ca="1">IF($AE497*$AA485*'Customer Base'!$D$26*0.8&gt;5800,"",IF($AE497*$AA485&gt;$AA501,"",IF(($AA$485*GQ$482*$AE$497)&lt;=$ED$474,((MOD($ED$474,($AA$485*GQ$482*$AE$497)))),"")))</f>
        <v/>
      </c>
      <c r="GR485" s="214" t="str">
        <f ca="1">IF($AE497*$AA485*'Customer Base'!$D$26*0.8&gt;5800,"",IF($AE497*$AA485&gt;$AA501,"",IF(($AA$485*GR$482*$AE$497)&lt;=$ED$474,((MOD($ED$474,($AA$485*GR$482*$AE$497)))),"")))</f>
        <v/>
      </c>
      <c r="GS485" s="214" t="str">
        <f ca="1">IF($AE497*$AA485*'Customer Base'!$D$26*0.8&gt;5800,"",IF($AE497*$AA485&gt;$AA501,"",IF(($AA$485*GS$482*$AE$497)&lt;=$ED$474,((MOD($ED$474,($AA$485*GS$482*$AE$497)))),"")))</f>
        <v/>
      </c>
      <c r="GT485" s="214" t="str">
        <f ca="1">IF($AE497*$AA485*'Customer Base'!$D$26*0.8&gt;5800,"",IF($AE497*$AA485&gt;$AA501,"",IF(($AA$485*GT$482*$AE$497)&lt;=$ED$474,((MOD($ED$474,($AA$485*GT$482*$AE$497)))),"")))</f>
        <v/>
      </c>
      <c r="GU485" s="214" t="str">
        <f ca="1">IF($AE497*$AA485*'Customer Base'!$D$26*0.8&gt;5800,"",IF($AE497*$AA485&gt;$AA501,"",IF(($AA$485*GU$482*$AE$497)&lt;=$ED$474,((MOD($ED$474,($AA$485*GU$482*$AE$497)))),"")))</f>
        <v/>
      </c>
      <c r="GV485" s="214" t="str">
        <f ca="1">IF($AE497*$AA485*'Customer Base'!$D$26*0.8&gt;5800,"",IF($AE497*$AA485&gt;$AA501,"",IF(($AA$485*GV$482*$AE$497)&lt;=$ED$474,((MOD($ED$474,($AA$485*GV$482*$AE$497)))),"")))</f>
        <v/>
      </c>
      <c r="GW485" s="214" t="str">
        <f ca="1">IF($AE497*$AA485*'Customer Base'!$D$26*0.8&gt;5800,"",IF($AE497*$AA485&gt;$AA501,"",IF(($AA$485*GW$482*$AE$497)&lt;=$ED$474,((MOD($ED$474,($AA$485*GW$482*$AE$497)))),"")))</f>
        <v/>
      </c>
      <c r="GX485" s="214" t="str">
        <f ca="1">IF($AE497*$AA485*'Customer Base'!$D$26*0.8&gt;5800,"",IF($AE497*$AA485&gt;$AA501,"",IF(($AA$485*GX$482*$AE$497)&lt;=$ED$474,((MOD($ED$474,($AA$485*GX$482*$AE$497)))),"")))</f>
        <v/>
      </c>
      <c r="GY485" s="214" t="str">
        <f ca="1">IF($AE497*$AA485*'Customer Base'!$D$26*0.8&gt;5800,"",IF($AE497*$AA485&gt;$AA501,"",IF(($AA$485*GY$482*$AE$497)&lt;=$ED$474,((MOD($ED$474,($AA$485*GY$482*$AE$497)))),"")))</f>
        <v/>
      </c>
      <c r="GZ485" s="214" t="str">
        <f ca="1">IF($AE497*$AA485*'Customer Base'!$D$26*0.8&gt;5800,"",IF($AE497*$AA485&gt;$AA501,"",IF(($AA$485*GZ$482*$AE$497)&lt;=$ED$474,((MOD($ED$474,($AA$485*GZ$482*$AE$497)))),"")))</f>
        <v/>
      </c>
      <c r="HA485" s="214" t="str">
        <f ca="1">IF($AE497*$AA485*'Customer Base'!$D$26*0.8&gt;5800,"",IF($AE497*$AA485&gt;$AA501,"",IF(($AA$485*HA$482*$AE$497)&lt;=$ED$474,((MOD($ED$474,($AA$485*HA$482*$AE$497)))),"")))</f>
        <v/>
      </c>
      <c r="HB485" s="214" t="str">
        <f ca="1">IF($AE497*$AA485*'Customer Base'!$D$26*0.8&gt;5800,"",IF($AE497*$AA485&gt;$AA501,"",IF(($AA$485*HB$482*$AE$497)&lt;=$ED$474,((MOD($ED$474,($AA$485*HB$482*$AE$497)))),"")))</f>
        <v/>
      </c>
      <c r="HC485" s="214" t="str">
        <f ca="1">IF($AE497*$AA485*'Customer Base'!$D$26*0.8&gt;5800,"",IF($AE497*$AA485&gt;$AA501,"",IF(($AA$485*HC$482*$AE$497)&lt;=$ED$474,((MOD($ED$474,($AA$485*HC$482*$AE$497)))),"")))</f>
        <v/>
      </c>
      <c r="HD485" s="214" t="str">
        <f ca="1">IF($AE497*$AA485*'Customer Base'!$D$26*0.8&gt;5800,"",IF($AE497*$AA485&gt;$AA501,"",IF(($AA$485*HD$482*$AE$497)&lt;=$ED$474,((MOD($ED$474,($AA$485*HD$482*$AE$497)))),"")))</f>
        <v/>
      </c>
      <c r="HE485" s="214" t="str">
        <f ca="1">IF($AE497*$AA485*'Customer Base'!$D$26*0.8&gt;5800,"",IF($AE497*$AA485&gt;$AA501,"",IF(($AA$485*HE$482*$AE$497)&lt;=$ED$474,((MOD($ED$474,($AA$485*HE$482*$AE$497)))),"")))</f>
        <v/>
      </c>
      <c r="HF485" s="214" t="str">
        <f ca="1">IF($AE497*$AA485*'Customer Base'!$D$26*0.8&gt;5800,"",IF($AE497*$AA485&gt;$AA501,"",IF(($AA$485*HF$482*$AE$497)&lt;=$ED$474,((MOD($ED$474,($AA$485*HF$482*$AE$497)))),"")))</f>
        <v/>
      </c>
      <c r="HG485" s="214" t="str">
        <f ca="1">IF($AE497*$AA485*'Customer Base'!$D$26*0.8&gt;5800,"",IF($AE497*$AA485&gt;$AA501,"",IF(($AA$485*HG$482*$AE$497)&lt;=$ED$474,((MOD($ED$474,($AA$485*HG$482*$AE$497)))),"")))</f>
        <v/>
      </c>
      <c r="HH485" s="214" t="str">
        <f ca="1">IF($AE497*$AA485*'Customer Base'!$D$26*0.8&gt;5800,"",IF($AE497*$AA485&gt;$AA501,"",IF(($AA$485*HH$482*$AE$497)&lt;=$ED$474,((MOD($ED$474,($AA$485*HH$482*$AE$497)))),"")))</f>
        <v/>
      </c>
      <c r="HI485" s="214" t="str">
        <f ca="1">IF($AE497*$AA485*'Customer Base'!$D$26*0.8&gt;5800,"",IF($AE497*$AA485&gt;$AA501,"",IF(($AA$485*HI$482*$AE$497)&lt;=$ED$474,((MOD($ED$474,($AA$485*HI$482*$AE$497)))),"")))</f>
        <v/>
      </c>
      <c r="HJ485" s="214" t="str">
        <f ca="1">IF($AE497*$AA485*'Customer Base'!$D$26*0.8&gt;5800,"",IF($AE497*$AA485&gt;$AA501,"",IF(($AA$485*HJ$482*$AE$497)&lt;=$ED$474,((MOD($ED$474,($AA$485*HJ$482*$AE$497)))),"")))</f>
        <v/>
      </c>
      <c r="HK485" s="214" t="str">
        <f ca="1">IF($AE497*$AA485*'Customer Base'!$D$26*0.8&gt;5800,"",IF($AE497*$AA485&gt;$AA501,"",IF(($AA$485*HK$482*$AE$497)&lt;=$ED$474,((MOD($ED$474,($AA$485*HK$482*$AE$497)))),"")))</f>
        <v/>
      </c>
      <c r="HL485" s="214" t="str">
        <f ca="1">IF($AE497*$AA485*'Customer Base'!$D$26*0.8&gt;5800,"",IF($AE497*$AA485&gt;$AA501,"",IF(($AA$485*HL$482*$AE$497)&lt;=$ED$474,((MOD($ED$474,($AA$485*HL$482*$AE$497)))),"")))</f>
        <v/>
      </c>
      <c r="HM485" s="214" t="str">
        <f ca="1">IF($AE497*$AA485*'Customer Base'!$D$26*0.8&gt;5800,"",IF($AE497*$AA485&gt;$AA501,"",IF(($AA$485*HM$482*$AE$497)&lt;=$ED$474,((MOD($ED$474,($AA$485*HM$482*$AE$497)))),"")))</f>
        <v/>
      </c>
      <c r="HN485" s="214" t="str">
        <f ca="1">IF($AE497*$AA485*'Customer Base'!$D$26*0.8&gt;5800,"",IF($AE497*$AA485&gt;$AA501,"",IF(($AA$485*HN$482*$AE$497)&lt;=$ED$474,((MOD($ED$474,($AA$485*HN$482*$AE$497)))),"")))</f>
        <v/>
      </c>
      <c r="HO485" s="214" t="str">
        <f ca="1">IF($AE497*$AA485*'Customer Base'!$D$26*0.8&gt;5800,"",IF($AE497*$AA485&gt;$AA501,"",IF(($AA$485*HO$482*$AE$497)&lt;=$ED$474,((MOD($ED$474,($AA$485*HO$482*$AE$497)))),"")))</f>
        <v/>
      </c>
      <c r="HP485" s="214" t="str">
        <f ca="1">IF($AE497*$AA485*'Customer Base'!$D$26*0.8&gt;5800,"",IF($AE497*$AA485&gt;$AA501,"",IF(($AA$485*HP$482*$AE$497)&lt;=$ED$474,((MOD($ED$474,($AA$485*HP$482*$AE$497)))),"")))</f>
        <v/>
      </c>
      <c r="HQ485" s="214" t="str">
        <f ca="1">IF($AE497*$AA485*'Customer Base'!$D$26*0.8&gt;5800,"",IF($AE497*$AA485&gt;$AA501,"",IF(($AA$485*HQ$482*$AE$497)&lt;=$ED$474,((MOD($ED$474,($AA$485*HQ$482*$AE$497)))),"")))</f>
        <v/>
      </c>
      <c r="HR485" s="214" t="str">
        <f ca="1">IF($AE497*$AA485*'Customer Base'!$D$26*0.8&gt;5800,"",IF($AE497*$AA485&gt;$AA501,"",IF(($AA$485*HR$482*$AE$497)&lt;=$ED$474,((MOD($ED$474,($AA$485*HR$482*$AE$497)))),"")))</f>
        <v/>
      </c>
      <c r="HS485" s="214" t="str">
        <f ca="1">IF($AE497*$AA485*'Customer Base'!$D$26*0.8&gt;5800,"",IF($AE497*$AA485&gt;$AA501,"",IF(($AA$485*HS$482*$AE$497)&lt;=$ED$474,((MOD($ED$474,($AA$485*HS$482*$AE$497)))),"")))</f>
        <v/>
      </c>
      <c r="HT485" s="214" t="str">
        <f ca="1">IF($AE497*$AA485*'Customer Base'!$D$26*0.8&gt;5800,"",IF($AE497*$AA485&gt;$AA501,"",IF(($AA$485*HT$482*$AE$497)&lt;=$ED$474,((MOD($ED$474,($AA$485*HT$482*$AE$497)))),"")))</f>
        <v/>
      </c>
      <c r="HU485" s="214" t="str">
        <f ca="1">IF($AE497*$AA485*'Customer Base'!$D$26*0.8&gt;5800,"",IF($AE497*$AA485&gt;$AA501,"",IF(($AA$485*HU$482*$AE$497)&lt;=$ED$474,((MOD($ED$474,($AA$485*HU$482*$AE$497)))),"")))</f>
        <v/>
      </c>
      <c r="HV485" s="214" t="str">
        <f ca="1">IF($AE497*$AA485*'Customer Base'!$D$26*0.8&gt;5800,"",IF($AE497*$AA485&gt;$AA501,"",IF(($AA$485*HV$482*$AE$497)&lt;=$ED$474,((MOD($ED$474,($AA$485*HV$482*$AE$497)))),"")))</f>
        <v/>
      </c>
      <c r="HW485" s="214" t="str">
        <f ca="1">IF($AE497*$AA485*'Customer Base'!$D$26*0.8&gt;5800,"",IF($AE497*$AA485&gt;$AA501,"",IF(($AA$485*HW$482*$AE$497)&lt;=$ED$474,((MOD($ED$474,($AA$485*HW$482*$AE$497)))),"")))</f>
        <v/>
      </c>
      <c r="HX485" s="214" t="str">
        <f ca="1">IF($AE497*$AA485*'Customer Base'!$D$26*0.8&gt;5800,"",IF($AE497*$AA485&gt;$AA501,"",IF(($AA$485*HX$482*$AE$497)&lt;=$ED$474,((MOD($ED$474,($AA$485*HX$482*$AE$497)))),"")))</f>
        <v/>
      </c>
      <c r="HY485" s="214" t="str">
        <f ca="1">IF($AE497*$AA485*'Customer Base'!$D$26*0.8&gt;5800,"",IF($AE497*$AA485&gt;$AA501,"",IF(($AA$485*HY$482*$AE$497)&lt;=$ED$474,((MOD($ED$474,($AA$485*HY$482*$AE$497)))),"")))</f>
        <v/>
      </c>
      <c r="HZ485" s="214" t="str">
        <f ca="1">IF($AE497*$AA485*'Customer Base'!$D$26*0.8&gt;5800,"",IF($AE497*$AA485&gt;$AA501,"",IF(($AA$485*HZ$482*$AE$497)&lt;=$ED$474,((MOD($ED$474,($AA$485*HZ$482*$AE$497)))),"")))</f>
        <v/>
      </c>
      <c r="IA485" s="214" t="str">
        <f ca="1">IF($AE497*$AA485*'Customer Base'!$D$26*0.8&gt;5800,"",IF($AE497*$AA485&gt;$AA501,"",IF(($AA$485*IA$482*$AE$497)&lt;=$ED$474,((MOD($ED$474,($AA$485*IA$482*$AE$497)))),"")))</f>
        <v/>
      </c>
      <c r="IB485" s="214" t="str">
        <f ca="1">IF($AE497*$AA485*'Customer Base'!$D$26*0.8&gt;5800,"",IF($AE497*$AA485&gt;$AA501,"",IF(($AA$485*IB$482*$AE$497)&lt;=$ED$474,((MOD($ED$474,($AA$485*IB$482*$AE$497)))),"")))</f>
        <v/>
      </c>
      <c r="IC485" s="214" t="str">
        <f ca="1">IF($AE497*$AA485*'Customer Base'!$D$26*0.8&gt;5800,"",IF($AE497*$AA485&gt;$AA501,"",IF(($AA$485*IC$482*$AE$497)&lt;=$ED$474,((MOD($ED$474,($AA$485*IC$482*$AE$497)))),"")))</f>
        <v/>
      </c>
      <c r="ID485" s="214" t="str">
        <f ca="1">IF($AE497*$AA485*'Customer Base'!$D$26*0.8&gt;5800,"",IF($AE497*$AA485&gt;$AA501,"",IF(($AA$485*ID$482*$AE$497)&lt;=$ED$474,((MOD($ED$474,($AA$485*ID$482*$AE$497)))),"")))</f>
        <v/>
      </c>
      <c r="IE485" s="214" t="str">
        <f ca="1">IF($AE497*$AA485*'Customer Base'!$D$26*0.8&gt;5800,"",IF($AE497*$AA485&gt;$AA501,"",IF(($AA$485*IE$482*$AE$497)&lt;=$ED$474,((MOD($ED$474,($AA$485*IE$482*$AE$497)))),"")))</f>
        <v/>
      </c>
      <c r="IF485" s="214" t="str">
        <f ca="1">IF($AE497*$AA485*'Customer Base'!$D$26*0.8&gt;5800,"",IF($AE497*$AA485&gt;$AA501,"",IF(($AA$485*IF$482*$AE$497)&lt;=$ED$474,((MOD($ED$474,($AA$485*IF$482*$AE$497)))),"")))</f>
        <v/>
      </c>
      <c r="IG485" s="214" t="str">
        <f ca="1">IF($AE497*$AA485*'Customer Base'!$D$26*0.8&gt;5800,"",IF($AE497*$AA485&gt;$AA501,"",IF(($AA$485*IG$482*$AE$497)&lt;=$ED$474,((MOD($ED$474,($AA$485*IG$482*$AE$497)))),"")))</f>
        <v/>
      </c>
      <c r="IH485" s="214" t="str">
        <f ca="1">IF($AE497*$AA485*'Customer Base'!$D$26*0.8&gt;5800,"",IF($AE497*$AA485&gt;$AA501,"",IF(($AA$485*IH$482*$AE$497)&lt;=$ED$474,((MOD($ED$474,($AA$485*IH$482*$AE$497)))),"")))</f>
        <v/>
      </c>
      <c r="II485" s="214" t="str">
        <f ca="1">IF($AE497*$AA485*'Customer Base'!$D$26*0.8&gt;5800,"",IF($AE497*$AA485&gt;$AA501,"",IF(($AA$485*II$482*$AE$497)&lt;=$ED$474,((MOD($ED$474,($AA$485*II$482*$AE$497)))),"")))</f>
        <v/>
      </c>
      <c r="IK485" s="214" t="str" cm="1">
        <f t="array" aca="1" ref="IK485" ca="1">IFERROR(LOOKUP(2,1/(EN485:II485&lt;&gt;""),EN$482:II$482),"")</f>
        <v/>
      </c>
      <c r="IL485" s="316" t="str" cm="1">
        <f t="array" aca="1" ref="IL485" ca="1">IF(IK$474=IK485,LOOKUP(2,1/(EN485:II485&lt;&gt;""),EN485:II485),"")</f>
        <v/>
      </c>
      <c r="IM485" s="316" t="str">
        <f ca="1">IF(IL485=IL$474,1,"")</f>
        <v/>
      </c>
      <c r="IN485" s="316"/>
    </row>
    <row r="486" spans="2:248" ht="17" customHeight="1">
      <c r="B486" s="211" t="s">
        <v>1350</v>
      </c>
      <c r="C486" s="212" t="s">
        <v>390</v>
      </c>
      <c r="D486" s="212" t="s">
        <v>955</v>
      </c>
      <c r="E486" s="215" t="s">
        <v>1351</v>
      </c>
      <c r="F486" s="107" t="str">
        <f t="shared" si="15"/>
        <v>E</v>
      </c>
      <c r="EE486" s="316"/>
      <c r="EF486" s="316"/>
      <c r="EG486" s="316"/>
      <c r="EH486" s="316"/>
      <c r="IM486" s="316"/>
      <c r="IN486" s="316"/>
    </row>
    <row r="487" spans="2:248" ht="17">
      <c r="B487" s="211" t="s">
        <v>1352</v>
      </c>
      <c r="C487" s="212" t="s">
        <v>52</v>
      </c>
      <c r="D487" s="212" t="s">
        <v>52</v>
      </c>
      <c r="E487" s="215" t="s">
        <v>1329</v>
      </c>
      <c r="F487" s="107" t="str">
        <f t="shared" si="15"/>
        <v>T-FH</v>
      </c>
      <c r="EE487" s="316"/>
      <c r="EF487" s="316"/>
      <c r="EG487" s="316"/>
      <c r="EH487" s="316"/>
      <c r="IM487" s="316"/>
      <c r="IN487" s="316"/>
    </row>
    <row r="488" spans="2:248" ht="17">
      <c r="B488" s="211" t="s">
        <v>1353</v>
      </c>
      <c r="C488" s="212" t="s">
        <v>52</v>
      </c>
      <c r="D488" s="212" t="s">
        <v>52</v>
      </c>
      <c r="E488" s="215" t="s">
        <v>1329</v>
      </c>
      <c r="F488" s="107" t="str">
        <f t="shared" si="15"/>
        <v>T-FH</v>
      </c>
      <c r="Z488" s="214" t="s">
        <v>2707</v>
      </c>
      <c r="AB488" s="214" t="s">
        <v>2702</v>
      </c>
      <c r="AC488" s="214" t="s">
        <v>2705</v>
      </c>
      <c r="AD488" s="214" t="s">
        <v>2701</v>
      </c>
      <c r="AE488" s="214" t="s">
        <v>800</v>
      </c>
      <c r="AF488" s="214">
        <v>1</v>
      </c>
      <c r="AG488" s="214">
        <v>2</v>
      </c>
      <c r="AH488" s="214">
        <v>3</v>
      </c>
      <c r="AI488" s="214">
        <v>4</v>
      </c>
      <c r="AJ488" s="214">
        <v>5</v>
      </c>
      <c r="AK488" s="214">
        <v>6</v>
      </c>
      <c r="AL488" s="214">
        <v>7</v>
      </c>
      <c r="AM488" s="214">
        <v>8</v>
      </c>
      <c r="AN488" s="214">
        <v>9</v>
      </c>
      <c r="AO488" s="214">
        <v>10</v>
      </c>
      <c r="AP488" s="214">
        <v>11</v>
      </c>
      <c r="AQ488" s="214">
        <v>12</v>
      </c>
      <c r="AR488" s="214">
        <v>13</v>
      </c>
      <c r="AS488" s="214">
        <v>14</v>
      </c>
      <c r="AT488" s="214">
        <v>15</v>
      </c>
      <c r="AU488" s="214">
        <v>16</v>
      </c>
      <c r="AV488" s="214">
        <v>17</v>
      </c>
      <c r="AW488" s="214">
        <v>18</v>
      </c>
      <c r="AX488" s="214">
        <v>19</v>
      </c>
      <c r="AY488" s="214">
        <v>20</v>
      </c>
      <c r="AZ488" s="214">
        <v>21</v>
      </c>
      <c r="BA488" s="214">
        <v>22</v>
      </c>
      <c r="BB488" s="214">
        <v>23</v>
      </c>
      <c r="BC488" s="214">
        <v>24</v>
      </c>
      <c r="BD488" s="214">
        <v>25</v>
      </c>
      <c r="BE488" s="214">
        <v>26</v>
      </c>
      <c r="BF488" s="214">
        <v>27</v>
      </c>
      <c r="BG488" s="214">
        <v>28</v>
      </c>
      <c r="BH488" s="214">
        <v>29</v>
      </c>
      <c r="BI488" s="214">
        <v>30</v>
      </c>
      <c r="BJ488" s="214">
        <v>31</v>
      </c>
      <c r="BK488" s="214">
        <v>32</v>
      </c>
      <c r="BL488" s="214">
        <v>33</v>
      </c>
      <c r="BM488" s="214">
        <v>34</v>
      </c>
      <c r="BN488" s="214">
        <v>35</v>
      </c>
      <c r="BO488" s="214">
        <v>36</v>
      </c>
      <c r="BP488" s="214">
        <v>37</v>
      </c>
      <c r="BQ488" s="214">
        <v>38</v>
      </c>
      <c r="BR488" s="214">
        <v>39</v>
      </c>
      <c r="BS488" s="214">
        <v>40</v>
      </c>
      <c r="BT488" s="214">
        <v>41</v>
      </c>
      <c r="BU488" s="214">
        <v>42</v>
      </c>
      <c r="BV488" s="214">
        <v>43</v>
      </c>
      <c r="BW488" s="214">
        <v>44</v>
      </c>
      <c r="BX488" s="214">
        <v>45</v>
      </c>
      <c r="BY488" s="214">
        <v>46</v>
      </c>
      <c r="BZ488" s="214">
        <v>47</v>
      </c>
      <c r="CA488" s="214">
        <v>48</v>
      </c>
      <c r="CB488" s="214">
        <v>49</v>
      </c>
      <c r="CC488" s="214">
        <v>50</v>
      </c>
      <c r="CD488" s="214">
        <v>51</v>
      </c>
      <c r="CE488" s="214">
        <v>52</v>
      </c>
      <c r="CF488" s="214">
        <v>53</v>
      </c>
      <c r="CG488" s="214">
        <v>54</v>
      </c>
      <c r="CH488" s="214">
        <v>55</v>
      </c>
      <c r="CI488" s="214">
        <v>56</v>
      </c>
      <c r="CJ488" s="214">
        <v>57</v>
      </c>
      <c r="CK488" s="214">
        <v>58</v>
      </c>
      <c r="CL488" s="214">
        <v>59</v>
      </c>
      <c r="CM488" s="214">
        <v>60</v>
      </c>
      <c r="CN488" s="214">
        <v>61</v>
      </c>
      <c r="CO488" s="214">
        <v>62</v>
      </c>
      <c r="CP488" s="214">
        <v>63</v>
      </c>
      <c r="CQ488" s="214">
        <v>64</v>
      </c>
      <c r="CR488" s="214">
        <v>65</v>
      </c>
      <c r="CS488" s="214">
        <v>66</v>
      </c>
      <c r="CT488" s="214">
        <v>67</v>
      </c>
      <c r="CU488" s="214">
        <v>68</v>
      </c>
      <c r="CV488" s="214">
        <v>69</v>
      </c>
      <c r="CW488" s="214">
        <v>70</v>
      </c>
      <c r="CX488" s="214">
        <v>71</v>
      </c>
      <c r="CY488" s="214">
        <v>72</v>
      </c>
      <c r="CZ488" s="214">
        <v>73</v>
      </c>
      <c r="DA488" s="214">
        <v>74</v>
      </c>
      <c r="DB488" s="214">
        <v>75</v>
      </c>
      <c r="DC488" s="214">
        <v>76</v>
      </c>
      <c r="DD488" s="214">
        <v>77</v>
      </c>
      <c r="DE488" s="214">
        <v>78</v>
      </c>
      <c r="DF488" s="214">
        <v>79</v>
      </c>
      <c r="DG488" s="214">
        <v>80</v>
      </c>
      <c r="DH488" s="214">
        <v>81</v>
      </c>
      <c r="DI488" s="214">
        <v>82</v>
      </c>
      <c r="DJ488" s="214">
        <v>83</v>
      </c>
      <c r="DK488" s="214">
        <v>84</v>
      </c>
      <c r="DL488" s="214">
        <v>85</v>
      </c>
      <c r="DM488" s="214">
        <v>86</v>
      </c>
      <c r="DN488" s="214">
        <v>87</v>
      </c>
      <c r="DO488" s="214">
        <v>88</v>
      </c>
      <c r="DP488" s="214">
        <v>89</v>
      </c>
      <c r="DQ488" s="214">
        <v>90</v>
      </c>
      <c r="DR488" s="214">
        <v>91</v>
      </c>
      <c r="DS488" s="214">
        <v>92</v>
      </c>
      <c r="DT488" s="214">
        <v>93</v>
      </c>
      <c r="DU488" s="214">
        <v>94</v>
      </c>
      <c r="DV488" s="214">
        <v>95</v>
      </c>
      <c r="DW488" s="214">
        <v>96</v>
      </c>
      <c r="DX488" s="214">
        <v>97</v>
      </c>
      <c r="DY488" s="214">
        <v>98</v>
      </c>
      <c r="DZ488" s="214">
        <v>99</v>
      </c>
      <c r="EA488" s="214">
        <v>100</v>
      </c>
      <c r="EE488" s="316"/>
      <c r="EF488" s="316"/>
      <c r="EG488" s="316"/>
      <c r="EH488" s="316"/>
      <c r="EJ488" s="214" t="s">
        <v>2702</v>
      </c>
      <c r="EK488" s="214" t="s">
        <v>2705</v>
      </c>
      <c r="EL488" s="214" t="s">
        <v>2701</v>
      </c>
      <c r="EM488" s="214" t="s">
        <v>800</v>
      </c>
      <c r="EN488" s="214">
        <v>1</v>
      </c>
      <c r="EO488" s="214">
        <v>2</v>
      </c>
      <c r="EP488" s="214">
        <v>3</v>
      </c>
      <c r="EQ488" s="214">
        <v>4</v>
      </c>
      <c r="ER488" s="214">
        <v>5</v>
      </c>
      <c r="ES488" s="214">
        <v>6</v>
      </c>
      <c r="ET488" s="214">
        <v>7</v>
      </c>
      <c r="EU488" s="214">
        <v>8</v>
      </c>
      <c r="EV488" s="214">
        <v>9</v>
      </c>
      <c r="EW488" s="214">
        <v>10</v>
      </c>
      <c r="EX488" s="214">
        <v>11</v>
      </c>
      <c r="EY488" s="214">
        <v>12</v>
      </c>
      <c r="EZ488" s="214">
        <v>13</v>
      </c>
      <c r="FA488" s="214">
        <v>14</v>
      </c>
      <c r="FB488" s="214">
        <v>15</v>
      </c>
      <c r="FC488" s="214">
        <v>16</v>
      </c>
      <c r="FD488" s="214">
        <v>17</v>
      </c>
      <c r="FE488" s="214">
        <v>18</v>
      </c>
      <c r="FF488" s="214">
        <v>19</v>
      </c>
      <c r="FG488" s="214">
        <v>20</v>
      </c>
      <c r="FH488" s="214">
        <v>21</v>
      </c>
      <c r="FI488" s="214">
        <v>22</v>
      </c>
      <c r="FJ488" s="214">
        <v>23</v>
      </c>
      <c r="FK488" s="214">
        <v>24</v>
      </c>
      <c r="FL488" s="214">
        <v>25</v>
      </c>
      <c r="FM488" s="214">
        <v>26</v>
      </c>
      <c r="FN488" s="214">
        <v>27</v>
      </c>
      <c r="FO488" s="214">
        <v>28</v>
      </c>
      <c r="FP488" s="214">
        <v>29</v>
      </c>
      <c r="FQ488" s="214">
        <v>30</v>
      </c>
      <c r="FR488" s="214">
        <v>31</v>
      </c>
      <c r="FS488" s="214">
        <v>32</v>
      </c>
      <c r="FT488" s="214">
        <v>33</v>
      </c>
      <c r="FU488" s="214">
        <v>34</v>
      </c>
      <c r="FV488" s="214">
        <v>35</v>
      </c>
      <c r="FW488" s="214">
        <v>36</v>
      </c>
      <c r="FX488" s="214">
        <v>37</v>
      </c>
      <c r="FY488" s="214">
        <v>38</v>
      </c>
      <c r="FZ488" s="214">
        <v>39</v>
      </c>
      <c r="GA488" s="214">
        <v>40</v>
      </c>
      <c r="GB488" s="214">
        <v>41</v>
      </c>
      <c r="GC488" s="214">
        <v>42</v>
      </c>
      <c r="GD488" s="214">
        <v>43</v>
      </c>
      <c r="GE488" s="214">
        <v>44</v>
      </c>
      <c r="GF488" s="214">
        <v>45</v>
      </c>
      <c r="GG488" s="214">
        <v>46</v>
      </c>
      <c r="GH488" s="214">
        <v>47</v>
      </c>
      <c r="GI488" s="214">
        <v>48</v>
      </c>
      <c r="GJ488" s="214">
        <v>49</v>
      </c>
      <c r="GK488" s="214">
        <v>50</v>
      </c>
      <c r="GL488" s="214">
        <v>51</v>
      </c>
      <c r="GM488" s="214">
        <v>52</v>
      </c>
      <c r="GN488" s="214">
        <v>53</v>
      </c>
      <c r="GO488" s="214">
        <v>54</v>
      </c>
      <c r="GP488" s="214">
        <v>55</v>
      </c>
      <c r="GQ488" s="214">
        <v>56</v>
      </c>
      <c r="GR488" s="214">
        <v>57</v>
      </c>
      <c r="GS488" s="214">
        <v>58</v>
      </c>
      <c r="GT488" s="214">
        <v>59</v>
      </c>
      <c r="GU488" s="214">
        <v>60</v>
      </c>
      <c r="GV488" s="214">
        <v>61</v>
      </c>
      <c r="GW488" s="214">
        <v>62</v>
      </c>
      <c r="GX488" s="214">
        <v>63</v>
      </c>
      <c r="GY488" s="214">
        <v>64</v>
      </c>
      <c r="GZ488" s="214">
        <v>65</v>
      </c>
      <c r="HA488" s="214">
        <v>66</v>
      </c>
      <c r="HB488" s="214">
        <v>67</v>
      </c>
      <c r="HC488" s="214">
        <v>68</v>
      </c>
      <c r="HD488" s="214">
        <v>69</v>
      </c>
      <c r="HE488" s="214">
        <v>70</v>
      </c>
      <c r="HF488" s="214">
        <v>71</v>
      </c>
      <c r="HG488" s="214">
        <v>72</v>
      </c>
      <c r="HH488" s="214">
        <v>73</v>
      </c>
      <c r="HI488" s="214">
        <v>74</v>
      </c>
      <c r="HJ488" s="214">
        <v>75</v>
      </c>
      <c r="HK488" s="214">
        <v>76</v>
      </c>
      <c r="HL488" s="214">
        <v>77</v>
      </c>
      <c r="HM488" s="214">
        <v>78</v>
      </c>
      <c r="HN488" s="214">
        <v>79</v>
      </c>
      <c r="HO488" s="214">
        <v>80</v>
      </c>
      <c r="HP488" s="214">
        <v>81</v>
      </c>
      <c r="HQ488" s="214">
        <v>82</v>
      </c>
      <c r="HR488" s="214">
        <v>83</v>
      </c>
      <c r="HS488" s="214">
        <v>84</v>
      </c>
      <c r="HT488" s="214">
        <v>85</v>
      </c>
      <c r="HU488" s="214">
        <v>86</v>
      </c>
      <c r="HV488" s="214">
        <v>87</v>
      </c>
      <c r="HW488" s="214">
        <v>88</v>
      </c>
      <c r="HX488" s="214">
        <v>89</v>
      </c>
      <c r="HY488" s="214">
        <v>90</v>
      </c>
      <c r="HZ488" s="214">
        <v>91</v>
      </c>
      <c r="IA488" s="214">
        <v>92</v>
      </c>
      <c r="IB488" s="214">
        <v>93</v>
      </c>
      <c r="IC488" s="214">
        <v>94</v>
      </c>
      <c r="ID488" s="214">
        <v>95</v>
      </c>
      <c r="IE488" s="214">
        <v>96</v>
      </c>
      <c r="IF488" s="214">
        <v>97</v>
      </c>
      <c r="IG488" s="214">
        <v>98</v>
      </c>
      <c r="IH488" s="214">
        <v>99</v>
      </c>
      <c r="II488" s="214">
        <v>100</v>
      </c>
      <c r="IM488" s="316"/>
      <c r="IN488" s="316"/>
    </row>
    <row r="489" spans="2:248" ht="17">
      <c r="B489" s="211" t="s">
        <v>1354</v>
      </c>
      <c r="C489" s="212" t="s">
        <v>52</v>
      </c>
      <c r="D489" s="212" t="s">
        <v>52</v>
      </c>
      <c r="E489" s="215" t="s">
        <v>1329</v>
      </c>
      <c r="F489" s="107" t="str">
        <f t="shared" si="15"/>
        <v>T-FH</v>
      </c>
      <c r="AA489" s="214">
        <v>2</v>
      </c>
      <c r="AB489" s="315" t="s">
        <v>2698</v>
      </c>
      <c r="AC489" s="214">
        <f ca="1">IFERROR(MOD(AD$493,AA489),"")</f>
        <v>0</v>
      </c>
      <c r="AD489" s="214">
        <f ca="1">IF(OR(AD493=1,AD493=""),"",IF(AND(AC491&lt;&gt;0,AC490&lt;&gt;0,AC489=0),IF(AC489=0,AA489,""),IF(AND(MAX(AC489:AC491)&lt;=AA489,SUMPRODUCT(AD490:AD491,AE490:AE491)&lt;&gt;AD493),AA489,"")))</f>
        <v>2</v>
      </c>
      <c r="AE489" s="214">
        <f ca="1">IFERROR(IF(AND(AD489&lt;&gt;"",OR(AD490&lt;&gt;"",AD491&lt;&gt;"")),1,(ROUNDDOWN(AD$493/AD489,0))),"")</f>
        <v>1</v>
      </c>
      <c r="AF489" s="214">
        <f ca="1">IF($AE498*$AA489*'Customer Base'!$D$26*0.8&gt;5800,"",IF($AE498*$AA489&gt;$AA501,"",IF(($AA$489*AF$488*$AE$498)&lt;=$AA$501,((MOD($AA$501,($AA$489*AF$488*$AE$498)))),"")))</f>
        <v>0</v>
      </c>
      <c r="AG489" s="214">
        <f ca="1">IF($AE498*$AA489*'Customer Base'!$D$26*0.8&gt;5800,"",IF($AE498*$AA489&gt;$AA501,"",IF(($AA$489*AG$488*$AE$498)&lt;=$AA$501,((MOD($AA$501,($AA$489*AG$488*$AE$498)))),"")))</f>
        <v>8</v>
      </c>
      <c r="AH489" s="214">
        <f ca="1">IF($AE498*$AA489*'Customer Base'!$D$26*0.8&gt;5800,"",IF($AE498*$AA489&gt;$AA501,"",IF(($AA$489*AH$488*$AE$498)&lt;=$AA$501,((MOD($AA$501,($AA$489*AH$488*$AE$498)))),"")))</f>
        <v>16</v>
      </c>
      <c r="AI489" s="214">
        <f ca="1">IF($AE498*$AA489*'Customer Base'!$D$26*0.8&gt;5800,"",IF($AE498*$AA489&gt;$AA501,"",IF(($AA$489*AI$488*$AE$498)&lt;=$AA$501,((MOD($AA$501,($AA$489*AI$488*$AE$498)))),"")))</f>
        <v>8</v>
      </c>
      <c r="AJ489" s="214">
        <f ca="1">IF($AE498*$AA489*'Customer Base'!$D$26*0.8&gt;5800,"",IF($AE498*$AA489&gt;$AA501,"",IF(($AA$489*AJ$488*$AE$498)&lt;=$AA$501,((MOD($AA$501,($AA$489*AJ$488*$AE$498)))),"")))</f>
        <v>0</v>
      </c>
      <c r="AK489" s="214" t="str">
        <f ca="1">IF($AE498*$AA489*'Customer Base'!$D$26*0.8&gt;5800,"",IF($AE498*$AA489&gt;$AA501,"",IF(($AA$489*AK$488*$AE$498)&lt;=$AA$501,((MOD($AA$501,($AA$489*AK$488*$AE$498)))),"")))</f>
        <v/>
      </c>
      <c r="AL489" s="214" t="str">
        <f ca="1">IF($AE498*$AA489*'Customer Base'!$D$26*0.8&gt;5800,"",IF($AE498*$AA489&gt;$AA501,"",IF(($AA$489*AL$488*$AE$498)&lt;=$AA$501,((MOD($AA$501,($AA$489*AL$488*$AE$498)))),"")))</f>
        <v/>
      </c>
      <c r="AM489" s="214" t="str">
        <f ca="1">IF($AE498*$AA489*'Customer Base'!$D$26*0.8&gt;5800,"",IF($AE498*$AA489&gt;$AA501,"",IF(($AA$489*AM$488*$AE$498)&lt;=$AA$501,((MOD($AA$501,($AA$489*AM$488*$AE$498)))),"")))</f>
        <v/>
      </c>
      <c r="AN489" s="214" t="str">
        <f ca="1">IF($AE498*$AA489*'Customer Base'!$D$26*0.8&gt;5800,"",IF($AE498*$AA489&gt;$AA501,"",IF(($AA$489*AN$488*$AE$498)&lt;=$AA$501,((MOD($AA$501,($AA$489*AN$488*$AE$498)))),"")))</f>
        <v/>
      </c>
      <c r="AO489" s="214" t="str">
        <f ca="1">IF($AE498*$AA489*'Customer Base'!$D$26*0.8&gt;5800,"",IF($AE498*$AA489&gt;$AA501,"",IF(($AA$489*AO$488*$AE$498)&lt;=$AA$501,((MOD($AA$501,($AA$489*AO$488*$AE$498)))),"")))</f>
        <v/>
      </c>
      <c r="AP489" s="214" t="str">
        <f ca="1">IF($AE498*$AA489*'Customer Base'!$D$26*0.8&gt;5800,"",IF($AE498*$AA489&gt;$AA501,"",IF(($AA$489*AP$488*$AE$498)&lt;=$AA$501,((MOD($AA$501,($AA$489*AP$488*$AE$498)))),"")))</f>
        <v/>
      </c>
      <c r="AQ489" s="214" t="str">
        <f ca="1">IF($AE498*$AA489*'Customer Base'!$D$26*0.8&gt;5800,"",IF($AE498*$AA489&gt;$AA501,"",IF(($AA$489*AQ$488*$AE$498)&lt;=$AA$501,((MOD($AA$501,($AA$489*AQ$488*$AE$498)))),"")))</f>
        <v/>
      </c>
      <c r="AR489" s="214" t="str">
        <f ca="1">IF($AE498*$AA489*'Customer Base'!$D$26*0.8&gt;5800,"",IF($AE498*$AA489&gt;$AA501,"",IF(($AA$489*AR$488*$AE$498)&lt;=$AA$501,((MOD($AA$501,($AA$489*AR$488*$AE$498)))),"")))</f>
        <v/>
      </c>
      <c r="AS489" s="214" t="str">
        <f ca="1">IF($AE498*$AA489*'Customer Base'!$D$26*0.8&gt;5800,"",IF($AE498*$AA489&gt;$AA501,"",IF(($AA$489*AS$488*$AE$498)&lt;=$AA$501,((MOD($AA$501,($AA$489*AS$488*$AE$498)))),"")))</f>
        <v/>
      </c>
      <c r="AT489" s="214" t="str">
        <f ca="1">IF($AE498*$AA489*'Customer Base'!$D$26*0.8&gt;5800,"",IF($AE498*$AA489&gt;$AA501,"",IF(($AA$489*AT$488*$AE$498)&lt;=$AA$501,((MOD($AA$501,($AA$489*AT$488*$AE$498)))),"")))</f>
        <v/>
      </c>
      <c r="AU489" s="214" t="str">
        <f ca="1">IF($AE498*$AA489*'Customer Base'!$D$26*0.8&gt;5800,"",IF($AE498*$AA489&gt;$AA501,"",IF(($AA$489*AU$488*$AE$498)&lt;=$AA$501,((MOD($AA$501,($AA$489*AU$488*$AE$498)))),"")))</f>
        <v/>
      </c>
      <c r="AV489" s="214" t="str">
        <f ca="1">IF($AE498*$AA489*'Customer Base'!$D$26*0.8&gt;5800,"",IF($AE498*$AA489&gt;$AA501,"",IF(($AA$489*AV$488*$AE$498)&lt;=$AA$501,((MOD($AA$501,($AA$489*AV$488*$AE$498)))),"")))</f>
        <v/>
      </c>
      <c r="AW489" s="214" t="str">
        <f ca="1">IF($AE498*$AA489*'Customer Base'!$D$26*0.8&gt;5800,"",IF($AE498*$AA489&gt;$AA501,"",IF(($AA$489*AW$488*$AE$498)&lt;=$AA$501,((MOD($AA$501,($AA$489*AW$488*$AE$498)))),"")))</f>
        <v/>
      </c>
      <c r="AX489" s="214" t="str">
        <f ca="1">IF($AE498*$AA489*'Customer Base'!$D$26*0.8&gt;5800,"",IF($AE498*$AA489&gt;$AA501,"",IF(($AA$489*AX$488*$AE$498)&lt;=$AA$501,((MOD($AA$501,($AA$489*AX$488*$AE$498)))),"")))</f>
        <v/>
      </c>
      <c r="AY489" s="214" t="str">
        <f ca="1">IF($AE498*$AA489*'Customer Base'!$D$26*0.8&gt;5800,"",IF($AE498*$AA489&gt;$AA501,"",IF(($AA$489*AY$488*$AE$498)&lt;=$AA$501,((MOD($AA$501,($AA$489*AY$488*$AE$498)))),"")))</f>
        <v/>
      </c>
      <c r="AZ489" s="214" t="str">
        <f ca="1">IF($AE498*$AA489*'Customer Base'!$D$26*0.8&gt;5800,"",IF($AE498*$AA489&gt;$AA501,"",IF(($AA$489*AZ$488*$AE$498)&lt;=$AA$501,((MOD($AA$501,($AA$489*AZ$488*$AE$498)))),"")))</f>
        <v/>
      </c>
      <c r="BA489" s="214" t="str">
        <f ca="1">IF($AE498*$AA489*'Customer Base'!$D$26*0.8&gt;5800,"",IF($AE498*$AA489&gt;$AA501,"",IF(($AA$489*BA$488*$AE$498)&lt;=$AA$501,((MOD($AA$501,($AA$489*BA$488*$AE$498)))),"")))</f>
        <v/>
      </c>
      <c r="BB489" s="214" t="str">
        <f ca="1">IF($AE498*$AA489*'Customer Base'!$D$26*0.8&gt;5800,"",IF($AE498*$AA489&gt;$AA501,"",IF(($AA$489*BB$488*$AE$498)&lt;=$AA$501,((MOD($AA$501,($AA$489*BB$488*$AE$498)))),"")))</f>
        <v/>
      </c>
      <c r="BC489" s="214" t="str">
        <f ca="1">IF($AE498*$AA489*'Customer Base'!$D$26*0.8&gt;5800,"",IF($AE498*$AA489&gt;$AA501,"",IF(($AA$489*BC$488*$AE$498)&lt;=$AA$501,((MOD($AA$501,($AA$489*BC$488*$AE$498)))),"")))</f>
        <v/>
      </c>
      <c r="BD489" s="214" t="str">
        <f ca="1">IF($AE498*$AA489*'Customer Base'!$D$26*0.8&gt;5800,"",IF($AE498*$AA489&gt;$AA501,"",IF(($AA$489*BD$488*$AE$498)&lt;=$AA$501,((MOD($AA$501,($AA$489*BD$488*$AE$498)))),"")))</f>
        <v/>
      </c>
      <c r="BE489" s="214" t="str">
        <f ca="1">IF($AE498*$AA489*'Customer Base'!$D$26*0.8&gt;5800,"",IF($AE498*$AA489&gt;$AA501,"",IF(($AA$489*BE$488*$AE$498)&lt;=$AA$501,((MOD($AA$501,($AA$489*BE$488*$AE$498)))),"")))</f>
        <v/>
      </c>
      <c r="BF489" s="214" t="str">
        <f ca="1">IF($AE498*$AA489*'Customer Base'!$D$26*0.8&gt;5800,"",IF($AE498*$AA489&gt;$AA501,"",IF(($AA$489*BF$488*$AE$498)&lt;=$AA$501,((MOD($AA$501,($AA$489*BF$488*$AE$498)))),"")))</f>
        <v/>
      </c>
      <c r="BG489" s="214" t="str">
        <f ca="1">IF($AE498*$AA489*'Customer Base'!$D$26*0.8&gt;5800,"",IF($AE498*$AA489&gt;$AA501,"",IF(($AA$489*BG$488*$AE$498)&lt;=$AA$501,((MOD($AA$501,($AA$489*BG$488*$AE$498)))),"")))</f>
        <v/>
      </c>
      <c r="BH489" s="214" t="str">
        <f ca="1">IF($AE498*$AA489*'Customer Base'!$D$26*0.8&gt;5800,"",IF($AE498*$AA489&gt;$AA501,"",IF(($AA$489*BH$488*$AE$498)&lt;=$AA$501,((MOD($AA$501,($AA$489*BH$488*$AE$498)))),"")))</f>
        <v/>
      </c>
      <c r="BI489" s="214" t="str">
        <f ca="1">IF($AE498*$AA489*'Customer Base'!$D$26*0.8&gt;5800,"",IF($AE498*$AA489&gt;$AA501,"",IF(($AA$489*BI$488*$AE$498)&lt;=$AA$501,((MOD($AA$501,($AA$489*BI$488*$AE$498)))),"")))</f>
        <v/>
      </c>
      <c r="BJ489" s="214" t="str">
        <f ca="1">IF($AE498*$AA489*'Customer Base'!$D$26*0.8&gt;5800,"",IF($AE498*$AA489&gt;$AA501,"",IF(($AA$489*BJ$488*$AE$498)&lt;=$AA$501,((MOD($AA$501,($AA$489*BJ$488*$AE$498)))),"")))</f>
        <v/>
      </c>
      <c r="BK489" s="214" t="str">
        <f ca="1">IF($AE498*$AA489*'Customer Base'!$D$26*0.8&gt;5800,"",IF($AE498*$AA489&gt;$AA501,"",IF(($AA$489*BK$488*$AE$498)&lt;=$AA$501,((MOD($AA$501,($AA$489*BK$488*$AE$498)))),"")))</f>
        <v/>
      </c>
      <c r="BL489" s="214" t="str">
        <f ca="1">IF($AE498*$AA489*'Customer Base'!$D$26*0.8&gt;5800,"",IF($AE498*$AA489&gt;$AA501,"",IF(($AA$489*BL$488*$AE$498)&lt;=$AA$501,((MOD($AA$501,($AA$489*BL$488*$AE$498)))),"")))</f>
        <v/>
      </c>
      <c r="BM489" s="214" t="str">
        <f ca="1">IF($AE498*$AA489*'Customer Base'!$D$26*0.8&gt;5800,"",IF($AE498*$AA489&gt;$AA501,"",IF(($AA$489*BM$488*$AE$498)&lt;=$AA$501,((MOD($AA$501,($AA$489*BM$488*$AE$498)))),"")))</f>
        <v/>
      </c>
      <c r="BN489" s="214" t="str">
        <f ca="1">IF($AE498*$AA489*'Customer Base'!$D$26*0.8&gt;5800,"",IF($AE498*$AA489&gt;$AA501,"",IF(($AA$489*BN$488*$AE$498)&lt;=$AA$501,((MOD($AA$501,($AA$489*BN$488*$AE$498)))),"")))</f>
        <v/>
      </c>
      <c r="BO489" s="214" t="str">
        <f ca="1">IF($AE498*$AA489*'Customer Base'!$D$26*0.8&gt;5800,"",IF($AE498*$AA489&gt;$AA501,"",IF(($AA$489*BO$488*$AE$498)&lt;=$AA$501,((MOD($AA$501,($AA$489*BO$488*$AE$498)))),"")))</f>
        <v/>
      </c>
      <c r="BP489" s="214" t="str">
        <f ca="1">IF($AE498*$AA489*'Customer Base'!$D$26*0.8&gt;5800,"",IF($AE498*$AA489&gt;$AA501,"",IF(($AA$489*BP$488*$AE$498)&lt;=$AA$501,((MOD($AA$501,($AA$489*BP$488*$AE$498)))),"")))</f>
        <v/>
      </c>
      <c r="BQ489" s="214" t="str">
        <f ca="1">IF($AE498*$AA489*'Customer Base'!$D$26*0.8&gt;5800,"",IF($AE498*$AA489&gt;$AA501,"",IF(($AA$489*BQ$488*$AE$498)&lt;=$AA$501,((MOD($AA$501,($AA$489*BQ$488*$AE$498)))),"")))</f>
        <v/>
      </c>
      <c r="BR489" s="214" t="str">
        <f ca="1">IF($AE498*$AA489*'Customer Base'!$D$26*0.8&gt;5800,"",IF($AE498*$AA489&gt;$AA501,"",IF(($AA$489*BR$488*$AE$498)&lt;=$AA$501,((MOD($AA$501,($AA$489*BR$488*$AE$498)))),"")))</f>
        <v/>
      </c>
      <c r="BS489" s="214" t="str">
        <f ca="1">IF($AE498*$AA489*'Customer Base'!$D$26*0.8&gt;5800,"",IF($AE498*$AA489&gt;$AA501,"",IF(($AA$489*BS$488*$AE$498)&lt;=$AA$501,((MOD($AA$501,($AA$489*BS$488*$AE$498)))),"")))</f>
        <v/>
      </c>
      <c r="BT489" s="214" t="str">
        <f ca="1">IF($AE498*$AA489*'Customer Base'!$D$26*0.8&gt;5800,"",IF($AE498*$AA489&gt;$AA501,"",IF(($AA$489*BT$488*$AE$498)&lt;=$AA$501,((MOD($AA$501,($AA$489*BT$488*$AE$498)))),"")))</f>
        <v/>
      </c>
      <c r="BU489" s="214" t="str">
        <f ca="1">IF($AE498*$AA489*'Customer Base'!$D$26*0.8&gt;5800,"",IF($AE498*$AA489&gt;$AA501,"",IF(($AA$489*BU$488*$AE$498)&lt;=$AA$501,((MOD($AA$501,($AA$489*BU$488*$AE$498)))),"")))</f>
        <v/>
      </c>
      <c r="BV489" s="214" t="str">
        <f ca="1">IF($AE498*$AA489*'Customer Base'!$D$26*0.8&gt;5800,"",IF($AE498*$AA489&gt;$AA501,"",IF(($AA$489*BV$488*$AE$498)&lt;=$AA$501,((MOD($AA$501,($AA$489*BV$488*$AE$498)))),"")))</f>
        <v/>
      </c>
      <c r="BW489" s="214" t="str">
        <f ca="1">IF($AE498*$AA489*'Customer Base'!$D$26*0.8&gt;5800,"",IF($AE498*$AA489&gt;$AA501,"",IF(($AA$489*BW$488*$AE$498)&lt;=$AA$501,((MOD($AA$501,($AA$489*BW$488*$AE$498)))),"")))</f>
        <v/>
      </c>
      <c r="BX489" s="214" t="str">
        <f ca="1">IF($AE498*$AA489*'Customer Base'!$D$26*0.8&gt;5800,"",IF($AE498*$AA489&gt;$AA501,"",IF(($AA$489*BX$488*$AE$498)&lt;=$AA$501,((MOD($AA$501,($AA$489*BX$488*$AE$498)))),"")))</f>
        <v/>
      </c>
      <c r="BY489" s="214" t="str">
        <f ca="1">IF($AE498*$AA489*'Customer Base'!$D$26*0.8&gt;5800,"",IF($AE498*$AA489&gt;$AA501,"",IF(($AA$489*BY$488*$AE$498)&lt;=$AA$501,((MOD($AA$501,($AA$489*BY$488*$AE$498)))),"")))</f>
        <v/>
      </c>
      <c r="BZ489" s="214" t="str">
        <f ca="1">IF($AE498*$AA489*'Customer Base'!$D$26*0.8&gt;5800,"",IF($AE498*$AA489&gt;$AA501,"",IF(($AA$489*BZ$488*$AE$498)&lt;=$AA$501,((MOD($AA$501,($AA$489*BZ$488*$AE$498)))),"")))</f>
        <v/>
      </c>
      <c r="CA489" s="214" t="str">
        <f ca="1">IF($AE498*$AA489*'Customer Base'!$D$26*0.8&gt;5800,"",IF($AE498*$AA489&gt;$AA501,"",IF(($AA$489*CA$488*$AE$498)&lt;=$AA$501,((MOD($AA$501,($AA$489*CA$488*$AE$498)))),"")))</f>
        <v/>
      </c>
      <c r="CB489" s="214" t="str">
        <f ca="1">IF($AE498*$AA489*'Customer Base'!$D$26*0.8&gt;5800,"",IF($AE498*$AA489&gt;$AA501,"",IF(($AA$489*CB$488*$AE$498)&lt;=$AA$501,((MOD($AA$501,($AA$489*CB$488*$AE$498)))),"")))</f>
        <v/>
      </c>
      <c r="CC489" s="214" t="str">
        <f ca="1">IF($AE498*$AA489*'Customer Base'!$D$26*0.8&gt;5800,"",IF($AE498*$AA489&gt;$AA501,"",IF(($AA$489*CC$488*$AE$498)&lt;=$AA$501,((MOD($AA$501,($AA$489*CC$488*$AE$498)))),"")))</f>
        <v/>
      </c>
      <c r="CD489" s="214" t="str">
        <f ca="1">IF($AE498*$AA489*'Customer Base'!$D$26*0.8&gt;5800,"",IF($AE498*$AA489&gt;$AA501,"",IF(($AA$489*CD$488*$AE$498)&lt;=$AA$501,((MOD($AA$501,($AA$489*CD$488*$AE$498)))),"")))</f>
        <v/>
      </c>
      <c r="CE489" s="214" t="str">
        <f ca="1">IF($AE498*$AA489*'Customer Base'!$D$26*0.8&gt;5800,"",IF($AE498*$AA489&gt;$AA501,"",IF(($AA$489*CE$488*$AE$498)&lt;=$AA$501,((MOD($AA$501,($AA$489*CE$488*$AE$498)))),"")))</f>
        <v/>
      </c>
      <c r="CF489" s="214" t="str">
        <f ca="1">IF($AE498*$AA489*'Customer Base'!$D$26*0.8&gt;5800,"",IF($AE498*$AA489&gt;$AA501,"",IF(($AA$489*CF$488*$AE$498)&lt;=$AA$501,((MOD($AA$501,($AA$489*CF$488*$AE$498)))),"")))</f>
        <v/>
      </c>
      <c r="CG489" s="214" t="str">
        <f ca="1">IF($AE498*$AA489*'Customer Base'!$D$26*0.8&gt;5800,"",IF($AE498*$AA489&gt;$AA501,"",IF(($AA$489*CG$488*$AE$498)&lt;=$AA$501,((MOD($AA$501,($AA$489*CG$488*$AE$498)))),"")))</f>
        <v/>
      </c>
      <c r="CH489" s="214" t="str">
        <f ca="1">IF($AE498*$AA489*'Customer Base'!$D$26*0.8&gt;5800,"",IF($AE498*$AA489&gt;$AA501,"",IF(($AA$489*CH$488*$AE$498)&lt;=$AA$501,((MOD($AA$501,($AA$489*CH$488*$AE$498)))),"")))</f>
        <v/>
      </c>
      <c r="CI489" s="214" t="str">
        <f ca="1">IF($AE498*$AA489*'Customer Base'!$D$26*0.8&gt;5800,"",IF($AE498*$AA489&gt;$AA501,"",IF(($AA$489*CI$488*$AE$498)&lt;=$AA$501,((MOD($AA$501,($AA$489*CI$488*$AE$498)))),"")))</f>
        <v/>
      </c>
      <c r="CJ489" s="214" t="str">
        <f ca="1">IF($AE498*$AA489*'Customer Base'!$D$26*0.8&gt;5800,"",IF($AE498*$AA489&gt;$AA501,"",IF(($AA$489*CJ$488*$AE$498)&lt;=$AA$501,((MOD($AA$501,($AA$489*CJ$488*$AE$498)))),"")))</f>
        <v/>
      </c>
      <c r="CK489" s="214" t="str">
        <f ca="1">IF($AE498*$AA489*'Customer Base'!$D$26*0.8&gt;5800,"",IF($AE498*$AA489&gt;$AA501,"",IF(($AA$489*CK$488*$AE$498)&lt;=$AA$501,((MOD($AA$501,($AA$489*CK$488*$AE$498)))),"")))</f>
        <v/>
      </c>
      <c r="CL489" s="214" t="str">
        <f ca="1">IF($AE498*$AA489*'Customer Base'!$D$26*0.8&gt;5800,"",IF($AE498*$AA489&gt;$AA501,"",IF(($AA$489*CL$488*$AE$498)&lt;=$AA$501,((MOD($AA$501,($AA$489*CL$488*$AE$498)))),"")))</f>
        <v/>
      </c>
      <c r="CM489" s="214" t="str">
        <f ca="1">IF($AE498*$AA489*'Customer Base'!$D$26*0.8&gt;5800,"",IF($AE498*$AA489&gt;$AA501,"",IF(($AA$489*CM$488*$AE$498)&lt;=$AA$501,((MOD($AA$501,($AA$489*CM$488*$AE$498)))),"")))</f>
        <v/>
      </c>
      <c r="CN489" s="214" t="str">
        <f ca="1">IF($AE498*$AA489*'Customer Base'!$D$26*0.8&gt;5800,"",IF($AE498*$AA489&gt;$AA501,"",IF(($AA$489*CN$488*$AE$498)&lt;=$AA$501,((MOD($AA$501,($AA$489*CN$488*$AE$498)))),"")))</f>
        <v/>
      </c>
      <c r="CO489" s="214" t="str">
        <f ca="1">IF($AE498*$AA489*'Customer Base'!$D$26*0.8&gt;5800,"",IF($AE498*$AA489&gt;$AA501,"",IF(($AA$489*CO$488*$AE$498)&lt;=$AA$501,((MOD($AA$501,($AA$489*CO$488*$AE$498)))),"")))</f>
        <v/>
      </c>
      <c r="CP489" s="214" t="str">
        <f ca="1">IF($AE498*$AA489*'Customer Base'!$D$26*0.8&gt;5800,"",IF($AE498*$AA489&gt;$AA501,"",IF(($AA$489*CP$488*$AE$498)&lt;=$AA$501,((MOD($AA$501,($AA$489*CP$488*$AE$498)))),"")))</f>
        <v/>
      </c>
      <c r="CQ489" s="214" t="str">
        <f ca="1">IF($AE498*$AA489*'Customer Base'!$D$26*0.8&gt;5800,"",IF($AE498*$AA489&gt;$AA501,"",IF(($AA$489*CQ$488*$AE$498)&lt;=$AA$501,((MOD($AA$501,($AA$489*CQ$488*$AE$498)))),"")))</f>
        <v/>
      </c>
      <c r="CR489" s="214" t="str">
        <f ca="1">IF($AE498*$AA489*'Customer Base'!$D$26*0.8&gt;5800,"",IF($AE498*$AA489&gt;$AA501,"",IF(($AA$489*CR$488*$AE$498)&lt;=$AA$501,((MOD($AA$501,($AA$489*CR$488*$AE$498)))),"")))</f>
        <v/>
      </c>
      <c r="CS489" s="214" t="str">
        <f ca="1">IF($AE498*$AA489*'Customer Base'!$D$26*0.8&gt;5800,"",IF($AE498*$AA489&gt;$AA501,"",IF(($AA$489*CS$488*$AE$498)&lt;=$AA$501,((MOD($AA$501,($AA$489*CS$488*$AE$498)))),"")))</f>
        <v/>
      </c>
      <c r="CT489" s="214" t="str">
        <f ca="1">IF($AE498*$AA489*'Customer Base'!$D$26*0.8&gt;5800,"",IF($AE498*$AA489&gt;$AA501,"",IF(($AA$489*CT$488*$AE$498)&lt;=$AA$501,((MOD($AA$501,($AA$489*CT$488*$AE$498)))),"")))</f>
        <v/>
      </c>
      <c r="CU489" s="214" t="str">
        <f ca="1">IF($AE498*$AA489*'Customer Base'!$D$26*0.8&gt;5800,"",IF($AE498*$AA489&gt;$AA501,"",IF(($AA$489*CU$488*$AE$498)&lt;=$AA$501,((MOD($AA$501,($AA$489*CU$488*$AE$498)))),"")))</f>
        <v/>
      </c>
      <c r="CV489" s="214" t="str">
        <f ca="1">IF($AE498*$AA489*'Customer Base'!$D$26*0.8&gt;5800,"",IF($AE498*$AA489&gt;$AA501,"",IF(($AA$489*CV$488*$AE$498)&lt;=$AA$501,((MOD($AA$501,($AA$489*CV$488*$AE$498)))),"")))</f>
        <v/>
      </c>
      <c r="CW489" s="214" t="str">
        <f ca="1">IF($AE498*$AA489*'Customer Base'!$D$26*0.8&gt;5800,"",IF($AE498*$AA489&gt;$AA501,"",IF(($AA$489*CW$488*$AE$498)&lt;=$AA$501,((MOD($AA$501,($AA$489*CW$488*$AE$498)))),"")))</f>
        <v/>
      </c>
      <c r="CX489" s="214" t="str">
        <f ca="1">IF($AE498*$AA489*'Customer Base'!$D$26*0.8&gt;5800,"",IF($AE498*$AA489&gt;$AA501,"",IF(($AA$489*CX$488*$AE$498)&lt;=$AA$501,((MOD($AA$501,($AA$489*CX$488*$AE$498)))),"")))</f>
        <v/>
      </c>
      <c r="CY489" s="214" t="str">
        <f ca="1">IF($AE498*$AA489*'Customer Base'!$D$26*0.8&gt;5800,"",IF($AE498*$AA489&gt;$AA501,"",IF(($AA$489*CY$488*$AE$498)&lt;=$AA$501,((MOD($AA$501,($AA$489*CY$488*$AE$498)))),"")))</f>
        <v/>
      </c>
      <c r="CZ489" s="214" t="str">
        <f ca="1">IF($AE498*$AA489*'Customer Base'!$D$26*0.8&gt;5800,"",IF($AE498*$AA489&gt;$AA501,"",IF(($AA$489*CZ$488*$AE$498)&lt;=$AA$501,((MOD($AA$501,($AA$489*CZ$488*$AE$498)))),"")))</f>
        <v/>
      </c>
      <c r="DA489" s="214" t="str">
        <f ca="1">IF($AE498*$AA489*'Customer Base'!$D$26*0.8&gt;5800,"",IF($AE498*$AA489&gt;$AA501,"",IF(($AA$489*DA$488*$AE$498)&lt;=$AA$501,((MOD($AA$501,($AA$489*DA$488*$AE$498)))),"")))</f>
        <v/>
      </c>
      <c r="DB489" s="214" t="str">
        <f ca="1">IF($AE498*$AA489*'Customer Base'!$D$26*0.8&gt;5800,"",IF($AE498*$AA489&gt;$AA501,"",IF(($AA$489*DB$488*$AE$498)&lt;=$AA$501,((MOD($AA$501,($AA$489*DB$488*$AE$498)))),"")))</f>
        <v/>
      </c>
      <c r="DC489" s="214" t="str">
        <f ca="1">IF($AE498*$AA489*'Customer Base'!$D$26*0.8&gt;5800,"",IF($AE498*$AA489&gt;$AA501,"",IF(($AA$489*DC$488*$AE$498)&lt;=$AA$501,((MOD($AA$501,($AA$489*DC$488*$AE$498)))),"")))</f>
        <v/>
      </c>
      <c r="DD489" s="214" t="str">
        <f ca="1">IF($AE498*$AA489*'Customer Base'!$D$26*0.8&gt;5800,"",IF($AE498*$AA489&gt;$AA501,"",IF(($AA$489*DD$488*$AE$498)&lt;=$AA$501,((MOD($AA$501,($AA$489*DD$488*$AE$498)))),"")))</f>
        <v/>
      </c>
      <c r="DE489" s="214" t="str">
        <f ca="1">IF($AE498*$AA489*'Customer Base'!$D$26*0.8&gt;5800,"",IF($AE498*$AA489&gt;$AA501,"",IF(($AA$489*DE$488*$AE$498)&lt;=$AA$501,((MOD($AA$501,($AA$489*DE$488*$AE$498)))),"")))</f>
        <v/>
      </c>
      <c r="DF489" s="214" t="str">
        <f ca="1">IF($AE498*$AA489*'Customer Base'!$D$26*0.8&gt;5800,"",IF($AE498*$AA489&gt;$AA501,"",IF(($AA$489*DF$488*$AE$498)&lt;=$AA$501,((MOD($AA$501,($AA$489*DF$488*$AE$498)))),"")))</f>
        <v/>
      </c>
      <c r="DG489" s="214" t="str">
        <f ca="1">IF($AE498*$AA489*'Customer Base'!$D$26*0.8&gt;5800,"",IF($AE498*$AA489&gt;$AA501,"",IF(($AA$489*DG$488*$AE$498)&lt;=$AA$501,((MOD($AA$501,($AA$489*DG$488*$AE$498)))),"")))</f>
        <v/>
      </c>
      <c r="DH489" s="214" t="str">
        <f ca="1">IF($AE498*$AA489*'Customer Base'!$D$26*0.8&gt;5800,"",IF($AE498*$AA489&gt;$AA501,"",IF(($AA$489*DH$488*$AE$498)&lt;=$AA$501,((MOD($AA$501,($AA$489*DH$488*$AE$498)))),"")))</f>
        <v/>
      </c>
      <c r="DI489" s="214" t="str">
        <f ca="1">IF($AE498*$AA489*'Customer Base'!$D$26*0.8&gt;5800,"",IF($AE498*$AA489&gt;$AA501,"",IF(($AA$489*DI$488*$AE$498)&lt;=$AA$501,((MOD($AA$501,($AA$489*DI$488*$AE$498)))),"")))</f>
        <v/>
      </c>
      <c r="DJ489" s="214" t="str">
        <f ca="1">IF($AE498*$AA489*'Customer Base'!$D$26*0.8&gt;5800,"",IF($AE498*$AA489&gt;$AA501,"",IF(($AA$489*DJ$488*$AE$498)&lt;=$AA$501,((MOD($AA$501,($AA$489*DJ$488*$AE$498)))),"")))</f>
        <v/>
      </c>
      <c r="DK489" s="214" t="str">
        <f ca="1">IF($AE498*$AA489*'Customer Base'!$D$26*0.8&gt;5800,"",IF($AE498*$AA489&gt;$AA501,"",IF(($AA$489*DK$488*$AE$498)&lt;=$AA$501,((MOD($AA$501,($AA$489*DK$488*$AE$498)))),"")))</f>
        <v/>
      </c>
      <c r="DL489" s="214" t="str">
        <f ca="1">IF($AE498*$AA489*'Customer Base'!$D$26*0.8&gt;5800,"",IF($AE498*$AA489&gt;$AA501,"",IF(($AA$489*DL$488*$AE$498)&lt;=$AA$501,((MOD($AA$501,($AA$489*DL$488*$AE$498)))),"")))</f>
        <v/>
      </c>
      <c r="DM489" s="214" t="str">
        <f ca="1">IF($AE498*$AA489*'Customer Base'!$D$26*0.8&gt;5800,"",IF($AE498*$AA489&gt;$AA501,"",IF(($AA$489*DM$488*$AE$498)&lt;=$AA$501,((MOD($AA$501,($AA$489*DM$488*$AE$498)))),"")))</f>
        <v/>
      </c>
      <c r="DN489" s="214" t="str">
        <f ca="1">IF($AE498*$AA489*'Customer Base'!$D$26*0.8&gt;5800,"",IF($AE498*$AA489&gt;$AA501,"",IF(($AA$489*DN$488*$AE$498)&lt;=$AA$501,((MOD($AA$501,($AA$489*DN$488*$AE$498)))),"")))</f>
        <v/>
      </c>
      <c r="DO489" s="214" t="str">
        <f ca="1">IF($AE498*$AA489*'Customer Base'!$D$26*0.8&gt;5800,"",IF($AE498*$AA489&gt;$AA501,"",IF(($AA$489*DO$488*$AE$498)&lt;=$AA$501,((MOD($AA$501,($AA$489*DO$488*$AE$498)))),"")))</f>
        <v/>
      </c>
      <c r="DP489" s="214" t="str">
        <f ca="1">IF($AE498*$AA489*'Customer Base'!$D$26*0.8&gt;5800,"",IF($AE498*$AA489&gt;$AA501,"",IF(($AA$489*DP$488*$AE$498)&lt;=$AA$501,((MOD($AA$501,($AA$489*DP$488*$AE$498)))),"")))</f>
        <v/>
      </c>
      <c r="DQ489" s="214" t="str">
        <f ca="1">IF($AE498*$AA489*'Customer Base'!$D$26*0.8&gt;5800,"",IF($AE498*$AA489&gt;$AA501,"",IF(($AA$489*DQ$488*$AE$498)&lt;=$AA$501,((MOD($AA$501,($AA$489*DQ$488*$AE$498)))),"")))</f>
        <v/>
      </c>
      <c r="DR489" s="214" t="str">
        <f ca="1">IF($AE498*$AA489*'Customer Base'!$D$26*0.8&gt;5800,"",IF($AE498*$AA489&gt;$AA501,"",IF(($AA$489*DR$488*$AE$498)&lt;=$AA$501,((MOD($AA$501,($AA$489*DR$488*$AE$498)))),"")))</f>
        <v/>
      </c>
      <c r="DS489" s="214" t="str">
        <f ca="1">IF($AE498*$AA489*'Customer Base'!$D$26*0.8&gt;5800,"",IF($AE498*$AA489&gt;$AA501,"",IF(($AA$489*DS$488*$AE$498)&lt;=$AA$501,((MOD($AA$501,($AA$489*DS$488*$AE$498)))),"")))</f>
        <v/>
      </c>
      <c r="DT489" s="214" t="str">
        <f ca="1">IF($AE498*$AA489*'Customer Base'!$D$26*0.8&gt;5800,"",IF($AE498*$AA489&gt;$AA501,"",IF(($AA$489*DT$488*$AE$498)&lt;=$AA$501,((MOD($AA$501,($AA$489*DT$488*$AE$498)))),"")))</f>
        <v/>
      </c>
      <c r="DU489" s="214" t="str">
        <f ca="1">IF($AE498*$AA489*'Customer Base'!$D$26*0.8&gt;5800,"",IF($AE498*$AA489&gt;$AA501,"",IF(($AA$489*DU$488*$AE$498)&lt;=$AA$501,((MOD($AA$501,($AA$489*DU$488*$AE$498)))),"")))</f>
        <v/>
      </c>
      <c r="DV489" s="214" t="str">
        <f ca="1">IF($AE498*$AA489*'Customer Base'!$D$26*0.8&gt;5800,"",IF($AE498*$AA489&gt;$AA501,"",IF(($AA$489*DV$488*$AE$498)&lt;=$AA$501,((MOD($AA$501,($AA$489*DV$488*$AE$498)))),"")))</f>
        <v/>
      </c>
      <c r="DW489" s="214" t="str">
        <f ca="1">IF($AE498*$AA489*'Customer Base'!$D$26*0.8&gt;5800,"",IF($AE498*$AA489&gt;$AA501,"",IF(($AA$489*DW$488*$AE$498)&lt;=$AA$501,((MOD($AA$501,($AA$489*DW$488*$AE$498)))),"")))</f>
        <v/>
      </c>
      <c r="DX489" s="214" t="str">
        <f ca="1">IF($AE498*$AA489*'Customer Base'!$D$26*0.8&gt;5800,"",IF($AE498*$AA489&gt;$AA501,"",IF(($AA$489*DX$488*$AE$498)&lt;=$AA$501,((MOD($AA$501,($AA$489*DX$488*$AE$498)))),"")))</f>
        <v/>
      </c>
      <c r="DY489" s="214" t="str">
        <f ca="1">IF($AE498*$AA489*'Customer Base'!$D$26*0.8&gt;5800,"",IF($AE498*$AA489&gt;$AA501,"",IF(($AA$489*DY$488*$AE$498)&lt;=$AA$501,((MOD($AA$501,($AA$489*DY$488*$AE$498)))),"")))</f>
        <v/>
      </c>
      <c r="DZ489" s="214" t="str">
        <f ca="1">IF($AE498*$AA489*'Customer Base'!$D$26*0.8&gt;5800,"",IF($AE498*$AA489&gt;$AA501,"",IF(($AA$489*DZ$488*$AE$498)&lt;=$AA$501,((MOD($AA$501,($AA$489*DZ$488*$AE$498)))),"")))</f>
        <v/>
      </c>
      <c r="EA489" s="214" t="str">
        <f ca="1">IF($AE498*$AA489*'Customer Base'!$D$26*0.8&gt;5800,"",IF($AE498*$AA489&gt;$AA501,"",IF(($AA$489*EA$488*$AE$498)&lt;=$AA$501,((MOD($AA$501,($AA$489*EA$488*$AE$498)))),"")))</f>
        <v/>
      </c>
      <c r="EC489" s="214" cm="1">
        <f t="array" aca="1" ref="EC489" ca="1">IFERROR(LOOKUP(2,1/(AF489:EA489&lt;&gt;""),AF$488:EA$488),"")</f>
        <v>5</v>
      </c>
      <c r="ED489" s="316" t="str" cm="1">
        <f t="array" aca="1" ref="ED489" ca="1">IF(EC$474=EC489,LOOKUP(2,1/(AF489:EA489&lt;&gt;""),AF489:EA489),"")</f>
        <v/>
      </c>
      <c r="EE489" s="316" t="str">
        <f ca="1">IF(ED489=ED$474,1,"")</f>
        <v/>
      </c>
      <c r="EF489" s="316"/>
      <c r="EG489" s="316"/>
      <c r="EH489" s="316"/>
      <c r="EI489" s="214">
        <v>2</v>
      </c>
      <c r="EJ489" s="315" t="s">
        <v>2698</v>
      </c>
      <c r="EK489" s="214">
        <f>IFERROR(MOD(EL$495,EI489),"")</f>
        <v>0</v>
      </c>
      <c r="EL489" s="214" t="str">
        <f>IF(OR(EL495=1,EL495=""),"",IF(AND(EK491&lt;&gt;0,EK490&lt;&gt;0,EK489=0),IF(EK489=0,EI489,""),IF(AND(MAX(EK489:EK491)&lt;=EI489,SUMPRODUCT(EL490:EL491,EM490:EM491)&lt;&gt;EL495),EI489,"")))</f>
        <v/>
      </c>
      <c r="EM489" s="214" t="str">
        <f>IFERROR(IF(AND(EL489&lt;&gt;"",OR(EL490&lt;&gt;"",EL491&lt;&gt;"")),1,(ROUNDDOWN(EL$495/EL489,0))),"")</f>
        <v/>
      </c>
      <c r="EN489" s="214" t="str">
        <f ca="1">IF($AE498*$AA489*'Customer Base'!$D$26*0.8&gt;5800,"",IF($AE498*$AA489&gt;$AA501,"",IF(($AA$489*EN$488*$AE$498)&lt;=$ED$474,((MOD($ED$474,($AA$489*EN$488*$AE$498)))),"")))</f>
        <v/>
      </c>
      <c r="EO489" s="214" t="str">
        <f ca="1">IF($AE498*$AA489*'Customer Base'!$D$26*0.8&gt;5800,"",IF($AE498*$AA489&gt;$AA501,"",IF(($AA$489*EO$488*$AE$498)&lt;=$ED$474,((MOD($ED$474,($AA$489*EO$488*$AE$498)))),"")))</f>
        <v/>
      </c>
      <c r="EP489" s="214" t="str">
        <f ca="1">IF($AE498*$AA489*'Customer Base'!$D$26*0.8&gt;5800,"",IF($AE498*$AA489&gt;$AA501,"",IF(($AA$489*EP$488*$AE$498)&lt;=$ED$474,((MOD($ED$474,($AA$489*EP$488*$AE$498)))),"")))</f>
        <v/>
      </c>
      <c r="EQ489" s="214" t="str">
        <f ca="1">IF($AE498*$AA489*'Customer Base'!$D$26*0.8&gt;5800,"",IF($AE498*$AA489&gt;$AA501,"",IF(($AA$489*EQ$488*$AE$498)&lt;=$ED$474,((MOD($ED$474,($AA$489*EQ$488*$AE$498)))),"")))</f>
        <v/>
      </c>
      <c r="ER489" s="214" t="str">
        <f ca="1">IF($AE498*$AA489*'Customer Base'!$D$26*0.8&gt;5800,"",IF($AE498*$AA489&gt;$AA501,"",IF(($AA$489*ER$488*$AE$498)&lt;=$ED$474,((MOD($ED$474,($AA$489*ER$488*$AE$498)))),"")))</f>
        <v/>
      </c>
      <c r="ES489" s="214" t="str">
        <f ca="1">IF($AE498*$AA489*'Customer Base'!$D$26*0.8&gt;5800,"",IF($AE498*$AA489&gt;$AA501,"",IF(($AA$489*ES$488*$AE$498)&lt;=$ED$474,((MOD($ED$474,($AA$489*ES$488*$AE$498)))),"")))</f>
        <v/>
      </c>
      <c r="ET489" s="214" t="str">
        <f ca="1">IF($AE498*$AA489*'Customer Base'!$D$26*0.8&gt;5800,"",IF($AE498*$AA489&gt;$AA501,"",IF(($AA$489*ET$488*$AE$498)&lt;=$ED$474,((MOD($ED$474,($AA$489*ET$488*$AE$498)))),"")))</f>
        <v/>
      </c>
      <c r="EU489" s="214" t="str">
        <f ca="1">IF($AE498*$AA489*'Customer Base'!$D$26*0.8&gt;5800,"",IF($AE498*$AA489&gt;$AA501,"",IF(($AA$489*EU$488*$AE$498)&lt;=$ED$474,((MOD($ED$474,($AA$489*EU$488*$AE$498)))),"")))</f>
        <v/>
      </c>
      <c r="EV489" s="214" t="str">
        <f ca="1">IF($AE498*$AA489*'Customer Base'!$D$26*0.8&gt;5800,"",IF($AE498*$AA489&gt;$AA501,"",IF(($AA$489*EV$488*$AE$498)&lt;=$ED$474,((MOD($ED$474,($AA$489*EV$488*$AE$498)))),"")))</f>
        <v/>
      </c>
      <c r="EW489" s="214" t="str">
        <f ca="1">IF($AE498*$AA489*'Customer Base'!$D$26*0.8&gt;5800,"",IF($AE498*$AA489&gt;$AA501,"",IF(($AA$489*EW$488*$AE$498)&lt;=$ED$474,((MOD($ED$474,($AA$489*EW$488*$AE$498)))),"")))</f>
        <v/>
      </c>
      <c r="EX489" s="214" t="str">
        <f ca="1">IF($AE498*$AA489*'Customer Base'!$D$26*0.8&gt;5800,"",IF($AE498*$AA489&gt;$AA501,"",IF(($AA$489*EX$488*$AE$498)&lt;=$ED$474,((MOD($ED$474,($AA$489*EX$488*$AE$498)))),"")))</f>
        <v/>
      </c>
      <c r="EY489" s="214" t="str">
        <f ca="1">IF($AE498*$AA489*'Customer Base'!$D$26*0.8&gt;5800,"",IF($AE498*$AA489&gt;$AA501,"",IF(($AA$489*EY$488*$AE$498)&lt;=$ED$474,((MOD($ED$474,($AA$489*EY$488*$AE$498)))),"")))</f>
        <v/>
      </c>
      <c r="EZ489" s="214" t="str">
        <f ca="1">IF($AE498*$AA489*'Customer Base'!$D$26*0.8&gt;5800,"",IF($AE498*$AA489&gt;$AA501,"",IF(($AA$489*EZ$488*$AE$498)&lt;=$ED$474,((MOD($ED$474,($AA$489*EZ$488*$AE$498)))),"")))</f>
        <v/>
      </c>
      <c r="FA489" s="214" t="str">
        <f ca="1">IF($AE498*$AA489*'Customer Base'!$D$26*0.8&gt;5800,"",IF($AE498*$AA489&gt;$AA501,"",IF(($AA$489*FA$488*$AE$498)&lt;=$ED$474,((MOD($ED$474,($AA$489*FA$488*$AE$498)))),"")))</f>
        <v/>
      </c>
      <c r="FB489" s="214" t="str">
        <f ca="1">IF($AE498*$AA489*'Customer Base'!$D$26*0.8&gt;5800,"",IF($AE498*$AA489&gt;$AA501,"",IF(($AA$489*FB$488*$AE$498)&lt;=$ED$474,((MOD($ED$474,($AA$489*FB$488*$AE$498)))),"")))</f>
        <v/>
      </c>
      <c r="FC489" s="214" t="str">
        <f ca="1">IF($AE498*$AA489*'Customer Base'!$D$26*0.8&gt;5800,"",IF($AE498*$AA489&gt;$AA501,"",IF(($AA$489*FC$488*$AE$498)&lt;=$ED$474,((MOD($ED$474,($AA$489*FC$488*$AE$498)))),"")))</f>
        <v/>
      </c>
      <c r="FD489" s="214" t="str">
        <f ca="1">IF($AE498*$AA489*'Customer Base'!$D$26*0.8&gt;5800,"",IF($AE498*$AA489&gt;$AA501,"",IF(($AA$489*FD$488*$AE$498)&lt;=$ED$474,((MOD($ED$474,($AA$489*FD$488*$AE$498)))),"")))</f>
        <v/>
      </c>
      <c r="FE489" s="214" t="str">
        <f ca="1">IF($AE498*$AA489*'Customer Base'!$D$26*0.8&gt;5800,"",IF($AE498*$AA489&gt;$AA501,"",IF(($AA$489*FE$488*$AE$498)&lt;=$ED$474,((MOD($ED$474,($AA$489*FE$488*$AE$498)))),"")))</f>
        <v/>
      </c>
      <c r="FF489" s="214" t="str">
        <f ca="1">IF($AE498*$AA489*'Customer Base'!$D$26*0.8&gt;5800,"",IF($AE498*$AA489&gt;$AA501,"",IF(($AA$489*FF$488*$AE$498)&lt;=$ED$474,((MOD($ED$474,($AA$489*FF$488*$AE$498)))),"")))</f>
        <v/>
      </c>
      <c r="FG489" s="214" t="str">
        <f ca="1">IF($AE498*$AA489*'Customer Base'!$D$26*0.8&gt;5800,"",IF($AE498*$AA489&gt;$AA501,"",IF(($AA$489*FG$488*$AE$498)&lt;=$ED$474,((MOD($ED$474,($AA$489*FG$488*$AE$498)))),"")))</f>
        <v/>
      </c>
      <c r="FH489" s="214" t="str">
        <f ca="1">IF($AE498*$AA489*'Customer Base'!$D$26*0.8&gt;5800,"",IF($AE498*$AA489&gt;$AA501,"",IF(($AA$489*FH$488*$AE$498)&lt;=$ED$474,((MOD($ED$474,($AA$489*FH$488*$AE$498)))),"")))</f>
        <v/>
      </c>
      <c r="FI489" s="214" t="str">
        <f ca="1">IF($AE498*$AA489*'Customer Base'!$D$26*0.8&gt;5800,"",IF($AE498*$AA489&gt;$AA501,"",IF(($AA$489*FI$488*$AE$498)&lt;=$ED$474,((MOD($ED$474,($AA$489*FI$488*$AE$498)))),"")))</f>
        <v/>
      </c>
      <c r="FJ489" s="214" t="str">
        <f ca="1">IF($AE498*$AA489*'Customer Base'!$D$26*0.8&gt;5800,"",IF($AE498*$AA489&gt;$AA501,"",IF(($AA$489*FJ$488*$AE$498)&lt;=$ED$474,((MOD($ED$474,($AA$489*FJ$488*$AE$498)))),"")))</f>
        <v/>
      </c>
      <c r="FK489" s="214" t="str">
        <f ca="1">IF($AE498*$AA489*'Customer Base'!$D$26*0.8&gt;5800,"",IF($AE498*$AA489&gt;$AA501,"",IF(($AA$489*FK$488*$AE$498)&lt;=$ED$474,((MOD($ED$474,($AA$489*FK$488*$AE$498)))),"")))</f>
        <v/>
      </c>
      <c r="FL489" s="214" t="str">
        <f ca="1">IF($AE498*$AA489*'Customer Base'!$D$26*0.8&gt;5800,"",IF($AE498*$AA489&gt;$AA501,"",IF(($AA$489*FL$488*$AE$498)&lt;=$ED$474,((MOD($ED$474,($AA$489*FL$488*$AE$498)))),"")))</f>
        <v/>
      </c>
      <c r="FM489" s="214" t="str">
        <f ca="1">IF($AE498*$AA489*'Customer Base'!$D$26*0.8&gt;5800,"",IF($AE498*$AA489&gt;$AA501,"",IF(($AA$489*FM$488*$AE$498)&lt;=$ED$474,((MOD($ED$474,($AA$489*FM$488*$AE$498)))),"")))</f>
        <v/>
      </c>
      <c r="FN489" s="214" t="str">
        <f ca="1">IF($AE498*$AA489*'Customer Base'!$D$26*0.8&gt;5800,"",IF($AE498*$AA489&gt;$AA501,"",IF(($AA$489*FN$488*$AE$498)&lt;=$ED$474,((MOD($ED$474,($AA$489*FN$488*$AE$498)))),"")))</f>
        <v/>
      </c>
      <c r="FO489" s="214" t="str">
        <f ca="1">IF($AE498*$AA489*'Customer Base'!$D$26*0.8&gt;5800,"",IF($AE498*$AA489&gt;$AA501,"",IF(($AA$489*FO$488*$AE$498)&lt;=$ED$474,((MOD($ED$474,($AA$489*FO$488*$AE$498)))),"")))</f>
        <v/>
      </c>
      <c r="FP489" s="214" t="str">
        <f ca="1">IF($AE498*$AA489*'Customer Base'!$D$26*0.8&gt;5800,"",IF($AE498*$AA489&gt;$AA501,"",IF(($AA$489*FP$488*$AE$498)&lt;=$ED$474,((MOD($ED$474,($AA$489*FP$488*$AE$498)))),"")))</f>
        <v/>
      </c>
      <c r="FQ489" s="214" t="str">
        <f ca="1">IF($AE498*$AA489*'Customer Base'!$D$26*0.8&gt;5800,"",IF($AE498*$AA489&gt;$AA501,"",IF(($AA$489*FQ$488*$AE$498)&lt;=$ED$474,((MOD($ED$474,($AA$489*FQ$488*$AE$498)))),"")))</f>
        <v/>
      </c>
      <c r="FR489" s="214" t="str">
        <f ca="1">IF($AE498*$AA489*'Customer Base'!$D$26*0.8&gt;5800,"",IF($AE498*$AA489&gt;$AA501,"",IF(($AA$489*FR$488*$AE$498)&lt;=$ED$474,((MOD($ED$474,($AA$489*FR$488*$AE$498)))),"")))</f>
        <v/>
      </c>
      <c r="FS489" s="214" t="str">
        <f ca="1">IF($AE498*$AA489*'Customer Base'!$D$26*0.8&gt;5800,"",IF($AE498*$AA489&gt;$AA501,"",IF(($AA$489*FS$488*$AE$498)&lt;=$ED$474,((MOD($ED$474,($AA$489*FS$488*$AE$498)))),"")))</f>
        <v/>
      </c>
      <c r="FT489" s="214" t="str">
        <f ca="1">IF($AE498*$AA489*'Customer Base'!$D$26*0.8&gt;5800,"",IF($AE498*$AA489&gt;$AA501,"",IF(($AA$489*FT$488*$AE$498)&lt;=$ED$474,((MOD($ED$474,($AA$489*FT$488*$AE$498)))),"")))</f>
        <v/>
      </c>
      <c r="FU489" s="214" t="str">
        <f ca="1">IF($AE498*$AA489*'Customer Base'!$D$26*0.8&gt;5800,"",IF($AE498*$AA489&gt;$AA501,"",IF(($AA$489*FU$488*$AE$498)&lt;=$ED$474,((MOD($ED$474,($AA$489*FU$488*$AE$498)))),"")))</f>
        <v/>
      </c>
      <c r="FV489" s="214" t="str">
        <f ca="1">IF($AE498*$AA489*'Customer Base'!$D$26*0.8&gt;5800,"",IF($AE498*$AA489&gt;$AA501,"",IF(($AA$489*FV$488*$AE$498)&lt;=$ED$474,((MOD($ED$474,($AA$489*FV$488*$AE$498)))),"")))</f>
        <v/>
      </c>
      <c r="FW489" s="214" t="str">
        <f ca="1">IF($AE498*$AA489*'Customer Base'!$D$26*0.8&gt;5800,"",IF($AE498*$AA489&gt;$AA501,"",IF(($AA$489*FW$488*$AE$498)&lt;=$ED$474,((MOD($ED$474,($AA$489*FW$488*$AE$498)))),"")))</f>
        <v/>
      </c>
      <c r="FX489" s="214" t="str">
        <f ca="1">IF($AE498*$AA489*'Customer Base'!$D$26*0.8&gt;5800,"",IF($AE498*$AA489&gt;$AA501,"",IF(($AA$489*FX$488*$AE$498)&lt;=$ED$474,((MOD($ED$474,($AA$489*FX$488*$AE$498)))),"")))</f>
        <v/>
      </c>
      <c r="FY489" s="214" t="str">
        <f ca="1">IF($AE498*$AA489*'Customer Base'!$D$26*0.8&gt;5800,"",IF($AE498*$AA489&gt;$AA501,"",IF(($AA$489*FY$488*$AE$498)&lt;=$ED$474,((MOD($ED$474,($AA$489*FY$488*$AE$498)))),"")))</f>
        <v/>
      </c>
      <c r="FZ489" s="214" t="str">
        <f ca="1">IF($AE498*$AA489*'Customer Base'!$D$26*0.8&gt;5800,"",IF($AE498*$AA489&gt;$AA501,"",IF(($AA$489*FZ$488*$AE$498)&lt;=$ED$474,((MOD($ED$474,($AA$489*FZ$488*$AE$498)))),"")))</f>
        <v/>
      </c>
      <c r="GA489" s="214" t="str">
        <f ca="1">IF($AE498*$AA489*'Customer Base'!$D$26*0.8&gt;5800,"",IF($AE498*$AA489&gt;$AA501,"",IF(($AA$489*GA$488*$AE$498)&lt;=$ED$474,((MOD($ED$474,($AA$489*GA$488*$AE$498)))),"")))</f>
        <v/>
      </c>
      <c r="GB489" s="214" t="str">
        <f ca="1">IF($AE498*$AA489*'Customer Base'!$D$26*0.8&gt;5800,"",IF($AE498*$AA489&gt;$AA501,"",IF(($AA$489*GB$488*$AE$498)&lt;=$ED$474,((MOD($ED$474,($AA$489*GB$488*$AE$498)))),"")))</f>
        <v/>
      </c>
      <c r="GC489" s="214" t="str">
        <f ca="1">IF($AE498*$AA489*'Customer Base'!$D$26*0.8&gt;5800,"",IF($AE498*$AA489&gt;$AA501,"",IF(($AA$489*GC$488*$AE$498)&lt;=$ED$474,((MOD($ED$474,($AA$489*GC$488*$AE$498)))),"")))</f>
        <v/>
      </c>
      <c r="GD489" s="214" t="str">
        <f ca="1">IF($AE498*$AA489*'Customer Base'!$D$26*0.8&gt;5800,"",IF($AE498*$AA489&gt;$AA501,"",IF(($AA$489*GD$488*$AE$498)&lt;=$ED$474,((MOD($ED$474,($AA$489*GD$488*$AE$498)))),"")))</f>
        <v/>
      </c>
      <c r="GE489" s="214" t="str">
        <f ca="1">IF($AE498*$AA489*'Customer Base'!$D$26*0.8&gt;5800,"",IF($AE498*$AA489&gt;$AA501,"",IF(($AA$489*GE$488*$AE$498)&lt;=$ED$474,((MOD($ED$474,($AA$489*GE$488*$AE$498)))),"")))</f>
        <v/>
      </c>
      <c r="GF489" s="214" t="str">
        <f ca="1">IF($AE498*$AA489*'Customer Base'!$D$26*0.8&gt;5800,"",IF($AE498*$AA489&gt;$AA501,"",IF(($AA$489*GF$488*$AE$498)&lt;=$ED$474,((MOD($ED$474,($AA$489*GF$488*$AE$498)))),"")))</f>
        <v/>
      </c>
      <c r="GG489" s="214" t="str">
        <f ca="1">IF($AE498*$AA489*'Customer Base'!$D$26*0.8&gt;5800,"",IF($AE498*$AA489&gt;$AA501,"",IF(($AA$489*GG$488*$AE$498)&lt;=$ED$474,((MOD($ED$474,($AA$489*GG$488*$AE$498)))),"")))</f>
        <v/>
      </c>
      <c r="GH489" s="214" t="str">
        <f ca="1">IF($AE498*$AA489*'Customer Base'!$D$26*0.8&gt;5800,"",IF($AE498*$AA489&gt;$AA501,"",IF(($AA$489*GH$488*$AE$498)&lt;=$ED$474,((MOD($ED$474,($AA$489*GH$488*$AE$498)))),"")))</f>
        <v/>
      </c>
      <c r="GI489" s="214" t="str">
        <f ca="1">IF($AE498*$AA489*'Customer Base'!$D$26*0.8&gt;5800,"",IF($AE498*$AA489&gt;$AA501,"",IF(($AA$489*GI$488*$AE$498)&lt;=$ED$474,((MOD($ED$474,($AA$489*GI$488*$AE$498)))),"")))</f>
        <v/>
      </c>
      <c r="GJ489" s="214" t="str">
        <f ca="1">IF($AE498*$AA489*'Customer Base'!$D$26*0.8&gt;5800,"",IF($AE498*$AA489&gt;$AA501,"",IF(($AA$489*GJ$488*$AE$498)&lt;=$ED$474,((MOD($ED$474,($AA$489*GJ$488*$AE$498)))),"")))</f>
        <v/>
      </c>
      <c r="GK489" s="214" t="str">
        <f ca="1">IF($AE498*$AA489*'Customer Base'!$D$26*0.8&gt;5800,"",IF($AE498*$AA489&gt;$AA501,"",IF(($AA$489*GK$488*$AE$498)&lt;=$ED$474,((MOD($ED$474,($AA$489*GK$488*$AE$498)))),"")))</f>
        <v/>
      </c>
      <c r="GL489" s="214" t="str">
        <f ca="1">IF($AE498*$AA489*'Customer Base'!$D$26*0.8&gt;5800,"",IF($AE498*$AA489&gt;$AA501,"",IF(($AA$489*GL$488*$AE$498)&lt;=$ED$474,((MOD($ED$474,($AA$489*GL$488*$AE$498)))),"")))</f>
        <v/>
      </c>
      <c r="GM489" s="214" t="str">
        <f ca="1">IF($AE498*$AA489*'Customer Base'!$D$26*0.8&gt;5800,"",IF($AE498*$AA489&gt;$AA501,"",IF(($AA$489*GM$488*$AE$498)&lt;=$ED$474,((MOD($ED$474,($AA$489*GM$488*$AE$498)))),"")))</f>
        <v/>
      </c>
      <c r="GN489" s="214" t="str">
        <f ca="1">IF($AE498*$AA489*'Customer Base'!$D$26*0.8&gt;5800,"",IF($AE498*$AA489&gt;$AA501,"",IF(($AA$489*GN$488*$AE$498)&lt;=$ED$474,((MOD($ED$474,($AA$489*GN$488*$AE$498)))),"")))</f>
        <v/>
      </c>
      <c r="GO489" s="214" t="str">
        <f ca="1">IF($AE498*$AA489*'Customer Base'!$D$26*0.8&gt;5800,"",IF($AE498*$AA489&gt;$AA501,"",IF(($AA$489*GO$488*$AE$498)&lt;=$ED$474,((MOD($ED$474,($AA$489*GO$488*$AE$498)))),"")))</f>
        <v/>
      </c>
      <c r="GP489" s="214" t="str">
        <f ca="1">IF($AE498*$AA489*'Customer Base'!$D$26*0.8&gt;5800,"",IF($AE498*$AA489&gt;$AA501,"",IF(($AA$489*GP$488*$AE$498)&lt;=$ED$474,((MOD($ED$474,($AA$489*GP$488*$AE$498)))),"")))</f>
        <v/>
      </c>
      <c r="GQ489" s="214" t="str">
        <f ca="1">IF($AE498*$AA489*'Customer Base'!$D$26*0.8&gt;5800,"",IF($AE498*$AA489&gt;$AA501,"",IF(($AA$489*GQ$488*$AE$498)&lt;=$ED$474,((MOD($ED$474,($AA$489*GQ$488*$AE$498)))),"")))</f>
        <v/>
      </c>
      <c r="GR489" s="214" t="str">
        <f ca="1">IF($AE498*$AA489*'Customer Base'!$D$26*0.8&gt;5800,"",IF($AE498*$AA489&gt;$AA501,"",IF(($AA$489*GR$488*$AE$498)&lt;=$ED$474,((MOD($ED$474,($AA$489*GR$488*$AE$498)))),"")))</f>
        <v/>
      </c>
      <c r="GS489" s="214" t="str">
        <f ca="1">IF($AE498*$AA489*'Customer Base'!$D$26*0.8&gt;5800,"",IF($AE498*$AA489&gt;$AA501,"",IF(($AA$489*GS$488*$AE$498)&lt;=$ED$474,((MOD($ED$474,($AA$489*GS$488*$AE$498)))),"")))</f>
        <v/>
      </c>
      <c r="GT489" s="214" t="str">
        <f ca="1">IF($AE498*$AA489*'Customer Base'!$D$26*0.8&gt;5800,"",IF($AE498*$AA489&gt;$AA501,"",IF(($AA$489*GT$488*$AE$498)&lt;=$ED$474,((MOD($ED$474,($AA$489*GT$488*$AE$498)))),"")))</f>
        <v/>
      </c>
      <c r="GU489" s="214" t="str">
        <f ca="1">IF($AE498*$AA489*'Customer Base'!$D$26*0.8&gt;5800,"",IF($AE498*$AA489&gt;$AA501,"",IF(($AA$489*GU$488*$AE$498)&lt;=$ED$474,((MOD($ED$474,($AA$489*GU$488*$AE$498)))),"")))</f>
        <v/>
      </c>
      <c r="GV489" s="214" t="str">
        <f ca="1">IF($AE498*$AA489*'Customer Base'!$D$26*0.8&gt;5800,"",IF($AE498*$AA489&gt;$AA501,"",IF(($AA$489*GV$488*$AE$498)&lt;=$ED$474,((MOD($ED$474,($AA$489*GV$488*$AE$498)))),"")))</f>
        <v/>
      </c>
      <c r="GW489" s="214" t="str">
        <f ca="1">IF($AE498*$AA489*'Customer Base'!$D$26*0.8&gt;5800,"",IF($AE498*$AA489&gt;$AA501,"",IF(($AA$489*GW$488*$AE$498)&lt;=$ED$474,((MOD($ED$474,($AA$489*GW$488*$AE$498)))),"")))</f>
        <v/>
      </c>
      <c r="GX489" s="214" t="str">
        <f ca="1">IF($AE498*$AA489*'Customer Base'!$D$26*0.8&gt;5800,"",IF($AE498*$AA489&gt;$AA501,"",IF(($AA$489*GX$488*$AE$498)&lt;=$ED$474,((MOD($ED$474,($AA$489*GX$488*$AE$498)))),"")))</f>
        <v/>
      </c>
      <c r="GY489" s="214" t="str">
        <f ca="1">IF($AE498*$AA489*'Customer Base'!$D$26*0.8&gt;5800,"",IF($AE498*$AA489&gt;$AA501,"",IF(($AA$489*GY$488*$AE$498)&lt;=$ED$474,((MOD($ED$474,($AA$489*GY$488*$AE$498)))),"")))</f>
        <v/>
      </c>
      <c r="GZ489" s="214" t="str">
        <f ca="1">IF($AE498*$AA489*'Customer Base'!$D$26*0.8&gt;5800,"",IF($AE498*$AA489&gt;$AA501,"",IF(($AA$489*GZ$488*$AE$498)&lt;=$ED$474,((MOD($ED$474,($AA$489*GZ$488*$AE$498)))),"")))</f>
        <v/>
      </c>
      <c r="HA489" s="214" t="str">
        <f ca="1">IF($AE498*$AA489*'Customer Base'!$D$26*0.8&gt;5800,"",IF($AE498*$AA489&gt;$AA501,"",IF(($AA$489*HA$488*$AE$498)&lt;=$ED$474,((MOD($ED$474,($AA$489*HA$488*$AE$498)))),"")))</f>
        <v/>
      </c>
      <c r="HB489" s="214" t="str">
        <f ca="1">IF($AE498*$AA489*'Customer Base'!$D$26*0.8&gt;5800,"",IF($AE498*$AA489&gt;$AA501,"",IF(($AA$489*HB$488*$AE$498)&lt;=$ED$474,((MOD($ED$474,($AA$489*HB$488*$AE$498)))),"")))</f>
        <v/>
      </c>
      <c r="HC489" s="214" t="str">
        <f ca="1">IF($AE498*$AA489*'Customer Base'!$D$26*0.8&gt;5800,"",IF($AE498*$AA489&gt;$AA501,"",IF(($AA$489*HC$488*$AE$498)&lt;=$ED$474,((MOD($ED$474,($AA$489*HC$488*$AE$498)))),"")))</f>
        <v/>
      </c>
      <c r="HD489" s="214" t="str">
        <f ca="1">IF($AE498*$AA489*'Customer Base'!$D$26*0.8&gt;5800,"",IF($AE498*$AA489&gt;$AA501,"",IF(($AA$489*HD$488*$AE$498)&lt;=$ED$474,((MOD($ED$474,($AA$489*HD$488*$AE$498)))),"")))</f>
        <v/>
      </c>
      <c r="HE489" s="214" t="str">
        <f ca="1">IF($AE498*$AA489*'Customer Base'!$D$26*0.8&gt;5800,"",IF($AE498*$AA489&gt;$AA501,"",IF(($AA$489*HE$488*$AE$498)&lt;=$ED$474,((MOD($ED$474,($AA$489*HE$488*$AE$498)))),"")))</f>
        <v/>
      </c>
      <c r="HF489" s="214" t="str">
        <f ca="1">IF($AE498*$AA489*'Customer Base'!$D$26*0.8&gt;5800,"",IF($AE498*$AA489&gt;$AA501,"",IF(($AA$489*HF$488*$AE$498)&lt;=$ED$474,((MOD($ED$474,($AA$489*HF$488*$AE$498)))),"")))</f>
        <v/>
      </c>
      <c r="HG489" s="214" t="str">
        <f ca="1">IF($AE498*$AA489*'Customer Base'!$D$26*0.8&gt;5800,"",IF($AE498*$AA489&gt;$AA501,"",IF(($AA$489*HG$488*$AE$498)&lt;=$ED$474,((MOD($ED$474,($AA$489*HG$488*$AE$498)))),"")))</f>
        <v/>
      </c>
      <c r="HH489" s="214" t="str">
        <f ca="1">IF($AE498*$AA489*'Customer Base'!$D$26*0.8&gt;5800,"",IF($AE498*$AA489&gt;$AA501,"",IF(($AA$489*HH$488*$AE$498)&lt;=$ED$474,((MOD($ED$474,($AA$489*HH$488*$AE$498)))),"")))</f>
        <v/>
      </c>
      <c r="HI489" s="214" t="str">
        <f ca="1">IF($AE498*$AA489*'Customer Base'!$D$26*0.8&gt;5800,"",IF($AE498*$AA489&gt;$AA501,"",IF(($AA$489*HI$488*$AE$498)&lt;=$ED$474,((MOD($ED$474,($AA$489*HI$488*$AE$498)))),"")))</f>
        <v/>
      </c>
      <c r="HJ489" s="214" t="str">
        <f ca="1">IF($AE498*$AA489*'Customer Base'!$D$26*0.8&gt;5800,"",IF($AE498*$AA489&gt;$AA501,"",IF(($AA$489*HJ$488*$AE$498)&lt;=$ED$474,((MOD($ED$474,($AA$489*HJ$488*$AE$498)))),"")))</f>
        <v/>
      </c>
      <c r="HK489" s="214" t="str">
        <f ca="1">IF($AE498*$AA489*'Customer Base'!$D$26*0.8&gt;5800,"",IF($AE498*$AA489&gt;$AA501,"",IF(($AA$489*HK$488*$AE$498)&lt;=$ED$474,((MOD($ED$474,($AA$489*HK$488*$AE$498)))),"")))</f>
        <v/>
      </c>
      <c r="HL489" s="214" t="str">
        <f ca="1">IF($AE498*$AA489*'Customer Base'!$D$26*0.8&gt;5800,"",IF($AE498*$AA489&gt;$AA501,"",IF(($AA$489*HL$488*$AE$498)&lt;=$ED$474,((MOD($ED$474,($AA$489*HL$488*$AE$498)))),"")))</f>
        <v/>
      </c>
      <c r="HM489" s="214" t="str">
        <f ca="1">IF($AE498*$AA489*'Customer Base'!$D$26*0.8&gt;5800,"",IF($AE498*$AA489&gt;$AA501,"",IF(($AA$489*HM$488*$AE$498)&lt;=$ED$474,((MOD($ED$474,($AA$489*HM$488*$AE$498)))),"")))</f>
        <v/>
      </c>
      <c r="HN489" s="214" t="str">
        <f ca="1">IF($AE498*$AA489*'Customer Base'!$D$26*0.8&gt;5800,"",IF($AE498*$AA489&gt;$AA501,"",IF(($AA$489*HN$488*$AE$498)&lt;=$ED$474,((MOD($ED$474,($AA$489*HN$488*$AE$498)))),"")))</f>
        <v/>
      </c>
      <c r="HO489" s="214" t="str">
        <f ca="1">IF($AE498*$AA489*'Customer Base'!$D$26*0.8&gt;5800,"",IF($AE498*$AA489&gt;$AA501,"",IF(($AA$489*HO$488*$AE$498)&lt;=$ED$474,((MOD($ED$474,($AA$489*HO$488*$AE$498)))),"")))</f>
        <v/>
      </c>
      <c r="HP489" s="214" t="str">
        <f ca="1">IF($AE498*$AA489*'Customer Base'!$D$26*0.8&gt;5800,"",IF($AE498*$AA489&gt;$AA501,"",IF(($AA$489*HP$488*$AE$498)&lt;=$ED$474,((MOD($ED$474,($AA$489*HP$488*$AE$498)))),"")))</f>
        <v/>
      </c>
      <c r="HQ489" s="214" t="str">
        <f ca="1">IF($AE498*$AA489*'Customer Base'!$D$26*0.8&gt;5800,"",IF($AE498*$AA489&gt;$AA501,"",IF(($AA$489*HQ$488*$AE$498)&lt;=$ED$474,((MOD($ED$474,($AA$489*HQ$488*$AE$498)))),"")))</f>
        <v/>
      </c>
      <c r="HR489" s="214" t="str">
        <f ca="1">IF($AE498*$AA489*'Customer Base'!$D$26*0.8&gt;5800,"",IF($AE498*$AA489&gt;$AA501,"",IF(($AA$489*HR$488*$AE$498)&lt;=$ED$474,((MOD($ED$474,($AA$489*HR$488*$AE$498)))),"")))</f>
        <v/>
      </c>
      <c r="HS489" s="214" t="str">
        <f ca="1">IF($AE498*$AA489*'Customer Base'!$D$26*0.8&gt;5800,"",IF($AE498*$AA489&gt;$AA501,"",IF(($AA$489*HS$488*$AE$498)&lt;=$ED$474,((MOD($ED$474,($AA$489*HS$488*$AE$498)))),"")))</f>
        <v/>
      </c>
      <c r="HT489" s="214" t="str">
        <f ca="1">IF($AE498*$AA489*'Customer Base'!$D$26*0.8&gt;5800,"",IF($AE498*$AA489&gt;$AA501,"",IF(($AA$489*HT$488*$AE$498)&lt;=$ED$474,((MOD($ED$474,($AA$489*HT$488*$AE$498)))),"")))</f>
        <v/>
      </c>
      <c r="HU489" s="214" t="str">
        <f ca="1">IF($AE498*$AA489*'Customer Base'!$D$26*0.8&gt;5800,"",IF($AE498*$AA489&gt;$AA501,"",IF(($AA$489*HU$488*$AE$498)&lt;=$ED$474,((MOD($ED$474,($AA$489*HU$488*$AE$498)))),"")))</f>
        <v/>
      </c>
      <c r="HV489" s="214" t="str">
        <f ca="1">IF($AE498*$AA489*'Customer Base'!$D$26*0.8&gt;5800,"",IF($AE498*$AA489&gt;$AA501,"",IF(($AA$489*HV$488*$AE$498)&lt;=$ED$474,((MOD($ED$474,($AA$489*HV$488*$AE$498)))),"")))</f>
        <v/>
      </c>
      <c r="HW489" s="214" t="str">
        <f ca="1">IF($AE498*$AA489*'Customer Base'!$D$26*0.8&gt;5800,"",IF($AE498*$AA489&gt;$AA501,"",IF(($AA$489*HW$488*$AE$498)&lt;=$ED$474,((MOD($ED$474,($AA$489*HW$488*$AE$498)))),"")))</f>
        <v/>
      </c>
      <c r="HX489" s="214" t="str">
        <f ca="1">IF($AE498*$AA489*'Customer Base'!$D$26*0.8&gt;5800,"",IF($AE498*$AA489&gt;$AA501,"",IF(($AA$489*HX$488*$AE$498)&lt;=$ED$474,((MOD($ED$474,($AA$489*HX$488*$AE$498)))),"")))</f>
        <v/>
      </c>
      <c r="HY489" s="214" t="str">
        <f ca="1">IF($AE498*$AA489*'Customer Base'!$D$26*0.8&gt;5800,"",IF($AE498*$AA489&gt;$AA501,"",IF(($AA$489*HY$488*$AE$498)&lt;=$ED$474,((MOD($ED$474,($AA$489*HY$488*$AE$498)))),"")))</f>
        <v/>
      </c>
      <c r="HZ489" s="214" t="str">
        <f ca="1">IF($AE498*$AA489*'Customer Base'!$D$26*0.8&gt;5800,"",IF($AE498*$AA489&gt;$AA501,"",IF(($AA$489*HZ$488*$AE$498)&lt;=$ED$474,((MOD($ED$474,($AA$489*HZ$488*$AE$498)))),"")))</f>
        <v/>
      </c>
      <c r="IA489" s="214" t="str">
        <f ca="1">IF($AE498*$AA489*'Customer Base'!$D$26*0.8&gt;5800,"",IF($AE498*$AA489&gt;$AA501,"",IF(($AA$489*IA$488*$AE$498)&lt;=$ED$474,((MOD($ED$474,($AA$489*IA$488*$AE$498)))),"")))</f>
        <v/>
      </c>
      <c r="IB489" s="214" t="str">
        <f ca="1">IF($AE498*$AA489*'Customer Base'!$D$26*0.8&gt;5800,"",IF($AE498*$AA489&gt;$AA501,"",IF(($AA$489*IB$488*$AE$498)&lt;=$ED$474,((MOD($ED$474,($AA$489*IB$488*$AE$498)))),"")))</f>
        <v/>
      </c>
      <c r="IC489" s="214" t="str">
        <f ca="1">IF($AE498*$AA489*'Customer Base'!$D$26*0.8&gt;5800,"",IF($AE498*$AA489&gt;$AA501,"",IF(($AA$489*IC$488*$AE$498)&lt;=$ED$474,((MOD($ED$474,($AA$489*IC$488*$AE$498)))),"")))</f>
        <v/>
      </c>
      <c r="ID489" s="214" t="str">
        <f ca="1">IF($AE498*$AA489*'Customer Base'!$D$26*0.8&gt;5800,"",IF($AE498*$AA489&gt;$AA501,"",IF(($AA$489*ID$488*$AE$498)&lt;=$ED$474,((MOD($ED$474,($AA$489*ID$488*$AE$498)))),"")))</f>
        <v/>
      </c>
      <c r="IE489" s="214" t="str">
        <f ca="1">IF($AE498*$AA489*'Customer Base'!$D$26*0.8&gt;5800,"",IF($AE498*$AA489&gt;$AA501,"",IF(($AA$489*IE$488*$AE$498)&lt;=$ED$474,((MOD($ED$474,($AA$489*IE$488*$AE$498)))),"")))</f>
        <v/>
      </c>
      <c r="IF489" s="214" t="str">
        <f ca="1">IF($AE498*$AA489*'Customer Base'!$D$26*0.8&gt;5800,"",IF($AE498*$AA489&gt;$AA501,"",IF(($AA$489*IF$488*$AE$498)&lt;=$ED$474,((MOD($ED$474,($AA$489*IF$488*$AE$498)))),"")))</f>
        <v/>
      </c>
      <c r="IG489" s="214" t="str">
        <f ca="1">IF($AE498*$AA489*'Customer Base'!$D$26*0.8&gt;5800,"",IF($AE498*$AA489&gt;$AA501,"",IF(($AA$489*IG$488*$AE$498)&lt;=$ED$474,((MOD($ED$474,($AA$489*IG$488*$AE$498)))),"")))</f>
        <v/>
      </c>
      <c r="IH489" s="214" t="str">
        <f ca="1">IF($AE498*$AA489*'Customer Base'!$D$26*0.8&gt;5800,"",IF($AE498*$AA489&gt;$AA501,"",IF(($AA$489*IH$488*$AE$498)&lt;=$ED$474,((MOD($ED$474,($AA$489*IH$488*$AE$498)))),"")))</f>
        <v/>
      </c>
      <c r="II489" s="214" t="str">
        <f ca="1">IF($AE498*$AA489*'Customer Base'!$D$26*0.8&gt;5800,"",IF($AE498*$AA489&gt;$AA501,"",IF(($AA$489*II$488*$AE$498)&lt;=$ED$474,((MOD($ED$474,($AA$489*II$488*$AE$498)))),"")))</f>
        <v/>
      </c>
      <c r="IK489" s="214" t="str" cm="1">
        <f t="array" aca="1" ref="IK489" ca="1">IFERROR(LOOKUP(2,1/(EN489:II489&lt;&gt;""),EN$488:II$488),"")</f>
        <v/>
      </c>
      <c r="IL489" s="316" t="str" cm="1">
        <f t="array" aca="1" ref="IL489" ca="1">IF(IK$474=IK489,LOOKUP(2,1/(EN489:II489&lt;&gt;""),EN489:II489),"")</f>
        <v/>
      </c>
      <c r="IM489" s="316" t="str">
        <f ca="1">IF(IL489=IL$474,1,"")</f>
        <v/>
      </c>
      <c r="IN489" s="316"/>
    </row>
    <row r="490" spans="2:248" ht="17">
      <c r="B490" s="211" t="s">
        <v>1355</v>
      </c>
      <c r="C490" s="212" t="s">
        <v>52</v>
      </c>
      <c r="D490" s="212" t="s">
        <v>52</v>
      </c>
      <c r="E490" s="215" t="s">
        <v>1329</v>
      </c>
      <c r="F490" s="107" t="str">
        <f t="shared" si="15"/>
        <v>T-FH</v>
      </c>
      <c r="AA490" s="214">
        <v>3</v>
      </c>
      <c r="AB490" s="316" t="s">
        <v>2699</v>
      </c>
      <c r="AC490" s="214">
        <f ca="1">IFERROR(MOD(AD$493,AA490),"")</f>
        <v>1</v>
      </c>
      <c r="AD490" s="214" t="str">
        <f ca="1">IF(OR(AD493=1,AD493=""),"",IF(AND(AC491&lt;&gt;0,AC490=0),IF(AC490=0,AA490,""),IF(AND(MAX(AC489:AC491)=AA490,SUMPRODUCT(AD491,AE491)&lt;&gt;AD493),AA490,"")))</f>
        <v/>
      </c>
      <c r="AE490" s="214" t="str">
        <f ca="1">IFERROR(IF(COUNT(AD490:AD491)&gt;1,1,(ROUNDDOWN(AD$493/AD490,0))),"")</f>
        <v/>
      </c>
      <c r="AF490" s="214">
        <f ca="1">IF($AE498*$AA490*'Customer Base'!$D$26*0.8&gt;5800,"",IF($AE498*$AA490&gt;$AA501,"",IF(($AA$490*AF$488*$AE$498)&lt;=$AA$501,((MOD($AA$501,($AA$490*AF$488*$AE$498)))),"")))</f>
        <v>4</v>
      </c>
      <c r="AG490" s="214">
        <f ca="1">IF($AE498*$AA490*'Customer Base'!$D$26*0.8&gt;5800,"",IF($AE498*$AA490&gt;$AA501,"",IF(($AA$490*AG$488*$AE$498)&lt;=$AA$501,((MOD($AA$501,($AA$490*AG$488*$AE$498)))),"")))</f>
        <v>16</v>
      </c>
      <c r="AH490" s="214">
        <f ca="1">IF($AE498*$AA490*'Customer Base'!$D$26*0.8&gt;5800,"",IF($AE498*$AA490&gt;$AA501,"",IF(($AA$490*AH$488*$AE$498)&lt;=$AA$501,((MOD($AA$501,($AA$490*AH$488*$AE$498)))),"")))</f>
        <v>4</v>
      </c>
      <c r="AI490" s="214" t="str">
        <f ca="1">IF($AE498*$AA490*'Customer Base'!$D$26*0.8&gt;5800,"",IF($AE498*$AA490&gt;$AA501,"",IF(($AA$490*AI$488*$AE$498)&lt;=$AA$501,((MOD($AA$501,($AA$490*AI$488*$AE$498)))),"")))</f>
        <v/>
      </c>
      <c r="AJ490" s="214" t="str">
        <f ca="1">IF($AE498*$AA490*'Customer Base'!$D$26*0.8&gt;5800,"",IF($AE498*$AA490&gt;$AA501,"",IF(($AA$490*AJ$488*$AE$498)&lt;=$AA$501,((MOD($AA$501,($AA$490*AJ$488*$AE$498)))),"")))</f>
        <v/>
      </c>
      <c r="AK490" s="214" t="str">
        <f ca="1">IF($AE498*$AA490*'Customer Base'!$D$26*0.8&gt;5800,"",IF($AE498*$AA490&gt;$AA501,"",IF(($AA$490*AK$488*$AE$498)&lt;=$AA$501,((MOD($AA$501,($AA$490*AK$488*$AE$498)))),"")))</f>
        <v/>
      </c>
      <c r="AL490" s="214" t="str">
        <f ca="1">IF($AE498*$AA490*'Customer Base'!$D$26*0.8&gt;5800,"",IF($AE498*$AA490&gt;$AA501,"",IF(($AA$490*AL$488*$AE$498)&lt;=$AA$501,((MOD($AA$501,($AA$490*AL$488*$AE$498)))),"")))</f>
        <v/>
      </c>
      <c r="AM490" s="214" t="str">
        <f ca="1">IF($AE498*$AA490*'Customer Base'!$D$26*0.8&gt;5800,"",IF($AE498*$AA490&gt;$AA501,"",IF(($AA$490*AM$488*$AE$498)&lt;=$AA$501,((MOD($AA$501,($AA$490*AM$488*$AE$498)))),"")))</f>
        <v/>
      </c>
      <c r="AN490" s="214" t="str">
        <f ca="1">IF($AE498*$AA490*'Customer Base'!$D$26*0.8&gt;5800,"",IF($AE498*$AA490&gt;$AA501,"",IF(($AA$490*AN$488*$AE$498)&lt;=$AA$501,((MOD($AA$501,($AA$490*AN$488*$AE$498)))),"")))</f>
        <v/>
      </c>
      <c r="AO490" s="214" t="str">
        <f ca="1">IF($AE498*$AA490*'Customer Base'!$D$26*0.8&gt;5800,"",IF($AE498*$AA490&gt;$AA501,"",IF(($AA$490*AO$488*$AE$498)&lt;=$AA$501,((MOD($AA$501,($AA$490*AO$488*$AE$498)))),"")))</f>
        <v/>
      </c>
      <c r="AP490" s="214" t="str">
        <f ca="1">IF($AE498*$AA490*'Customer Base'!$D$26*0.8&gt;5800,"",IF($AE498*$AA490&gt;$AA501,"",IF(($AA$490*AP$488*$AE$498)&lt;=$AA$501,((MOD($AA$501,($AA$490*AP$488*$AE$498)))),"")))</f>
        <v/>
      </c>
      <c r="AQ490" s="214" t="str">
        <f ca="1">IF($AE498*$AA490*'Customer Base'!$D$26*0.8&gt;5800,"",IF($AE498*$AA490&gt;$AA501,"",IF(($AA$490*AQ$488*$AE$498)&lt;=$AA$501,((MOD($AA$501,($AA$490*AQ$488*$AE$498)))),"")))</f>
        <v/>
      </c>
      <c r="AR490" s="214" t="str">
        <f ca="1">IF($AE498*$AA490*'Customer Base'!$D$26*0.8&gt;5800,"",IF($AE498*$AA490&gt;$AA501,"",IF(($AA$490*AR$488*$AE$498)&lt;=$AA$501,((MOD($AA$501,($AA$490*AR$488*$AE$498)))),"")))</f>
        <v/>
      </c>
      <c r="AS490" s="214" t="str">
        <f ca="1">IF($AE498*$AA490*'Customer Base'!$D$26*0.8&gt;5800,"",IF($AE498*$AA490&gt;$AA501,"",IF(($AA$490*AS$488*$AE$498)&lt;=$AA$501,((MOD($AA$501,($AA$490*AS$488*$AE$498)))),"")))</f>
        <v/>
      </c>
      <c r="AT490" s="214" t="str">
        <f ca="1">IF($AE498*$AA490*'Customer Base'!$D$26*0.8&gt;5800,"",IF($AE498*$AA490&gt;$AA501,"",IF(($AA$490*AT$488*$AE$498)&lt;=$AA$501,((MOD($AA$501,($AA$490*AT$488*$AE$498)))),"")))</f>
        <v/>
      </c>
      <c r="AU490" s="214" t="str">
        <f ca="1">IF($AE498*$AA490*'Customer Base'!$D$26*0.8&gt;5800,"",IF($AE498*$AA490&gt;$AA501,"",IF(($AA$490*AU$488*$AE$498)&lt;=$AA$501,((MOD($AA$501,($AA$490*AU$488*$AE$498)))),"")))</f>
        <v/>
      </c>
      <c r="AV490" s="214" t="str">
        <f ca="1">IF($AE498*$AA490*'Customer Base'!$D$26*0.8&gt;5800,"",IF($AE498*$AA490&gt;$AA501,"",IF(($AA$490*AV$488*$AE$498)&lt;=$AA$501,((MOD($AA$501,($AA$490*AV$488*$AE$498)))),"")))</f>
        <v/>
      </c>
      <c r="AW490" s="214" t="str">
        <f ca="1">IF($AE498*$AA490*'Customer Base'!$D$26*0.8&gt;5800,"",IF($AE498*$AA490&gt;$AA501,"",IF(($AA$490*AW$488*$AE$498)&lt;=$AA$501,((MOD($AA$501,($AA$490*AW$488*$AE$498)))),"")))</f>
        <v/>
      </c>
      <c r="AX490" s="214" t="str">
        <f ca="1">IF($AE498*$AA490*'Customer Base'!$D$26*0.8&gt;5800,"",IF($AE498*$AA490&gt;$AA501,"",IF(($AA$490*AX$488*$AE$498)&lt;=$AA$501,((MOD($AA$501,($AA$490*AX$488*$AE$498)))),"")))</f>
        <v/>
      </c>
      <c r="AY490" s="214" t="str">
        <f ca="1">IF($AE498*$AA490*'Customer Base'!$D$26*0.8&gt;5800,"",IF($AE498*$AA490&gt;$AA501,"",IF(($AA$490*AY$488*$AE$498)&lt;=$AA$501,((MOD($AA$501,($AA$490*AY$488*$AE$498)))),"")))</f>
        <v/>
      </c>
      <c r="AZ490" s="214" t="str">
        <f ca="1">IF($AE498*$AA490*'Customer Base'!$D$26*0.8&gt;5800,"",IF($AE498*$AA490&gt;$AA501,"",IF(($AA$490*AZ$488*$AE$498)&lt;=$AA$501,((MOD($AA$501,($AA$490*AZ$488*$AE$498)))),"")))</f>
        <v/>
      </c>
      <c r="BA490" s="214" t="str">
        <f ca="1">IF($AE498*$AA490*'Customer Base'!$D$26*0.8&gt;5800,"",IF($AE498*$AA490&gt;$AA501,"",IF(($AA$490*BA$488*$AE$498)&lt;=$AA$501,((MOD($AA$501,($AA$490*BA$488*$AE$498)))),"")))</f>
        <v/>
      </c>
      <c r="BB490" s="214" t="str">
        <f ca="1">IF($AE498*$AA490*'Customer Base'!$D$26*0.8&gt;5800,"",IF($AE498*$AA490&gt;$AA501,"",IF(($AA$490*BB$488*$AE$498)&lt;=$AA$501,((MOD($AA$501,($AA$490*BB$488*$AE$498)))),"")))</f>
        <v/>
      </c>
      <c r="BC490" s="214" t="str">
        <f ca="1">IF($AE498*$AA490*'Customer Base'!$D$26*0.8&gt;5800,"",IF($AE498*$AA490&gt;$AA501,"",IF(($AA$490*BC$488*$AE$498)&lt;=$AA$501,((MOD($AA$501,($AA$490*BC$488*$AE$498)))),"")))</f>
        <v/>
      </c>
      <c r="BD490" s="214" t="str">
        <f ca="1">IF($AE498*$AA490*'Customer Base'!$D$26*0.8&gt;5800,"",IF($AE498*$AA490&gt;$AA501,"",IF(($AA$490*BD$488*$AE$498)&lt;=$AA$501,((MOD($AA$501,($AA$490*BD$488*$AE$498)))),"")))</f>
        <v/>
      </c>
      <c r="BE490" s="214" t="str">
        <f ca="1">IF($AE498*$AA490*'Customer Base'!$D$26*0.8&gt;5800,"",IF($AE498*$AA490&gt;$AA501,"",IF(($AA$490*BE$488*$AE$498)&lt;=$AA$501,((MOD($AA$501,($AA$490*BE$488*$AE$498)))),"")))</f>
        <v/>
      </c>
      <c r="BF490" s="214" t="str">
        <f ca="1">IF($AE498*$AA490*'Customer Base'!$D$26*0.8&gt;5800,"",IF($AE498*$AA490&gt;$AA501,"",IF(($AA$490*BF$488*$AE$498)&lt;=$AA$501,((MOD($AA$501,($AA$490*BF$488*$AE$498)))),"")))</f>
        <v/>
      </c>
      <c r="BG490" s="214" t="str">
        <f ca="1">IF($AE498*$AA490*'Customer Base'!$D$26*0.8&gt;5800,"",IF($AE498*$AA490&gt;$AA501,"",IF(($AA$490*BG$488*$AE$498)&lt;=$AA$501,((MOD($AA$501,($AA$490*BG$488*$AE$498)))),"")))</f>
        <v/>
      </c>
      <c r="BH490" s="214" t="str">
        <f ca="1">IF($AE498*$AA490*'Customer Base'!$D$26*0.8&gt;5800,"",IF($AE498*$AA490&gt;$AA501,"",IF(($AA$490*BH$488*$AE$498)&lt;=$AA$501,((MOD($AA$501,($AA$490*BH$488*$AE$498)))),"")))</f>
        <v/>
      </c>
      <c r="BI490" s="214" t="str">
        <f ca="1">IF($AE498*$AA490*'Customer Base'!$D$26*0.8&gt;5800,"",IF($AE498*$AA490&gt;$AA501,"",IF(($AA$490*BI$488*$AE$498)&lt;=$AA$501,((MOD($AA$501,($AA$490*BI$488*$AE$498)))),"")))</f>
        <v/>
      </c>
      <c r="BJ490" s="214" t="str">
        <f ca="1">IF($AE498*$AA490*'Customer Base'!$D$26*0.8&gt;5800,"",IF($AE498*$AA490&gt;$AA501,"",IF(($AA$490*BJ$488*$AE$498)&lt;=$AA$501,((MOD($AA$501,($AA$490*BJ$488*$AE$498)))),"")))</f>
        <v/>
      </c>
      <c r="BK490" s="214" t="str">
        <f ca="1">IF($AE498*$AA490*'Customer Base'!$D$26*0.8&gt;5800,"",IF($AE498*$AA490&gt;$AA501,"",IF(($AA$490*BK$488*$AE$498)&lt;=$AA$501,((MOD($AA$501,($AA$490*BK$488*$AE$498)))),"")))</f>
        <v/>
      </c>
      <c r="BL490" s="214" t="str">
        <f ca="1">IF($AE498*$AA490*'Customer Base'!$D$26*0.8&gt;5800,"",IF($AE498*$AA490&gt;$AA501,"",IF(($AA$490*BL$488*$AE$498)&lt;=$AA$501,((MOD($AA$501,($AA$490*BL$488*$AE$498)))),"")))</f>
        <v/>
      </c>
      <c r="BM490" s="214" t="str">
        <f ca="1">IF($AE498*$AA490*'Customer Base'!$D$26*0.8&gt;5800,"",IF($AE498*$AA490&gt;$AA501,"",IF(($AA$490*BM$488*$AE$498)&lt;=$AA$501,((MOD($AA$501,($AA$490*BM$488*$AE$498)))),"")))</f>
        <v/>
      </c>
      <c r="BN490" s="214" t="str">
        <f ca="1">IF($AE498*$AA490*'Customer Base'!$D$26*0.8&gt;5800,"",IF($AE498*$AA490&gt;$AA501,"",IF(($AA$490*BN$488*$AE$498)&lt;=$AA$501,((MOD($AA$501,($AA$490*BN$488*$AE$498)))),"")))</f>
        <v/>
      </c>
      <c r="BO490" s="214" t="str">
        <f ca="1">IF($AE498*$AA490*'Customer Base'!$D$26*0.8&gt;5800,"",IF($AE498*$AA490&gt;$AA501,"",IF(($AA$490*BO$488*$AE$498)&lt;=$AA$501,((MOD($AA$501,($AA$490*BO$488*$AE$498)))),"")))</f>
        <v/>
      </c>
      <c r="BP490" s="214" t="str">
        <f ca="1">IF($AE498*$AA490*'Customer Base'!$D$26*0.8&gt;5800,"",IF($AE498*$AA490&gt;$AA501,"",IF(($AA$490*BP$488*$AE$498)&lt;=$AA$501,((MOD($AA$501,($AA$490*BP$488*$AE$498)))),"")))</f>
        <v/>
      </c>
      <c r="BQ490" s="214" t="str">
        <f ca="1">IF($AE498*$AA490*'Customer Base'!$D$26*0.8&gt;5800,"",IF($AE498*$AA490&gt;$AA501,"",IF(($AA$490*BQ$488*$AE$498)&lt;=$AA$501,((MOD($AA$501,($AA$490*BQ$488*$AE$498)))),"")))</f>
        <v/>
      </c>
      <c r="BR490" s="214" t="str">
        <f ca="1">IF($AE498*$AA490*'Customer Base'!$D$26*0.8&gt;5800,"",IF($AE498*$AA490&gt;$AA501,"",IF(($AA$490*BR$488*$AE$498)&lt;=$AA$501,((MOD($AA$501,($AA$490*BR$488*$AE$498)))),"")))</f>
        <v/>
      </c>
      <c r="BS490" s="214" t="str">
        <f ca="1">IF($AE498*$AA490*'Customer Base'!$D$26*0.8&gt;5800,"",IF($AE498*$AA490&gt;$AA501,"",IF(($AA$490*BS$488*$AE$498)&lt;=$AA$501,((MOD($AA$501,($AA$490*BS$488*$AE$498)))),"")))</f>
        <v/>
      </c>
      <c r="BT490" s="214" t="str">
        <f ca="1">IF($AE498*$AA490*'Customer Base'!$D$26*0.8&gt;5800,"",IF($AE498*$AA490&gt;$AA501,"",IF(($AA$490*BT$488*$AE$498)&lt;=$AA$501,((MOD($AA$501,($AA$490*BT$488*$AE$498)))),"")))</f>
        <v/>
      </c>
      <c r="BU490" s="214" t="str">
        <f ca="1">IF($AE498*$AA490*'Customer Base'!$D$26*0.8&gt;5800,"",IF($AE498*$AA490&gt;$AA501,"",IF(($AA$490*BU$488*$AE$498)&lt;=$AA$501,((MOD($AA$501,($AA$490*BU$488*$AE$498)))),"")))</f>
        <v/>
      </c>
      <c r="BV490" s="214" t="str">
        <f ca="1">IF($AE498*$AA490*'Customer Base'!$D$26*0.8&gt;5800,"",IF($AE498*$AA490&gt;$AA501,"",IF(($AA$490*BV$488*$AE$498)&lt;=$AA$501,((MOD($AA$501,($AA$490*BV$488*$AE$498)))),"")))</f>
        <v/>
      </c>
      <c r="BW490" s="214" t="str">
        <f ca="1">IF($AE498*$AA490*'Customer Base'!$D$26*0.8&gt;5800,"",IF($AE498*$AA490&gt;$AA501,"",IF(($AA$490*BW$488*$AE$498)&lt;=$AA$501,((MOD($AA$501,($AA$490*BW$488*$AE$498)))),"")))</f>
        <v/>
      </c>
      <c r="BX490" s="214" t="str">
        <f ca="1">IF($AE498*$AA490*'Customer Base'!$D$26*0.8&gt;5800,"",IF($AE498*$AA490&gt;$AA501,"",IF(($AA$490*BX$488*$AE$498)&lt;=$AA$501,((MOD($AA$501,($AA$490*BX$488*$AE$498)))),"")))</f>
        <v/>
      </c>
      <c r="BY490" s="214" t="str">
        <f ca="1">IF($AE498*$AA490*'Customer Base'!$D$26*0.8&gt;5800,"",IF($AE498*$AA490&gt;$AA501,"",IF(($AA$490*BY$488*$AE$498)&lt;=$AA$501,((MOD($AA$501,($AA$490*BY$488*$AE$498)))),"")))</f>
        <v/>
      </c>
      <c r="BZ490" s="214" t="str">
        <f ca="1">IF($AE498*$AA490*'Customer Base'!$D$26*0.8&gt;5800,"",IF($AE498*$AA490&gt;$AA501,"",IF(($AA$490*BZ$488*$AE$498)&lt;=$AA$501,((MOD($AA$501,($AA$490*BZ$488*$AE$498)))),"")))</f>
        <v/>
      </c>
      <c r="CA490" s="214" t="str">
        <f ca="1">IF($AE498*$AA490*'Customer Base'!$D$26*0.8&gt;5800,"",IF($AE498*$AA490&gt;$AA501,"",IF(($AA$490*CA$488*$AE$498)&lt;=$AA$501,((MOD($AA$501,($AA$490*CA$488*$AE$498)))),"")))</f>
        <v/>
      </c>
      <c r="CB490" s="214" t="str">
        <f ca="1">IF($AE498*$AA490*'Customer Base'!$D$26*0.8&gt;5800,"",IF($AE498*$AA490&gt;$AA501,"",IF(($AA$490*CB$488*$AE$498)&lt;=$AA$501,((MOD($AA$501,($AA$490*CB$488*$AE$498)))),"")))</f>
        <v/>
      </c>
      <c r="CC490" s="214" t="str">
        <f ca="1">IF($AE498*$AA490*'Customer Base'!$D$26*0.8&gt;5800,"",IF($AE498*$AA490&gt;$AA501,"",IF(($AA$490*CC$488*$AE$498)&lt;=$AA$501,((MOD($AA$501,($AA$490*CC$488*$AE$498)))),"")))</f>
        <v/>
      </c>
      <c r="CD490" s="214" t="str">
        <f ca="1">IF($AE498*$AA490*'Customer Base'!$D$26*0.8&gt;5800,"",IF($AE498*$AA490&gt;$AA501,"",IF(($AA$490*CD$488*$AE$498)&lt;=$AA$501,((MOD($AA$501,($AA$490*CD$488*$AE$498)))),"")))</f>
        <v/>
      </c>
      <c r="CE490" s="214" t="str">
        <f ca="1">IF($AE498*$AA490*'Customer Base'!$D$26*0.8&gt;5800,"",IF($AE498*$AA490&gt;$AA501,"",IF(($AA$490*CE$488*$AE$498)&lt;=$AA$501,((MOD($AA$501,($AA$490*CE$488*$AE$498)))),"")))</f>
        <v/>
      </c>
      <c r="CF490" s="214" t="str">
        <f ca="1">IF($AE498*$AA490*'Customer Base'!$D$26*0.8&gt;5800,"",IF($AE498*$AA490&gt;$AA501,"",IF(($AA$490*CF$488*$AE$498)&lt;=$AA$501,((MOD($AA$501,($AA$490*CF$488*$AE$498)))),"")))</f>
        <v/>
      </c>
      <c r="CG490" s="214" t="str">
        <f ca="1">IF($AE498*$AA490*'Customer Base'!$D$26*0.8&gt;5800,"",IF($AE498*$AA490&gt;$AA501,"",IF(($AA$490*CG$488*$AE$498)&lt;=$AA$501,((MOD($AA$501,($AA$490*CG$488*$AE$498)))),"")))</f>
        <v/>
      </c>
      <c r="CH490" s="214" t="str">
        <f ca="1">IF($AE498*$AA490*'Customer Base'!$D$26*0.8&gt;5800,"",IF($AE498*$AA490&gt;$AA501,"",IF(($AA$490*CH$488*$AE$498)&lt;=$AA$501,((MOD($AA$501,($AA$490*CH$488*$AE$498)))),"")))</f>
        <v/>
      </c>
      <c r="CI490" s="214" t="str">
        <f ca="1">IF($AE498*$AA490*'Customer Base'!$D$26*0.8&gt;5800,"",IF($AE498*$AA490&gt;$AA501,"",IF(($AA$490*CI$488*$AE$498)&lt;=$AA$501,((MOD($AA$501,($AA$490*CI$488*$AE$498)))),"")))</f>
        <v/>
      </c>
      <c r="CJ490" s="214" t="str">
        <f ca="1">IF($AE498*$AA490*'Customer Base'!$D$26*0.8&gt;5800,"",IF($AE498*$AA490&gt;$AA501,"",IF(($AA$490*CJ$488*$AE$498)&lt;=$AA$501,((MOD($AA$501,($AA$490*CJ$488*$AE$498)))),"")))</f>
        <v/>
      </c>
      <c r="CK490" s="214" t="str">
        <f ca="1">IF($AE498*$AA490*'Customer Base'!$D$26*0.8&gt;5800,"",IF($AE498*$AA490&gt;$AA501,"",IF(($AA$490*CK$488*$AE$498)&lt;=$AA$501,((MOD($AA$501,($AA$490*CK$488*$AE$498)))),"")))</f>
        <v/>
      </c>
      <c r="CL490" s="214" t="str">
        <f ca="1">IF($AE498*$AA490*'Customer Base'!$D$26*0.8&gt;5800,"",IF($AE498*$AA490&gt;$AA501,"",IF(($AA$490*CL$488*$AE$498)&lt;=$AA$501,((MOD($AA$501,($AA$490*CL$488*$AE$498)))),"")))</f>
        <v/>
      </c>
      <c r="CM490" s="214" t="str">
        <f ca="1">IF($AE498*$AA490*'Customer Base'!$D$26*0.8&gt;5800,"",IF($AE498*$AA490&gt;$AA501,"",IF(($AA$490*CM$488*$AE$498)&lt;=$AA$501,((MOD($AA$501,($AA$490*CM$488*$AE$498)))),"")))</f>
        <v/>
      </c>
      <c r="CN490" s="214" t="str">
        <f ca="1">IF($AE498*$AA490*'Customer Base'!$D$26*0.8&gt;5800,"",IF($AE498*$AA490&gt;$AA501,"",IF(($AA$490*CN$488*$AE$498)&lt;=$AA$501,((MOD($AA$501,($AA$490*CN$488*$AE$498)))),"")))</f>
        <v/>
      </c>
      <c r="CO490" s="214" t="str">
        <f ca="1">IF($AE498*$AA490*'Customer Base'!$D$26*0.8&gt;5800,"",IF($AE498*$AA490&gt;$AA501,"",IF(($AA$490*CO$488*$AE$498)&lt;=$AA$501,((MOD($AA$501,($AA$490*CO$488*$AE$498)))),"")))</f>
        <v/>
      </c>
      <c r="CP490" s="214" t="str">
        <f ca="1">IF($AE498*$AA490*'Customer Base'!$D$26*0.8&gt;5800,"",IF($AE498*$AA490&gt;$AA501,"",IF(($AA$490*CP$488*$AE$498)&lt;=$AA$501,((MOD($AA$501,($AA$490*CP$488*$AE$498)))),"")))</f>
        <v/>
      </c>
      <c r="CQ490" s="214" t="str">
        <f ca="1">IF($AE498*$AA490*'Customer Base'!$D$26*0.8&gt;5800,"",IF($AE498*$AA490&gt;$AA501,"",IF(($AA$490*CQ$488*$AE$498)&lt;=$AA$501,((MOD($AA$501,($AA$490*CQ$488*$AE$498)))),"")))</f>
        <v/>
      </c>
      <c r="CR490" s="214" t="str">
        <f ca="1">IF($AE498*$AA490*'Customer Base'!$D$26*0.8&gt;5800,"",IF($AE498*$AA490&gt;$AA501,"",IF(($AA$490*CR$488*$AE$498)&lt;=$AA$501,((MOD($AA$501,($AA$490*CR$488*$AE$498)))),"")))</f>
        <v/>
      </c>
      <c r="CS490" s="214" t="str">
        <f ca="1">IF($AE498*$AA490*'Customer Base'!$D$26*0.8&gt;5800,"",IF($AE498*$AA490&gt;$AA501,"",IF(($AA$490*CS$488*$AE$498)&lt;=$AA$501,((MOD($AA$501,($AA$490*CS$488*$AE$498)))),"")))</f>
        <v/>
      </c>
      <c r="CT490" s="214" t="str">
        <f ca="1">IF($AE498*$AA490*'Customer Base'!$D$26*0.8&gt;5800,"",IF($AE498*$AA490&gt;$AA501,"",IF(($AA$490*CT$488*$AE$498)&lt;=$AA$501,((MOD($AA$501,($AA$490*CT$488*$AE$498)))),"")))</f>
        <v/>
      </c>
      <c r="CU490" s="214" t="str">
        <f ca="1">IF($AE498*$AA490*'Customer Base'!$D$26*0.8&gt;5800,"",IF($AE498*$AA490&gt;$AA501,"",IF(($AA$490*CU$488*$AE$498)&lt;=$AA$501,((MOD($AA$501,($AA$490*CU$488*$AE$498)))),"")))</f>
        <v/>
      </c>
      <c r="CV490" s="214" t="str">
        <f ca="1">IF($AE498*$AA490*'Customer Base'!$D$26*0.8&gt;5800,"",IF($AE498*$AA490&gt;$AA501,"",IF(($AA$490*CV$488*$AE$498)&lt;=$AA$501,((MOD($AA$501,($AA$490*CV$488*$AE$498)))),"")))</f>
        <v/>
      </c>
      <c r="CW490" s="214" t="str">
        <f ca="1">IF($AE498*$AA490*'Customer Base'!$D$26*0.8&gt;5800,"",IF($AE498*$AA490&gt;$AA501,"",IF(($AA$490*CW$488*$AE$498)&lt;=$AA$501,((MOD($AA$501,($AA$490*CW$488*$AE$498)))),"")))</f>
        <v/>
      </c>
      <c r="CX490" s="214" t="str">
        <f ca="1">IF($AE498*$AA490*'Customer Base'!$D$26*0.8&gt;5800,"",IF($AE498*$AA490&gt;$AA501,"",IF(($AA$490*CX$488*$AE$498)&lt;=$AA$501,((MOD($AA$501,($AA$490*CX$488*$AE$498)))),"")))</f>
        <v/>
      </c>
      <c r="CY490" s="214" t="str">
        <f ca="1">IF($AE498*$AA490*'Customer Base'!$D$26*0.8&gt;5800,"",IF($AE498*$AA490&gt;$AA501,"",IF(($AA$490*CY$488*$AE$498)&lt;=$AA$501,((MOD($AA$501,($AA$490*CY$488*$AE$498)))),"")))</f>
        <v/>
      </c>
      <c r="CZ490" s="214" t="str">
        <f ca="1">IF($AE498*$AA490*'Customer Base'!$D$26*0.8&gt;5800,"",IF($AE498*$AA490&gt;$AA501,"",IF(($AA$490*CZ$488*$AE$498)&lt;=$AA$501,((MOD($AA$501,($AA$490*CZ$488*$AE$498)))),"")))</f>
        <v/>
      </c>
      <c r="DA490" s="214" t="str">
        <f ca="1">IF($AE498*$AA490*'Customer Base'!$D$26*0.8&gt;5800,"",IF($AE498*$AA490&gt;$AA501,"",IF(($AA$490*DA$488*$AE$498)&lt;=$AA$501,((MOD($AA$501,($AA$490*DA$488*$AE$498)))),"")))</f>
        <v/>
      </c>
      <c r="DB490" s="214" t="str">
        <f ca="1">IF($AE498*$AA490*'Customer Base'!$D$26*0.8&gt;5800,"",IF($AE498*$AA490&gt;$AA501,"",IF(($AA$490*DB$488*$AE$498)&lt;=$AA$501,((MOD($AA$501,($AA$490*DB$488*$AE$498)))),"")))</f>
        <v/>
      </c>
      <c r="DC490" s="214" t="str">
        <f ca="1">IF($AE498*$AA490*'Customer Base'!$D$26*0.8&gt;5800,"",IF($AE498*$AA490&gt;$AA501,"",IF(($AA$490*DC$488*$AE$498)&lt;=$AA$501,((MOD($AA$501,($AA$490*DC$488*$AE$498)))),"")))</f>
        <v/>
      </c>
      <c r="DD490" s="214" t="str">
        <f ca="1">IF($AE498*$AA490*'Customer Base'!$D$26*0.8&gt;5800,"",IF($AE498*$AA490&gt;$AA501,"",IF(($AA$490*DD$488*$AE$498)&lt;=$AA$501,((MOD($AA$501,($AA$490*DD$488*$AE$498)))),"")))</f>
        <v/>
      </c>
      <c r="DE490" s="214" t="str">
        <f ca="1">IF($AE498*$AA490*'Customer Base'!$D$26*0.8&gt;5800,"",IF($AE498*$AA490&gt;$AA501,"",IF(($AA$490*DE$488*$AE$498)&lt;=$AA$501,((MOD($AA$501,($AA$490*DE$488*$AE$498)))),"")))</f>
        <v/>
      </c>
      <c r="DF490" s="214" t="str">
        <f ca="1">IF($AE498*$AA490*'Customer Base'!$D$26*0.8&gt;5800,"",IF($AE498*$AA490&gt;$AA501,"",IF(($AA$490*DF$488*$AE$498)&lt;=$AA$501,((MOD($AA$501,($AA$490*DF$488*$AE$498)))),"")))</f>
        <v/>
      </c>
      <c r="DG490" s="214" t="str">
        <f ca="1">IF($AE498*$AA490*'Customer Base'!$D$26*0.8&gt;5800,"",IF($AE498*$AA490&gt;$AA501,"",IF(($AA$490*DG$488*$AE$498)&lt;=$AA$501,((MOD($AA$501,($AA$490*DG$488*$AE$498)))),"")))</f>
        <v/>
      </c>
      <c r="DH490" s="214" t="str">
        <f ca="1">IF($AE498*$AA490*'Customer Base'!$D$26*0.8&gt;5800,"",IF($AE498*$AA490&gt;$AA501,"",IF(($AA$490*DH$488*$AE$498)&lt;=$AA$501,((MOD($AA$501,($AA$490*DH$488*$AE$498)))),"")))</f>
        <v/>
      </c>
      <c r="DI490" s="214" t="str">
        <f ca="1">IF($AE498*$AA490*'Customer Base'!$D$26*0.8&gt;5800,"",IF($AE498*$AA490&gt;$AA501,"",IF(($AA$490*DI$488*$AE$498)&lt;=$AA$501,((MOD($AA$501,($AA$490*DI$488*$AE$498)))),"")))</f>
        <v/>
      </c>
      <c r="DJ490" s="214" t="str">
        <f ca="1">IF($AE498*$AA490*'Customer Base'!$D$26*0.8&gt;5800,"",IF($AE498*$AA490&gt;$AA501,"",IF(($AA$490*DJ$488*$AE$498)&lt;=$AA$501,((MOD($AA$501,($AA$490*DJ$488*$AE$498)))),"")))</f>
        <v/>
      </c>
      <c r="DK490" s="214" t="str">
        <f ca="1">IF($AE498*$AA490*'Customer Base'!$D$26*0.8&gt;5800,"",IF($AE498*$AA490&gt;$AA501,"",IF(($AA$490*DK$488*$AE$498)&lt;=$AA$501,((MOD($AA$501,($AA$490*DK$488*$AE$498)))),"")))</f>
        <v/>
      </c>
      <c r="DL490" s="214" t="str">
        <f ca="1">IF($AE498*$AA490*'Customer Base'!$D$26*0.8&gt;5800,"",IF($AE498*$AA490&gt;$AA501,"",IF(($AA$490*DL$488*$AE$498)&lt;=$AA$501,((MOD($AA$501,($AA$490*DL$488*$AE$498)))),"")))</f>
        <v/>
      </c>
      <c r="DM490" s="214" t="str">
        <f ca="1">IF($AE498*$AA490*'Customer Base'!$D$26*0.8&gt;5800,"",IF($AE498*$AA490&gt;$AA501,"",IF(($AA$490*DM$488*$AE$498)&lt;=$AA$501,((MOD($AA$501,($AA$490*DM$488*$AE$498)))),"")))</f>
        <v/>
      </c>
      <c r="DN490" s="214" t="str">
        <f ca="1">IF($AE498*$AA490*'Customer Base'!$D$26*0.8&gt;5800,"",IF($AE498*$AA490&gt;$AA501,"",IF(($AA$490*DN$488*$AE$498)&lt;=$AA$501,((MOD($AA$501,($AA$490*DN$488*$AE$498)))),"")))</f>
        <v/>
      </c>
      <c r="DO490" s="214" t="str">
        <f ca="1">IF($AE498*$AA490*'Customer Base'!$D$26*0.8&gt;5800,"",IF($AE498*$AA490&gt;$AA501,"",IF(($AA$490*DO$488*$AE$498)&lt;=$AA$501,((MOD($AA$501,($AA$490*DO$488*$AE$498)))),"")))</f>
        <v/>
      </c>
      <c r="DP490" s="214" t="str">
        <f ca="1">IF($AE498*$AA490*'Customer Base'!$D$26*0.8&gt;5800,"",IF($AE498*$AA490&gt;$AA501,"",IF(($AA$490*DP$488*$AE$498)&lt;=$AA$501,((MOD($AA$501,($AA$490*DP$488*$AE$498)))),"")))</f>
        <v/>
      </c>
      <c r="DQ490" s="214" t="str">
        <f ca="1">IF($AE498*$AA490*'Customer Base'!$D$26*0.8&gt;5800,"",IF($AE498*$AA490&gt;$AA501,"",IF(($AA$490*DQ$488*$AE$498)&lt;=$AA$501,((MOD($AA$501,($AA$490*DQ$488*$AE$498)))),"")))</f>
        <v/>
      </c>
      <c r="DR490" s="214" t="str">
        <f ca="1">IF($AE498*$AA490*'Customer Base'!$D$26*0.8&gt;5800,"",IF($AE498*$AA490&gt;$AA501,"",IF(($AA$490*DR$488*$AE$498)&lt;=$AA$501,((MOD($AA$501,($AA$490*DR$488*$AE$498)))),"")))</f>
        <v/>
      </c>
      <c r="DS490" s="214" t="str">
        <f ca="1">IF($AE498*$AA490*'Customer Base'!$D$26*0.8&gt;5800,"",IF($AE498*$AA490&gt;$AA501,"",IF(($AA$490*DS$488*$AE$498)&lt;=$AA$501,((MOD($AA$501,($AA$490*DS$488*$AE$498)))),"")))</f>
        <v/>
      </c>
      <c r="DT490" s="214" t="str">
        <f ca="1">IF($AE498*$AA490*'Customer Base'!$D$26*0.8&gt;5800,"",IF($AE498*$AA490&gt;$AA501,"",IF(($AA$490*DT$488*$AE$498)&lt;=$AA$501,((MOD($AA$501,($AA$490*DT$488*$AE$498)))),"")))</f>
        <v/>
      </c>
      <c r="DU490" s="214" t="str">
        <f ca="1">IF($AE498*$AA490*'Customer Base'!$D$26*0.8&gt;5800,"",IF($AE498*$AA490&gt;$AA501,"",IF(($AA$490*DU$488*$AE$498)&lt;=$AA$501,((MOD($AA$501,($AA$490*DU$488*$AE$498)))),"")))</f>
        <v/>
      </c>
      <c r="DV490" s="214" t="str">
        <f ca="1">IF($AE498*$AA490*'Customer Base'!$D$26*0.8&gt;5800,"",IF($AE498*$AA490&gt;$AA501,"",IF(($AA$490*DV$488*$AE$498)&lt;=$AA$501,((MOD($AA$501,($AA$490*DV$488*$AE$498)))),"")))</f>
        <v/>
      </c>
      <c r="DW490" s="214" t="str">
        <f ca="1">IF($AE498*$AA490*'Customer Base'!$D$26*0.8&gt;5800,"",IF($AE498*$AA490&gt;$AA501,"",IF(($AA$490*DW$488*$AE$498)&lt;=$AA$501,((MOD($AA$501,($AA$490*DW$488*$AE$498)))),"")))</f>
        <v/>
      </c>
      <c r="DX490" s="214" t="str">
        <f ca="1">IF($AE498*$AA490*'Customer Base'!$D$26*0.8&gt;5800,"",IF($AE498*$AA490&gt;$AA501,"",IF(($AA$490*DX$488*$AE$498)&lt;=$AA$501,((MOD($AA$501,($AA$490*DX$488*$AE$498)))),"")))</f>
        <v/>
      </c>
      <c r="DY490" s="214" t="str">
        <f ca="1">IF($AE498*$AA490*'Customer Base'!$D$26*0.8&gt;5800,"",IF($AE498*$AA490&gt;$AA501,"",IF(($AA$490*DY$488*$AE$498)&lt;=$AA$501,((MOD($AA$501,($AA$490*DY$488*$AE$498)))),"")))</f>
        <v/>
      </c>
      <c r="DZ490" s="214" t="str">
        <f ca="1">IF($AE498*$AA490*'Customer Base'!$D$26*0.8&gt;5800,"",IF($AE498*$AA490&gt;$AA501,"",IF(($AA$490*DZ$488*$AE$498)&lt;=$AA$501,((MOD($AA$501,($AA$490*DZ$488*$AE$498)))),"")))</f>
        <v/>
      </c>
      <c r="EA490" s="214" t="str">
        <f ca="1">IF($AE498*$AA490*'Customer Base'!$D$26*0.8&gt;5800,"",IF($AE498*$AA490&gt;$AA501,"",IF(($AA$490*EA$488*$AE$498)&lt;=$AA$501,((MOD($AA$501,($AA$490*EA$488*$AE$498)))),"")))</f>
        <v/>
      </c>
      <c r="EC490" s="214" cm="1">
        <f t="array" aca="1" ref="EC490" ca="1">IFERROR(LOOKUP(2,1/(AF490:EA490&lt;&gt;""),AF$488:EA$488),"")</f>
        <v>3</v>
      </c>
      <c r="ED490" s="316" cm="1">
        <f t="array" aca="1" ref="ED490" ca="1">IF(EC$474=EC490,LOOKUP(2,1/(AF490:EA490&lt;&gt;""),AF490:EA490),"")</f>
        <v>4</v>
      </c>
      <c r="EE490" s="316">
        <f ca="1">IF(ED490=ED$474,1,"")</f>
        <v>1</v>
      </c>
      <c r="EF490" s="316"/>
      <c r="EG490" s="316"/>
      <c r="EH490" s="316"/>
      <c r="EI490" s="214">
        <v>3</v>
      </c>
      <c r="EJ490" s="316" t="s">
        <v>2699</v>
      </c>
      <c r="EK490" s="214">
        <f>IFERROR(MOD(EL$495,EI490),"")</f>
        <v>0</v>
      </c>
      <c r="EL490" s="214" t="str">
        <f>IF(OR(EL495=1,EL495=""),"",IF(AND(EK491&lt;&gt;0,EK490=0),IF(EK490=0,EI490,""),IF(AND(MAX(EK489:EK491)=EI490,SUMPRODUCT(EL491,EM491)&lt;&gt;EL495),EI490,"")))</f>
        <v/>
      </c>
      <c r="EM490" s="214" t="str">
        <f>IFERROR(IF(COUNT(EL490:EL491)&gt;1,1,(ROUNDDOWN(EL$495/EL490,0))),"")</f>
        <v/>
      </c>
      <c r="EN490" s="214" t="str">
        <f ca="1">IF($AE498*$AA490*'Customer Base'!$D$26*0.8&gt;5800,"",IF($AE498*$AA490&gt;$AA501,"",IF(($AA$490*EN$488*$AE$498)&lt;=$ED$474,((MOD($ED$474,($AA$490*EN$488*$AE$498)))),"")))</f>
        <v/>
      </c>
      <c r="EO490" s="214" t="str">
        <f ca="1">IF($AE498*$AA490*'Customer Base'!$D$26*0.8&gt;5800,"",IF($AE498*$AA490&gt;$AA501,"",IF(($AA$490*EO$488*$AE$498)&lt;=$ED$474,((MOD($ED$474,($AA$490*EO$488*$AE$498)))),"")))</f>
        <v/>
      </c>
      <c r="EP490" s="214" t="str">
        <f ca="1">IF($AE498*$AA490*'Customer Base'!$D$26*0.8&gt;5800,"",IF($AE498*$AA490&gt;$AA501,"",IF(($AA$490*EP$488*$AE$498)&lt;=$ED$474,((MOD($ED$474,($AA$490*EP$488*$AE$498)))),"")))</f>
        <v/>
      </c>
      <c r="EQ490" s="214" t="str">
        <f ca="1">IF($AE498*$AA490*'Customer Base'!$D$26*0.8&gt;5800,"",IF($AE498*$AA490&gt;$AA501,"",IF(($AA$490*EQ$488*$AE$498)&lt;=$ED$474,((MOD($ED$474,($AA$490*EQ$488*$AE$498)))),"")))</f>
        <v/>
      </c>
      <c r="ER490" s="214" t="str">
        <f ca="1">IF($AE498*$AA490*'Customer Base'!$D$26*0.8&gt;5800,"",IF($AE498*$AA490&gt;$AA501,"",IF(($AA$490*ER$488*$AE$498)&lt;=$ED$474,((MOD($ED$474,($AA$490*ER$488*$AE$498)))),"")))</f>
        <v/>
      </c>
      <c r="ES490" s="214" t="str">
        <f ca="1">IF($AE498*$AA490*'Customer Base'!$D$26*0.8&gt;5800,"",IF($AE498*$AA490&gt;$AA501,"",IF(($AA$490*ES$488*$AE$498)&lt;=$ED$474,((MOD($ED$474,($AA$490*ES$488*$AE$498)))),"")))</f>
        <v/>
      </c>
      <c r="ET490" s="214" t="str">
        <f ca="1">IF($AE498*$AA490*'Customer Base'!$D$26*0.8&gt;5800,"",IF($AE498*$AA490&gt;$AA501,"",IF(($AA$490*ET$488*$AE$498)&lt;=$ED$474,((MOD($ED$474,($AA$490*ET$488*$AE$498)))),"")))</f>
        <v/>
      </c>
      <c r="EU490" s="214" t="str">
        <f ca="1">IF($AE498*$AA490*'Customer Base'!$D$26*0.8&gt;5800,"",IF($AE498*$AA490&gt;$AA501,"",IF(($AA$490*EU$488*$AE$498)&lt;=$ED$474,((MOD($ED$474,($AA$490*EU$488*$AE$498)))),"")))</f>
        <v/>
      </c>
      <c r="EV490" s="214" t="str">
        <f ca="1">IF($AE498*$AA490*'Customer Base'!$D$26*0.8&gt;5800,"",IF($AE498*$AA490&gt;$AA501,"",IF(($AA$490*EV$488*$AE$498)&lt;=$ED$474,((MOD($ED$474,($AA$490*EV$488*$AE$498)))),"")))</f>
        <v/>
      </c>
      <c r="EW490" s="214" t="str">
        <f ca="1">IF($AE498*$AA490*'Customer Base'!$D$26*0.8&gt;5800,"",IF($AE498*$AA490&gt;$AA501,"",IF(($AA$490*EW$488*$AE$498)&lt;=$ED$474,((MOD($ED$474,($AA$490*EW$488*$AE$498)))),"")))</f>
        <v/>
      </c>
      <c r="EX490" s="214" t="str">
        <f ca="1">IF($AE498*$AA490*'Customer Base'!$D$26*0.8&gt;5800,"",IF($AE498*$AA490&gt;$AA501,"",IF(($AA$490*EX$488*$AE$498)&lt;=$ED$474,((MOD($ED$474,($AA$490*EX$488*$AE$498)))),"")))</f>
        <v/>
      </c>
      <c r="EY490" s="214" t="str">
        <f ca="1">IF($AE498*$AA490*'Customer Base'!$D$26*0.8&gt;5800,"",IF($AE498*$AA490&gt;$AA501,"",IF(($AA$490*EY$488*$AE$498)&lt;=$ED$474,((MOD($ED$474,($AA$490*EY$488*$AE$498)))),"")))</f>
        <v/>
      </c>
      <c r="EZ490" s="214" t="str">
        <f ca="1">IF($AE498*$AA490*'Customer Base'!$D$26*0.8&gt;5800,"",IF($AE498*$AA490&gt;$AA501,"",IF(($AA$490*EZ$488*$AE$498)&lt;=$ED$474,((MOD($ED$474,($AA$490*EZ$488*$AE$498)))),"")))</f>
        <v/>
      </c>
      <c r="FA490" s="214" t="str">
        <f ca="1">IF($AE498*$AA490*'Customer Base'!$D$26*0.8&gt;5800,"",IF($AE498*$AA490&gt;$AA501,"",IF(($AA$490*FA$488*$AE$498)&lt;=$ED$474,((MOD($ED$474,($AA$490*FA$488*$AE$498)))),"")))</f>
        <v/>
      </c>
      <c r="FB490" s="214" t="str">
        <f ca="1">IF($AE498*$AA490*'Customer Base'!$D$26*0.8&gt;5800,"",IF($AE498*$AA490&gt;$AA501,"",IF(($AA$490*FB$488*$AE$498)&lt;=$ED$474,((MOD($ED$474,($AA$490*FB$488*$AE$498)))),"")))</f>
        <v/>
      </c>
      <c r="FC490" s="214" t="str">
        <f ca="1">IF($AE498*$AA490*'Customer Base'!$D$26*0.8&gt;5800,"",IF($AE498*$AA490&gt;$AA501,"",IF(($AA$490*FC$488*$AE$498)&lt;=$ED$474,((MOD($ED$474,($AA$490*FC$488*$AE$498)))),"")))</f>
        <v/>
      </c>
      <c r="FD490" s="214" t="str">
        <f ca="1">IF($AE498*$AA490*'Customer Base'!$D$26*0.8&gt;5800,"",IF($AE498*$AA490&gt;$AA501,"",IF(($AA$490*FD$488*$AE$498)&lt;=$ED$474,((MOD($ED$474,($AA$490*FD$488*$AE$498)))),"")))</f>
        <v/>
      </c>
      <c r="FE490" s="214" t="str">
        <f ca="1">IF($AE498*$AA490*'Customer Base'!$D$26*0.8&gt;5800,"",IF($AE498*$AA490&gt;$AA501,"",IF(($AA$490*FE$488*$AE$498)&lt;=$ED$474,((MOD($ED$474,($AA$490*FE$488*$AE$498)))),"")))</f>
        <v/>
      </c>
      <c r="FF490" s="214" t="str">
        <f ca="1">IF($AE498*$AA490*'Customer Base'!$D$26*0.8&gt;5800,"",IF($AE498*$AA490&gt;$AA501,"",IF(($AA$490*FF$488*$AE$498)&lt;=$ED$474,((MOD($ED$474,($AA$490*FF$488*$AE$498)))),"")))</f>
        <v/>
      </c>
      <c r="FG490" s="214" t="str">
        <f ca="1">IF($AE498*$AA490*'Customer Base'!$D$26*0.8&gt;5800,"",IF($AE498*$AA490&gt;$AA501,"",IF(($AA$490*FG$488*$AE$498)&lt;=$ED$474,((MOD($ED$474,($AA$490*FG$488*$AE$498)))),"")))</f>
        <v/>
      </c>
      <c r="FH490" s="214" t="str">
        <f ca="1">IF($AE498*$AA490*'Customer Base'!$D$26*0.8&gt;5800,"",IF($AE498*$AA490&gt;$AA501,"",IF(($AA$490*FH$488*$AE$498)&lt;=$ED$474,((MOD($ED$474,($AA$490*FH$488*$AE$498)))),"")))</f>
        <v/>
      </c>
      <c r="FI490" s="214" t="str">
        <f ca="1">IF($AE498*$AA490*'Customer Base'!$D$26*0.8&gt;5800,"",IF($AE498*$AA490&gt;$AA501,"",IF(($AA$490*FI$488*$AE$498)&lt;=$ED$474,((MOD($ED$474,($AA$490*FI$488*$AE$498)))),"")))</f>
        <v/>
      </c>
      <c r="FJ490" s="214" t="str">
        <f ca="1">IF($AE498*$AA490*'Customer Base'!$D$26*0.8&gt;5800,"",IF($AE498*$AA490&gt;$AA501,"",IF(($AA$490*FJ$488*$AE$498)&lt;=$ED$474,((MOD($ED$474,($AA$490*FJ$488*$AE$498)))),"")))</f>
        <v/>
      </c>
      <c r="FK490" s="214" t="str">
        <f ca="1">IF($AE498*$AA490*'Customer Base'!$D$26*0.8&gt;5800,"",IF($AE498*$AA490&gt;$AA501,"",IF(($AA$490*FK$488*$AE$498)&lt;=$ED$474,((MOD($ED$474,($AA$490*FK$488*$AE$498)))),"")))</f>
        <v/>
      </c>
      <c r="FL490" s="214" t="str">
        <f ca="1">IF($AE498*$AA490*'Customer Base'!$D$26*0.8&gt;5800,"",IF($AE498*$AA490&gt;$AA501,"",IF(($AA$490*FL$488*$AE$498)&lt;=$ED$474,((MOD($ED$474,($AA$490*FL$488*$AE$498)))),"")))</f>
        <v/>
      </c>
      <c r="FM490" s="214" t="str">
        <f ca="1">IF($AE498*$AA490*'Customer Base'!$D$26*0.8&gt;5800,"",IF($AE498*$AA490&gt;$AA501,"",IF(($AA$490*FM$488*$AE$498)&lt;=$ED$474,((MOD($ED$474,($AA$490*FM$488*$AE$498)))),"")))</f>
        <v/>
      </c>
      <c r="FN490" s="214" t="str">
        <f ca="1">IF($AE498*$AA490*'Customer Base'!$D$26*0.8&gt;5800,"",IF($AE498*$AA490&gt;$AA501,"",IF(($AA$490*FN$488*$AE$498)&lt;=$ED$474,((MOD($ED$474,($AA$490*FN$488*$AE$498)))),"")))</f>
        <v/>
      </c>
      <c r="FO490" s="214" t="str">
        <f ca="1">IF($AE498*$AA490*'Customer Base'!$D$26*0.8&gt;5800,"",IF($AE498*$AA490&gt;$AA501,"",IF(($AA$490*FO$488*$AE$498)&lt;=$ED$474,((MOD($ED$474,($AA$490*FO$488*$AE$498)))),"")))</f>
        <v/>
      </c>
      <c r="FP490" s="214" t="str">
        <f ca="1">IF($AE498*$AA490*'Customer Base'!$D$26*0.8&gt;5800,"",IF($AE498*$AA490&gt;$AA501,"",IF(($AA$490*FP$488*$AE$498)&lt;=$ED$474,((MOD($ED$474,($AA$490*FP$488*$AE$498)))),"")))</f>
        <v/>
      </c>
      <c r="FQ490" s="214" t="str">
        <f ca="1">IF($AE498*$AA490*'Customer Base'!$D$26*0.8&gt;5800,"",IF($AE498*$AA490&gt;$AA501,"",IF(($AA$490*FQ$488*$AE$498)&lt;=$ED$474,((MOD($ED$474,($AA$490*FQ$488*$AE$498)))),"")))</f>
        <v/>
      </c>
      <c r="FR490" s="214" t="str">
        <f ca="1">IF($AE498*$AA490*'Customer Base'!$D$26*0.8&gt;5800,"",IF($AE498*$AA490&gt;$AA501,"",IF(($AA$490*FR$488*$AE$498)&lt;=$ED$474,((MOD($ED$474,($AA$490*FR$488*$AE$498)))),"")))</f>
        <v/>
      </c>
      <c r="FS490" s="214" t="str">
        <f ca="1">IF($AE498*$AA490*'Customer Base'!$D$26*0.8&gt;5800,"",IF($AE498*$AA490&gt;$AA501,"",IF(($AA$490*FS$488*$AE$498)&lt;=$ED$474,((MOD($ED$474,($AA$490*FS$488*$AE$498)))),"")))</f>
        <v/>
      </c>
      <c r="FT490" s="214" t="str">
        <f ca="1">IF($AE498*$AA490*'Customer Base'!$D$26*0.8&gt;5800,"",IF($AE498*$AA490&gt;$AA501,"",IF(($AA$490*FT$488*$AE$498)&lt;=$ED$474,((MOD($ED$474,($AA$490*FT$488*$AE$498)))),"")))</f>
        <v/>
      </c>
      <c r="FU490" s="214" t="str">
        <f ca="1">IF($AE498*$AA490*'Customer Base'!$D$26*0.8&gt;5800,"",IF($AE498*$AA490&gt;$AA501,"",IF(($AA$490*FU$488*$AE$498)&lt;=$ED$474,((MOD($ED$474,($AA$490*FU$488*$AE$498)))),"")))</f>
        <v/>
      </c>
      <c r="FV490" s="214" t="str">
        <f ca="1">IF($AE498*$AA490*'Customer Base'!$D$26*0.8&gt;5800,"",IF($AE498*$AA490&gt;$AA501,"",IF(($AA$490*FV$488*$AE$498)&lt;=$ED$474,((MOD($ED$474,($AA$490*FV$488*$AE$498)))),"")))</f>
        <v/>
      </c>
      <c r="FW490" s="214" t="str">
        <f ca="1">IF($AE498*$AA490*'Customer Base'!$D$26*0.8&gt;5800,"",IF($AE498*$AA490&gt;$AA501,"",IF(($AA$490*FW$488*$AE$498)&lt;=$ED$474,((MOD($ED$474,($AA$490*FW$488*$AE$498)))),"")))</f>
        <v/>
      </c>
      <c r="FX490" s="214" t="str">
        <f ca="1">IF($AE498*$AA490*'Customer Base'!$D$26*0.8&gt;5800,"",IF($AE498*$AA490&gt;$AA501,"",IF(($AA$490*FX$488*$AE$498)&lt;=$ED$474,((MOD($ED$474,($AA$490*FX$488*$AE$498)))),"")))</f>
        <v/>
      </c>
      <c r="FY490" s="214" t="str">
        <f ca="1">IF($AE498*$AA490*'Customer Base'!$D$26*0.8&gt;5800,"",IF($AE498*$AA490&gt;$AA501,"",IF(($AA$490*FY$488*$AE$498)&lt;=$ED$474,((MOD($ED$474,($AA$490*FY$488*$AE$498)))),"")))</f>
        <v/>
      </c>
      <c r="FZ490" s="214" t="str">
        <f ca="1">IF($AE498*$AA490*'Customer Base'!$D$26*0.8&gt;5800,"",IF($AE498*$AA490&gt;$AA501,"",IF(($AA$490*FZ$488*$AE$498)&lt;=$ED$474,((MOD($ED$474,($AA$490*FZ$488*$AE$498)))),"")))</f>
        <v/>
      </c>
      <c r="GA490" s="214" t="str">
        <f ca="1">IF($AE498*$AA490*'Customer Base'!$D$26*0.8&gt;5800,"",IF($AE498*$AA490&gt;$AA501,"",IF(($AA$490*GA$488*$AE$498)&lt;=$ED$474,((MOD($ED$474,($AA$490*GA$488*$AE$498)))),"")))</f>
        <v/>
      </c>
      <c r="GB490" s="214" t="str">
        <f ca="1">IF($AE498*$AA490*'Customer Base'!$D$26*0.8&gt;5800,"",IF($AE498*$AA490&gt;$AA501,"",IF(($AA$490*GB$488*$AE$498)&lt;=$ED$474,((MOD($ED$474,($AA$490*GB$488*$AE$498)))),"")))</f>
        <v/>
      </c>
      <c r="GC490" s="214" t="str">
        <f ca="1">IF($AE498*$AA490*'Customer Base'!$D$26*0.8&gt;5800,"",IF($AE498*$AA490&gt;$AA501,"",IF(($AA$490*GC$488*$AE$498)&lt;=$ED$474,((MOD($ED$474,($AA$490*GC$488*$AE$498)))),"")))</f>
        <v/>
      </c>
      <c r="GD490" s="214" t="str">
        <f ca="1">IF($AE498*$AA490*'Customer Base'!$D$26*0.8&gt;5800,"",IF($AE498*$AA490&gt;$AA501,"",IF(($AA$490*GD$488*$AE$498)&lt;=$ED$474,((MOD($ED$474,($AA$490*GD$488*$AE$498)))),"")))</f>
        <v/>
      </c>
      <c r="GE490" s="214" t="str">
        <f ca="1">IF($AE498*$AA490*'Customer Base'!$D$26*0.8&gt;5800,"",IF($AE498*$AA490&gt;$AA501,"",IF(($AA$490*GE$488*$AE$498)&lt;=$ED$474,((MOD($ED$474,($AA$490*GE$488*$AE$498)))),"")))</f>
        <v/>
      </c>
      <c r="GF490" s="214" t="str">
        <f ca="1">IF($AE498*$AA490*'Customer Base'!$D$26*0.8&gt;5800,"",IF($AE498*$AA490&gt;$AA501,"",IF(($AA$490*GF$488*$AE$498)&lt;=$ED$474,((MOD($ED$474,($AA$490*GF$488*$AE$498)))),"")))</f>
        <v/>
      </c>
      <c r="GG490" s="214" t="str">
        <f ca="1">IF($AE498*$AA490*'Customer Base'!$D$26*0.8&gt;5800,"",IF($AE498*$AA490&gt;$AA501,"",IF(($AA$490*GG$488*$AE$498)&lt;=$ED$474,((MOD($ED$474,($AA$490*GG$488*$AE$498)))),"")))</f>
        <v/>
      </c>
      <c r="GH490" s="214" t="str">
        <f ca="1">IF($AE498*$AA490*'Customer Base'!$D$26*0.8&gt;5800,"",IF($AE498*$AA490&gt;$AA501,"",IF(($AA$490*GH$488*$AE$498)&lt;=$ED$474,((MOD($ED$474,($AA$490*GH$488*$AE$498)))),"")))</f>
        <v/>
      </c>
      <c r="GI490" s="214" t="str">
        <f ca="1">IF($AE498*$AA490*'Customer Base'!$D$26*0.8&gt;5800,"",IF($AE498*$AA490&gt;$AA501,"",IF(($AA$490*GI$488*$AE$498)&lt;=$ED$474,((MOD($ED$474,($AA$490*GI$488*$AE$498)))),"")))</f>
        <v/>
      </c>
      <c r="GJ490" s="214" t="str">
        <f ca="1">IF($AE498*$AA490*'Customer Base'!$D$26*0.8&gt;5800,"",IF($AE498*$AA490&gt;$AA501,"",IF(($AA$490*GJ$488*$AE$498)&lt;=$ED$474,((MOD($ED$474,($AA$490*GJ$488*$AE$498)))),"")))</f>
        <v/>
      </c>
      <c r="GK490" s="214" t="str">
        <f ca="1">IF($AE498*$AA490*'Customer Base'!$D$26*0.8&gt;5800,"",IF($AE498*$AA490&gt;$AA501,"",IF(($AA$490*GK$488*$AE$498)&lt;=$ED$474,((MOD($ED$474,($AA$490*GK$488*$AE$498)))),"")))</f>
        <v/>
      </c>
      <c r="GL490" s="214" t="str">
        <f ca="1">IF($AE498*$AA490*'Customer Base'!$D$26*0.8&gt;5800,"",IF($AE498*$AA490&gt;$AA501,"",IF(($AA$490*GL$488*$AE$498)&lt;=$ED$474,((MOD($ED$474,($AA$490*GL$488*$AE$498)))),"")))</f>
        <v/>
      </c>
      <c r="GM490" s="214" t="str">
        <f ca="1">IF($AE498*$AA490*'Customer Base'!$D$26*0.8&gt;5800,"",IF($AE498*$AA490&gt;$AA501,"",IF(($AA$490*GM$488*$AE$498)&lt;=$ED$474,((MOD($ED$474,($AA$490*GM$488*$AE$498)))),"")))</f>
        <v/>
      </c>
      <c r="GN490" s="214" t="str">
        <f ca="1">IF($AE498*$AA490*'Customer Base'!$D$26*0.8&gt;5800,"",IF($AE498*$AA490&gt;$AA501,"",IF(($AA$490*GN$488*$AE$498)&lt;=$ED$474,((MOD($ED$474,($AA$490*GN$488*$AE$498)))),"")))</f>
        <v/>
      </c>
      <c r="GO490" s="214" t="str">
        <f ca="1">IF($AE498*$AA490*'Customer Base'!$D$26*0.8&gt;5800,"",IF($AE498*$AA490&gt;$AA501,"",IF(($AA$490*GO$488*$AE$498)&lt;=$ED$474,((MOD($ED$474,($AA$490*GO$488*$AE$498)))),"")))</f>
        <v/>
      </c>
      <c r="GP490" s="214" t="str">
        <f ca="1">IF($AE498*$AA490*'Customer Base'!$D$26*0.8&gt;5800,"",IF($AE498*$AA490&gt;$AA501,"",IF(($AA$490*GP$488*$AE$498)&lt;=$ED$474,((MOD($ED$474,($AA$490*GP$488*$AE$498)))),"")))</f>
        <v/>
      </c>
      <c r="GQ490" s="214" t="str">
        <f ca="1">IF($AE498*$AA490*'Customer Base'!$D$26*0.8&gt;5800,"",IF($AE498*$AA490&gt;$AA501,"",IF(($AA$490*GQ$488*$AE$498)&lt;=$ED$474,((MOD($ED$474,($AA$490*GQ$488*$AE$498)))),"")))</f>
        <v/>
      </c>
      <c r="GR490" s="214" t="str">
        <f ca="1">IF($AE498*$AA490*'Customer Base'!$D$26*0.8&gt;5800,"",IF($AE498*$AA490&gt;$AA501,"",IF(($AA$490*GR$488*$AE$498)&lt;=$ED$474,((MOD($ED$474,($AA$490*GR$488*$AE$498)))),"")))</f>
        <v/>
      </c>
      <c r="GS490" s="214" t="str">
        <f ca="1">IF($AE498*$AA490*'Customer Base'!$D$26*0.8&gt;5800,"",IF($AE498*$AA490&gt;$AA501,"",IF(($AA$490*GS$488*$AE$498)&lt;=$ED$474,((MOD($ED$474,($AA$490*GS$488*$AE$498)))),"")))</f>
        <v/>
      </c>
      <c r="GT490" s="214" t="str">
        <f ca="1">IF($AE498*$AA490*'Customer Base'!$D$26*0.8&gt;5800,"",IF($AE498*$AA490&gt;$AA501,"",IF(($AA$490*GT$488*$AE$498)&lt;=$ED$474,((MOD($ED$474,($AA$490*GT$488*$AE$498)))),"")))</f>
        <v/>
      </c>
      <c r="GU490" s="214" t="str">
        <f ca="1">IF($AE498*$AA490*'Customer Base'!$D$26*0.8&gt;5800,"",IF($AE498*$AA490&gt;$AA501,"",IF(($AA$490*GU$488*$AE$498)&lt;=$ED$474,((MOD($ED$474,($AA$490*GU$488*$AE$498)))),"")))</f>
        <v/>
      </c>
      <c r="GV490" s="214" t="str">
        <f ca="1">IF($AE498*$AA490*'Customer Base'!$D$26*0.8&gt;5800,"",IF($AE498*$AA490&gt;$AA501,"",IF(($AA$490*GV$488*$AE$498)&lt;=$ED$474,((MOD($ED$474,($AA$490*GV$488*$AE$498)))),"")))</f>
        <v/>
      </c>
      <c r="GW490" s="214" t="str">
        <f ca="1">IF($AE498*$AA490*'Customer Base'!$D$26*0.8&gt;5800,"",IF($AE498*$AA490&gt;$AA501,"",IF(($AA$490*GW$488*$AE$498)&lt;=$ED$474,((MOD($ED$474,($AA$490*GW$488*$AE$498)))),"")))</f>
        <v/>
      </c>
      <c r="GX490" s="214" t="str">
        <f ca="1">IF($AE498*$AA490*'Customer Base'!$D$26*0.8&gt;5800,"",IF($AE498*$AA490&gt;$AA501,"",IF(($AA$490*GX$488*$AE$498)&lt;=$ED$474,((MOD($ED$474,($AA$490*GX$488*$AE$498)))),"")))</f>
        <v/>
      </c>
      <c r="GY490" s="214" t="str">
        <f ca="1">IF($AE498*$AA490*'Customer Base'!$D$26*0.8&gt;5800,"",IF($AE498*$AA490&gt;$AA501,"",IF(($AA$490*GY$488*$AE$498)&lt;=$ED$474,((MOD($ED$474,($AA$490*GY$488*$AE$498)))),"")))</f>
        <v/>
      </c>
      <c r="GZ490" s="214" t="str">
        <f ca="1">IF($AE498*$AA490*'Customer Base'!$D$26*0.8&gt;5800,"",IF($AE498*$AA490&gt;$AA501,"",IF(($AA$490*GZ$488*$AE$498)&lt;=$ED$474,((MOD($ED$474,($AA$490*GZ$488*$AE$498)))),"")))</f>
        <v/>
      </c>
      <c r="HA490" s="214" t="str">
        <f ca="1">IF($AE498*$AA490*'Customer Base'!$D$26*0.8&gt;5800,"",IF($AE498*$AA490&gt;$AA501,"",IF(($AA$490*HA$488*$AE$498)&lt;=$ED$474,((MOD($ED$474,($AA$490*HA$488*$AE$498)))),"")))</f>
        <v/>
      </c>
      <c r="HB490" s="214" t="str">
        <f ca="1">IF($AE498*$AA490*'Customer Base'!$D$26*0.8&gt;5800,"",IF($AE498*$AA490&gt;$AA501,"",IF(($AA$490*HB$488*$AE$498)&lt;=$ED$474,((MOD($ED$474,($AA$490*HB$488*$AE$498)))),"")))</f>
        <v/>
      </c>
      <c r="HC490" s="214" t="str">
        <f ca="1">IF($AE498*$AA490*'Customer Base'!$D$26*0.8&gt;5800,"",IF($AE498*$AA490&gt;$AA501,"",IF(($AA$490*HC$488*$AE$498)&lt;=$ED$474,((MOD($ED$474,($AA$490*HC$488*$AE$498)))),"")))</f>
        <v/>
      </c>
      <c r="HD490" s="214" t="str">
        <f ca="1">IF($AE498*$AA490*'Customer Base'!$D$26*0.8&gt;5800,"",IF($AE498*$AA490&gt;$AA501,"",IF(($AA$490*HD$488*$AE$498)&lt;=$ED$474,((MOD($ED$474,($AA$490*HD$488*$AE$498)))),"")))</f>
        <v/>
      </c>
      <c r="HE490" s="214" t="str">
        <f ca="1">IF($AE498*$AA490*'Customer Base'!$D$26*0.8&gt;5800,"",IF($AE498*$AA490&gt;$AA501,"",IF(($AA$490*HE$488*$AE$498)&lt;=$ED$474,((MOD($ED$474,($AA$490*HE$488*$AE$498)))),"")))</f>
        <v/>
      </c>
      <c r="HF490" s="214" t="str">
        <f ca="1">IF($AE498*$AA490*'Customer Base'!$D$26*0.8&gt;5800,"",IF($AE498*$AA490&gt;$AA501,"",IF(($AA$490*HF$488*$AE$498)&lt;=$ED$474,((MOD($ED$474,($AA$490*HF$488*$AE$498)))),"")))</f>
        <v/>
      </c>
      <c r="HG490" s="214" t="str">
        <f ca="1">IF($AE498*$AA490*'Customer Base'!$D$26*0.8&gt;5800,"",IF($AE498*$AA490&gt;$AA501,"",IF(($AA$490*HG$488*$AE$498)&lt;=$ED$474,((MOD($ED$474,($AA$490*HG$488*$AE$498)))),"")))</f>
        <v/>
      </c>
      <c r="HH490" s="214" t="str">
        <f ca="1">IF($AE498*$AA490*'Customer Base'!$D$26*0.8&gt;5800,"",IF($AE498*$AA490&gt;$AA501,"",IF(($AA$490*HH$488*$AE$498)&lt;=$ED$474,((MOD($ED$474,($AA$490*HH$488*$AE$498)))),"")))</f>
        <v/>
      </c>
      <c r="HI490" s="214" t="str">
        <f ca="1">IF($AE498*$AA490*'Customer Base'!$D$26*0.8&gt;5800,"",IF($AE498*$AA490&gt;$AA501,"",IF(($AA$490*HI$488*$AE$498)&lt;=$ED$474,((MOD($ED$474,($AA$490*HI$488*$AE$498)))),"")))</f>
        <v/>
      </c>
      <c r="HJ490" s="214" t="str">
        <f ca="1">IF($AE498*$AA490*'Customer Base'!$D$26*0.8&gt;5800,"",IF($AE498*$AA490&gt;$AA501,"",IF(($AA$490*HJ$488*$AE$498)&lt;=$ED$474,((MOD($ED$474,($AA$490*HJ$488*$AE$498)))),"")))</f>
        <v/>
      </c>
      <c r="HK490" s="214" t="str">
        <f ca="1">IF($AE498*$AA490*'Customer Base'!$D$26*0.8&gt;5800,"",IF($AE498*$AA490&gt;$AA501,"",IF(($AA$490*HK$488*$AE$498)&lt;=$ED$474,((MOD($ED$474,($AA$490*HK$488*$AE$498)))),"")))</f>
        <v/>
      </c>
      <c r="HL490" s="214" t="str">
        <f ca="1">IF($AE498*$AA490*'Customer Base'!$D$26*0.8&gt;5800,"",IF($AE498*$AA490&gt;$AA501,"",IF(($AA$490*HL$488*$AE$498)&lt;=$ED$474,((MOD($ED$474,($AA$490*HL$488*$AE$498)))),"")))</f>
        <v/>
      </c>
      <c r="HM490" s="214" t="str">
        <f ca="1">IF($AE498*$AA490*'Customer Base'!$D$26*0.8&gt;5800,"",IF($AE498*$AA490&gt;$AA501,"",IF(($AA$490*HM$488*$AE$498)&lt;=$ED$474,((MOD($ED$474,($AA$490*HM$488*$AE$498)))),"")))</f>
        <v/>
      </c>
      <c r="HN490" s="214" t="str">
        <f ca="1">IF($AE498*$AA490*'Customer Base'!$D$26*0.8&gt;5800,"",IF($AE498*$AA490&gt;$AA501,"",IF(($AA$490*HN$488*$AE$498)&lt;=$ED$474,((MOD($ED$474,($AA$490*HN$488*$AE$498)))),"")))</f>
        <v/>
      </c>
      <c r="HO490" s="214" t="str">
        <f ca="1">IF($AE498*$AA490*'Customer Base'!$D$26*0.8&gt;5800,"",IF($AE498*$AA490&gt;$AA501,"",IF(($AA$490*HO$488*$AE$498)&lt;=$ED$474,((MOD($ED$474,($AA$490*HO$488*$AE$498)))),"")))</f>
        <v/>
      </c>
      <c r="HP490" s="214" t="str">
        <f ca="1">IF($AE498*$AA490*'Customer Base'!$D$26*0.8&gt;5800,"",IF($AE498*$AA490&gt;$AA501,"",IF(($AA$490*HP$488*$AE$498)&lt;=$ED$474,((MOD($ED$474,($AA$490*HP$488*$AE$498)))),"")))</f>
        <v/>
      </c>
      <c r="HQ490" s="214" t="str">
        <f ca="1">IF($AE498*$AA490*'Customer Base'!$D$26*0.8&gt;5800,"",IF($AE498*$AA490&gt;$AA501,"",IF(($AA$490*HQ$488*$AE$498)&lt;=$ED$474,((MOD($ED$474,($AA$490*HQ$488*$AE$498)))),"")))</f>
        <v/>
      </c>
      <c r="HR490" s="214" t="str">
        <f ca="1">IF($AE498*$AA490*'Customer Base'!$D$26*0.8&gt;5800,"",IF($AE498*$AA490&gt;$AA501,"",IF(($AA$490*HR$488*$AE$498)&lt;=$ED$474,((MOD($ED$474,($AA$490*HR$488*$AE$498)))),"")))</f>
        <v/>
      </c>
      <c r="HS490" s="214" t="str">
        <f ca="1">IF($AE498*$AA490*'Customer Base'!$D$26*0.8&gt;5800,"",IF($AE498*$AA490&gt;$AA501,"",IF(($AA$490*HS$488*$AE$498)&lt;=$ED$474,((MOD($ED$474,($AA$490*HS$488*$AE$498)))),"")))</f>
        <v/>
      </c>
      <c r="HT490" s="214" t="str">
        <f ca="1">IF($AE498*$AA490*'Customer Base'!$D$26*0.8&gt;5800,"",IF($AE498*$AA490&gt;$AA501,"",IF(($AA$490*HT$488*$AE$498)&lt;=$ED$474,((MOD($ED$474,($AA$490*HT$488*$AE$498)))),"")))</f>
        <v/>
      </c>
      <c r="HU490" s="214" t="str">
        <f ca="1">IF($AE498*$AA490*'Customer Base'!$D$26*0.8&gt;5800,"",IF($AE498*$AA490&gt;$AA501,"",IF(($AA$490*HU$488*$AE$498)&lt;=$ED$474,((MOD($ED$474,($AA$490*HU$488*$AE$498)))),"")))</f>
        <v/>
      </c>
      <c r="HV490" s="214" t="str">
        <f ca="1">IF($AE498*$AA490*'Customer Base'!$D$26*0.8&gt;5800,"",IF($AE498*$AA490&gt;$AA501,"",IF(($AA$490*HV$488*$AE$498)&lt;=$ED$474,((MOD($ED$474,($AA$490*HV$488*$AE$498)))),"")))</f>
        <v/>
      </c>
      <c r="HW490" s="214" t="str">
        <f ca="1">IF($AE498*$AA490*'Customer Base'!$D$26*0.8&gt;5800,"",IF($AE498*$AA490&gt;$AA501,"",IF(($AA$490*HW$488*$AE$498)&lt;=$ED$474,((MOD($ED$474,($AA$490*HW$488*$AE$498)))),"")))</f>
        <v/>
      </c>
      <c r="HX490" s="214" t="str">
        <f ca="1">IF($AE498*$AA490*'Customer Base'!$D$26*0.8&gt;5800,"",IF($AE498*$AA490&gt;$AA501,"",IF(($AA$490*HX$488*$AE$498)&lt;=$ED$474,((MOD($ED$474,($AA$490*HX$488*$AE$498)))),"")))</f>
        <v/>
      </c>
      <c r="HY490" s="214" t="str">
        <f ca="1">IF($AE498*$AA490*'Customer Base'!$D$26*0.8&gt;5800,"",IF($AE498*$AA490&gt;$AA501,"",IF(($AA$490*HY$488*$AE$498)&lt;=$ED$474,((MOD($ED$474,($AA$490*HY$488*$AE$498)))),"")))</f>
        <v/>
      </c>
      <c r="HZ490" s="214" t="str">
        <f ca="1">IF($AE498*$AA490*'Customer Base'!$D$26*0.8&gt;5800,"",IF($AE498*$AA490&gt;$AA501,"",IF(($AA$490*HZ$488*$AE$498)&lt;=$ED$474,((MOD($ED$474,($AA$490*HZ$488*$AE$498)))),"")))</f>
        <v/>
      </c>
      <c r="IA490" s="214" t="str">
        <f ca="1">IF($AE498*$AA490*'Customer Base'!$D$26*0.8&gt;5800,"",IF($AE498*$AA490&gt;$AA501,"",IF(($AA$490*IA$488*$AE$498)&lt;=$ED$474,((MOD($ED$474,($AA$490*IA$488*$AE$498)))),"")))</f>
        <v/>
      </c>
      <c r="IB490" s="214" t="str">
        <f ca="1">IF($AE498*$AA490*'Customer Base'!$D$26*0.8&gt;5800,"",IF($AE498*$AA490&gt;$AA501,"",IF(($AA$490*IB$488*$AE$498)&lt;=$ED$474,((MOD($ED$474,($AA$490*IB$488*$AE$498)))),"")))</f>
        <v/>
      </c>
      <c r="IC490" s="214" t="str">
        <f ca="1">IF($AE498*$AA490*'Customer Base'!$D$26*0.8&gt;5800,"",IF($AE498*$AA490&gt;$AA501,"",IF(($AA$490*IC$488*$AE$498)&lt;=$ED$474,((MOD($ED$474,($AA$490*IC$488*$AE$498)))),"")))</f>
        <v/>
      </c>
      <c r="ID490" s="214" t="str">
        <f ca="1">IF($AE498*$AA490*'Customer Base'!$D$26*0.8&gt;5800,"",IF($AE498*$AA490&gt;$AA501,"",IF(($AA$490*ID$488*$AE$498)&lt;=$ED$474,((MOD($ED$474,($AA$490*ID$488*$AE$498)))),"")))</f>
        <v/>
      </c>
      <c r="IE490" s="214" t="str">
        <f ca="1">IF($AE498*$AA490*'Customer Base'!$D$26*0.8&gt;5800,"",IF($AE498*$AA490&gt;$AA501,"",IF(($AA$490*IE$488*$AE$498)&lt;=$ED$474,((MOD($ED$474,($AA$490*IE$488*$AE$498)))),"")))</f>
        <v/>
      </c>
      <c r="IF490" s="214" t="str">
        <f ca="1">IF($AE498*$AA490*'Customer Base'!$D$26*0.8&gt;5800,"",IF($AE498*$AA490&gt;$AA501,"",IF(($AA$490*IF$488*$AE$498)&lt;=$ED$474,((MOD($ED$474,($AA$490*IF$488*$AE$498)))),"")))</f>
        <v/>
      </c>
      <c r="IG490" s="214" t="str">
        <f ca="1">IF($AE498*$AA490*'Customer Base'!$D$26*0.8&gt;5800,"",IF($AE498*$AA490&gt;$AA501,"",IF(($AA$490*IG$488*$AE$498)&lt;=$ED$474,((MOD($ED$474,($AA$490*IG$488*$AE$498)))),"")))</f>
        <v/>
      </c>
      <c r="IH490" s="214" t="str">
        <f ca="1">IF($AE498*$AA490*'Customer Base'!$D$26*0.8&gt;5800,"",IF($AE498*$AA490&gt;$AA501,"",IF(($AA$490*IH$488*$AE$498)&lt;=$ED$474,((MOD($ED$474,($AA$490*IH$488*$AE$498)))),"")))</f>
        <v/>
      </c>
      <c r="II490" s="214" t="str">
        <f ca="1">IF($AE498*$AA490*'Customer Base'!$D$26*0.8&gt;5800,"",IF($AE498*$AA490&gt;$AA501,"",IF(($AA$490*II$488*$AE$498)&lt;=$ED$474,((MOD($ED$474,($AA$490*II$488*$AE$498)))),"")))</f>
        <v/>
      </c>
      <c r="IK490" s="214" t="str" cm="1">
        <f t="array" aca="1" ref="IK490" ca="1">IFERROR(LOOKUP(2,1/(EN490:II490&lt;&gt;""),EN$488:II$488),"")</f>
        <v/>
      </c>
      <c r="IL490" s="316" t="str" cm="1">
        <f t="array" aca="1" ref="IL490" ca="1">IF(IK$474=IK490,LOOKUP(2,1/(EN490:II490&lt;&gt;""),EN490:II490),"")</f>
        <v/>
      </c>
      <c r="IM490" s="316" t="str">
        <f ca="1">IF(IL490=IL$474,1,"")</f>
        <v/>
      </c>
      <c r="IN490" s="316"/>
    </row>
    <row r="491" spans="2:248" ht="17">
      <c r="B491" s="211" t="s">
        <v>1357</v>
      </c>
      <c r="C491" s="212" t="s">
        <v>296</v>
      </c>
      <c r="D491" s="212" t="s">
        <v>296</v>
      </c>
      <c r="E491" s="215" t="s">
        <v>1358</v>
      </c>
      <c r="F491" s="107" t="str">
        <f t="shared" si="15"/>
        <v>NC</v>
      </c>
      <c r="AA491" s="214">
        <v>4</v>
      </c>
      <c r="AB491" s="316" t="s">
        <v>2700</v>
      </c>
      <c r="AC491" s="214">
        <f ca="1">IFERROR(MOD(AD$493,AA491),"")</f>
        <v>2</v>
      </c>
      <c r="AD491" s="214">
        <f ca="1">IF(OR(AD493=1,AD493=""),"",IF(AC491=0,AA491,IF(AND(AC491&lt;&gt;0,AC490&lt;&gt;0,AC489&lt;&gt;0),AA491,IF(AND(AC491&lt;&gt;0,AC490&lt;&gt;0,AC489=0),AA491,""))))</f>
        <v>4</v>
      </c>
      <c r="AE491" s="214">
        <f ca="1">IFERROR(ROUNDDOWN(AD$493/AD491,0),"")</f>
        <v>2</v>
      </c>
      <c r="AF491" s="214" t="str">
        <f ca="1">IF($AE498*$AA491*'Customer Base'!$D$26*0.8&gt;5800,"",IF($AE498*$AA491&gt;$AA501,"",IF(($AA$491*AF$488*$AE$498)&lt;=$AA$501,((MOD($AA$501,($AA$491*AF$488*$AE$498)))),"")))</f>
        <v/>
      </c>
      <c r="AG491" s="214" t="str">
        <f ca="1">IF($AE498*$AA491*'Customer Base'!$D$26*0.8&gt;5800,"",IF($AE498*$AA491&gt;$AA501,"",IF(($AA$491*AG$488*$AE$498)&lt;=$AA$501,((MOD($AA$501,($AA$491*AG$488*$AE$498)))),"")))</f>
        <v/>
      </c>
      <c r="AH491" s="214" t="str">
        <f ca="1">IF($AE498*$AA491*'Customer Base'!$D$26*0.8&gt;5800,"",IF($AE498*$AA491&gt;$AA501,"",IF(($AA$491*AH$488*$AE$498)&lt;=$AA$501,((MOD($AA$501,($AA$491*AH$488*$AE$498)))),"")))</f>
        <v/>
      </c>
      <c r="AI491" s="214" t="str">
        <f ca="1">IF($AE498*$AA491*'Customer Base'!$D$26*0.8&gt;5800,"",IF($AE498*$AA491&gt;$AA501,"",IF(($AA$491*AI$488*$AE$498)&lt;=$AA$501,((MOD($AA$501,($AA$491*AI$488*$AE$498)))),"")))</f>
        <v/>
      </c>
      <c r="AJ491" s="214" t="str">
        <f ca="1">IF($AE498*$AA491*'Customer Base'!$D$26*0.8&gt;5800,"",IF($AE498*$AA491&gt;$AA501,"",IF(($AA$491*AJ$488*$AE$498)&lt;=$AA$501,((MOD($AA$501,($AA$491*AJ$488*$AE$498)))),"")))</f>
        <v/>
      </c>
      <c r="AK491" s="214" t="str">
        <f ca="1">IF($AE498*$AA491*'Customer Base'!$D$26*0.8&gt;5800,"",IF($AE498*$AA491&gt;$AA501,"",IF(($AA$491*AK$488*$AE$498)&lt;=$AA$501,((MOD($AA$501,($AA$491*AK$488*$AE$498)))),"")))</f>
        <v/>
      </c>
      <c r="AL491" s="214" t="str">
        <f ca="1">IF($AE498*$AA491*'Customer Base'!$D$26*0.8&gt;5800,"",IF($AE498*$AA491&gt;$AA501,"",IF(($AA$491*AL$488*$AE$498)&lt;=$AA$501,((MOD($AA$501,($AA$491*AL$488*$AE$498)))),"")))</f>
        <v/>
      </c>
      <c r="AM491" s="214" t="str">
        <f ca="1">IF($AE498*$AA491*'Customer Base'!$D$26*0.8&gt;5800,"",IF($AE498*$AA491&gt;$AA501,"",IF(($AA$491*AM$488*$AE$498)&lt;=$AA$501,((MOD($AA$501,($AA$491*AM$488*$AE$498)))),"")))</f>
        <v/>
      </c>
      <c r="AN491" s="214" t="str">
        <f ca="1">IF($AE498*$AA491*'Customer Base'!$D$26*0.8&gt;5800,"",IF($AE498*$AA491&gt;$AA501,"",IF(($AA$491*AN$488*$AE$498)&lt;=$AA$501,((MOD($AA$501,($AA$491*AN$488*$AE$498)))),"")))</f>
        <v/>
      </c>
      <c r="AO491" s="214" t="str">
        <f ca="1">IF($AE498*$AA491*'Customer Base'!$D$26*0.8&gt;5800,"",IF($AE498*$AA491&gt;$AA501,"",IF(($AA$491*AO$488*$AE$498)&lt;=$AA$501,((MOD($AA$501,($AA$491*AO$488*$AE$498)))),"")))</f>
        <v/>
      </c>
      <c r="AP491" s="214" t="str">
        <f ca="1">IF($AE498*$AA491*'Customer Base'!$D$26*0.8&gt;5800,"",IF($AE498*$AA491&gt;$AA501,"",IF(($AA$491*AP$488*$AE$498)&lt;=$AA$501,((MOD($AA$501,($AA$491*AP$488*$AE$498)))),"")))</f>
        <v/>
      </c>
      <c r="AQ491" s="214" t="str">
        <f ca="1">IF($AE498*$AA491*'Customer Base'!$D$26*0.8&gt;5800,"",IF($AE498*$AA491&gt;$AA501,"",IF(($AA$491*AQ$488*$AE$498)&lt;=$AA$501,((MOD($AA$501,($AA$491*AQ$488*$AE$498)))),"")))</f>
        <v/>
      </c>
      <c r="AR491" s="214" t="str">
        <f ca="1">IF($AE498*$AA491*'Customer Base'!$D$26*0.8&gt;5800,"",IF($AE498*$AA491&gt;$AA501,"",IF(($AA$491*AR$488*$AE$498)&lt;=$AA$501,((MOD($AA$501,($AA$491*AR$488*$AE$498)))),"")))</f>
        <v/>
      </c>
      <c r="AS491" s="214" t="str">
        <f ca="1">IF($AE498*$AA491*'Customer Base'!$D$26*0.8&gt;5800,"",IF($AE498*$AA491&gt;$AA501,"",IF(($AA$491*AS$488*$AE$498)&lt;=$AA$501,((MOD($AA$501,($AA$491*AS$488*$AE$498)))),"")))</f>
        <v/>
      </c>
      <c r="AT491" s="214" t="str">
        <f ca="1">IF($AE498*$AA491*'Customer Base'!$D$26*0.8&gt;5800,"",IF($AE498*$AA491&gt;$AA501,"",IF(($AA$491*AT$488*$AE$498)&lt;=$AA$501,((MOD($AA$501,($AA$491*AT$488*$AE$498)))),"")))</f>
        <v/>
      </c>
      <c r="AU491" s="214" t="str">
        <f ca="1">IF($AE498*$AA491*'Customer Base'!$D$26*0.8&gt;5800,"",IF($AE498*$AA491&gt;$AA501,"",IF(($AA$491*AU$488*$AE$498)&lt;=$AA$501,((MOD($AA$501,($AA$491*AU$488*$AE$498)))),"")))</f>
        <v/>
      </c>
      <c r="AV491" s="214" t="str">
        <f ca="1">IF($AE498*$AA491*'Customer Base'!$D$26*0.8&gt;5800,"",IF($AE498*$AA491&gt;$AA501,"",IF(($AA$491*AV$488*$AE$498)&lt;=$AA$501,((MOD($AA$501,($AA$491*AV$488*$AE$498)))),"")))</f>
        <v/>
      </c>
      <c r="AW491" s="214" t="str">
        <f ca="1">IF($AE498*$AA491*'Customer Base'!$D$26*0.8&gt;5800,"",IF($AE498*$AA491&gt;$AA501,"",IF(($AA$491*AW$488*$AE$498)&lt;=$AA$501,((MOD($AA$501,($AA$491*AW$488*$AE$498)))),"")))</f>
        <v/>
      </c>
      <c r="AX491" s="214" t="str">
        <f ca="1">IF($AE498*$AA491*'Customer Base'!$D$26*0.8&gt;5800,"",IF($AE498*$AA491&gt;$AA501,"",IF(($AA$491*AX$488*$AE$498)&lt;=$AA$501,((MOD($AA$501,($AA$491*AX$488*$AE$498)))),"")))</f>
        <v/>
      </c>
      <c r="AY491" s="214" t="str">
        <f ca="1">IF($AE498*$AA491*'Customer Base'!$D$26*0.8&gt;5800,"",IF($AE498*$AA491&gt;$AA501,"",IF(($AA$491*AY$488*$AE$498)&lt;=$AA$501,((MOD($AA$501,($AA$491*AY$488*$AE$498)))),"")))</f>
        <v/>
      </c>
      <c r="AZ491" s="214" t="str">
        <f ca="1">IF($AE498*$AA491*'Customer Base'!$D$26*0.8&gt;5800,"",IF($AE498*$AA491&gt;$AA501,"",IF(($AA$491*AZ$488*$AE$498)&lt;=$AA$501,((MOD($AA$501,($AA$491*AZ$488*$AE$498)))),"")))</f>
        <v/>
      </c>
      <c r="BA491" s="214" t="str">
        <f ca="1">IF($AE498*$AA491*'Customer Base'!$D$26*0.8&gt;5800,"",IF($AE498*$AA491&gt;$AA501,"",IF(($AA$491*BA$488*$AE$498)&lt;=$AA$501,((MOD($AA$501,($AA$491*BA$488*$AE$498)))),"")))</f>
        <v/>
      </c>
      <c r="BB491" s="214" t="str">
        <f ca="1">IF($AE498*$AA491*'Customer Base'!$D$26*0.8&gt;5800,"",IF($AE498*$AA491&gt;$AA501,"",IF(($AA$491*BB$488*$AE$498)&lt;=$AA$501,((MOD($AA$501,($AA$491*BB$488*$AE$498)))),"")))</f>
        <v/>
      </c>
      <c r="BC491" s="214" t="str">
        <f ca="1">IF($AE498*$AA491*'Customer Base'!$D$26*0.8&gt;5800,"",IF($AE498*$AA491&gt;$AA501,"",IF(($AA$491*BC$488*$AE$498)&lt;=$AA$501,((MOD($AA$501,($AA$491*BC$488*$AE$498)))),"")))</f>
        <v/>
      </c>
      <c r="BD491" s="214" t="str">
        <f ca="1">IF($AE498*$AA491*'Customer Base'!$D$26*0.8&gt;5800,"",IF($AE498*$AA491&gt;$AA501,"",IF(($AA$491*BD$488*$AE$498)&lt;=$AA$501,((MOD($AA$501,($AA$491*BD$488*$AE$498)))),"")))</f>
        <v/>
      </c>
      <c r="BE491" s="214" t="str">
        <f ca="1">IF($AE498*$AA491*'Customer Base'!$D$26*0.8&gt;5800,"",IF($AE498*$AA491&gt;$AA501,"",IF(($AA$491*BE$488*$AE$498)&lt;=$AA$501,((MOD($AA$501,($AA$491*BE$488*$AE$498)))),"")))</f>
        <v/>
      </c>
      <c r="BF491" s="214" t="str">
        <f ca="1">IF($AE498*$AA491*'Customer Base'!$D$26*0.8&gt;5800,"",IF($AE498*$AA491&gt;$AA501,"",IF(($AA$491*BF$488*$AE$498)&lt;=$AA$501,((MOD($AA$501,($AA$491*BF$488*$AE$498)))),"")))</f>
        <v/>
      </c>
      <c r="BG491" s="214" t="str">
        <f ca="1">IF($AE498*$AA491*'Customer Base'!$D$26*0.8&gt;5800,"",IF($AE498*$AA491&gt;$AA501,"",IF(($AA$491*BG$488*$AE$498)&lt;=$AA$501,((MOD($AA$501,($AA$491*BG$488*$AE$498)))),"")))</f>
        <v/>
      </c>
      <c r="BH491" s="214" t="str">
        <f ca="1">IF($AE498*$AA491*'Customer Base'!$D$26*0.8&gt;5800,"",IF($AE498*$AA491&gt;$AA501,"",IF(($AA$491*BH$488*$AE$498)&lt;=$AA$501,((MOD($AA$501,($AA$491*BH$488*$AE$498)))),"")))</f>
        <v/>
      </c>
      <c r="BI491" s="214" t="str">
        <f ca="1">IF($AE498*$AA491*'Customer Base'!$D$26*0.8&gt;5800,"",IF($AE498*$AA491&gt;$AA501,"",IF(($AA$491*BI$488*$AE$498)&lt;=$AA$501,((MOD($AA$501,($AA$491*BI$488*$AE$498)))),"")))</f>
        <v/>
      </c>
      <c r="BJ491" s="214" t="str">
        <f ca="1">IF($AE498*$AA491*'Customer Base'!$D$26*0.8&gt;5800,"",IF($AE498*$AA491&gt;$AA501,"",IF(($AA$491*BJ$488*$AE$498)&lt;=$AA$501,((MOD($AA$501,($AA$491*BJ$488*$AE$498)))),"")))</f>
        <v/>
      </c>
      <c r="BK491" s="214" t="str">
        <f ca="1">IF($AE498*$AA491*'Customer Base'!$D$26*0.8&gt;5800,"",IF($AE498*$AA491&gt;$AA501,"",IF(($AA$491*BK$488*$AE$498)&lt;=$AA$501,((MOD($AA$501,($AA$491*BK$488*$AE$498)))),"")))</f>
        <v/>
      </c>
      <c r="BL491" s="214" t="str">
        <f ca="1">IF($AE498*$AA491*'Customer Base'!$D$26*0.8&gt;5800,"",IF($AE498*$AA491&gt;$AA501,"",IF(($AA$491*BL$488*$AE$498)&lt;=$AA$501,((MOD($AA$501,($AA$491*BL$488*$AE$498)))),"")))</f>
        <v/>
      </c>
      <c r="BM491" s="214" t="str">
        <f ca="1">IF($AE498*$AA491*'Customer Base'!$D$26*0.8&gt;5800,"",IF($AE498*$AA491&gt;$AA501,"",IF(($AA$491*BM$488*$AE$498)&lt;=$AA$501,((MOD($AA$501,($AA$491*BM$488*$AE$498)))),"")))</f>
        <v/>
      </c>
      <c r="BN491" s="214" t="str">
        <f ca="1">IF($AE498*$AA491*'Customer Base'!$D$26*0.8&gt;5800,"",IF($AE498*$AA491&gt;$AA501,"",IF(($AA$491*BN$488*$AE$498)&lt;=$AA$501,((MOD($AA$501,($AA$491*BN$488*$AE$498)))),"")))</f>
        <v/>
      </c>
      <c r="BO491" s="214" t="str">
        <f ca="1">IF($AE498*$AA491*'Customer Base'!$D$26*0.8&gt;5800,"",IF($AE498*$AA491&gt;$AA501,"",IF(($AA$491*BO$488*$AE$498)&lt;=$AA$501,((MOD($AA$501,($AA$491*BO$488*$AE$498)))),"")))</f>
        <v/>
      </c>
      <c r="BP491" s="214" t="str">
        <f ca="1">IF($AE498*$AA491*'Customer Base'!$D$26*0.8&gt;5800,"",IF($AE498*$AA491&gt;$AA501,"",IF(($AA$491*BP$488*$AE$498)&lt;=$AA$501,((MOD($AA$501,($AA$491*BP$488*$AE$498)))),"")))</f>
        <v/>
      </c>
      <c r="BQ491" s="214" t="str">
        <f ca="1">IF($AE498*$AA491*'Customer Base'!$D$26*0.8&gt;5800,"",IF($AE498*$AA491&gt;$AA501,"",IF(($AA$491*BQ$488*$AE$498)&lt;=$AA$501,((MOD($AA$501,($AA$491*BQ$488*$AE$498)))),"")))</f>
        <v/>
      </c>
      <c r="BR491" s="214" t="str">
        <f ca="1">IF($AE498*$AA491*'Customer Base'!$D$26*0.8&gt;5800,"",IF($AE498*$AA491&gt;$AA501,"",IF(($AA$491*BR$488*$AE$498)&lt;=$AA$501,((MOD($AA$501,($AA$491*BR$488*$AE$498)))),"")))</f>
        <v/>
      </c>
      <c r="BS491" s="214" t="str">
        <f ca="1">IF($AE498*$AA491*'Customer Base'!$D$26*0.8&gt;5800,"",IF($AE498*$AA491&gt;$AA501,"",IF(($AA$491*BS$488*$AE$498)&lt;=$AA$501,((MOD($AA$501,($AA$491*BS$488*$AE$498)))),"")))</f>
        <v/>
      </c>
      <c r="BT491" s="214" t="str">
        <f ca="1">IF($AE498*$AA491*'Customer Base'!$D$26*0.8&gt;5800,"",IF($AE498*$AA491&gt;$AA501,"",IF(($AA$491*BT$488*$AE$498)&lt;=$AA$501,((MOD($AA$501,($AA$491*BT$488*$AE$498)))),"")))</f>
        <v/>
      </c>
      <c r="BU491" s="214" t="str">
        <f ca="1">IF($AE498*$AA491*'Customer Base'!$D$26*0.8&gt;5800,"",IF($AE498*$AA491&gt;$AA501,"",IF(($AA$491*BU$488*$AE$498)&lt;=$AA$501,((MOD($AA$501,($AA$491*BU$488*$AE$498)))),"")))</f>
        <v/>
      </c>
      <c r="BV491" s="214" t="str">
        <f ca="1">IF($AE498*$AA491*'Customer Base'!$D$26*0.8&gt;5800,"",IF($AE498*$AA491&gt;$AA501,"",IF(($AA$491*BV$488*$AE$498)&lt;=$AA$501,((MOD($AA$501,($AA$491*BV$488*$AE$498)))),"")))</f>
        <v/>
      </c>
      <c r="BW491" s="214" t="str">
        <f ca="1">IF($AE498*$AA491*'Customer Base'!$D$26*0.8&gt;5800,"",IF($AE498*$AA491&gt;$AA501,"",IF(($AA$491*BW$488*$AE$498)&lt;=$AA$501,((MOD($AA$501,($AA$491*BW$488*$AE$498)))),"")))</f>
        <v/>
      </c>
      <c r="BX491" s="214" t="str">
        <f ca="1">IF($AE498*$AA491*'Customer Base'!$D$26*0.8&gt;5800,"",IF($AE498*$AA491&gt;$AA501,"",IF(($AA$491*BX$488*$AE$498)&lt;=$AA$501,((MOD($AA$501,($AA$491*BX$488*$AE$498)))),"")))</f>
        <v/>
      </c>
      <c r="BY491" s="214" t="str">
        <f ca="1">IF($AE498*$AA491*'Customer Base'!$D$26*0.8&gt;5800,"",IF($AE498*$AA491&gt;$AA501,"",IF(($AA$491*BY$488*$AE$498)&lt;=$AA$501,((MOD($AA$501,($AA$491*BY$488*$AE$498)))),"")))</f>
        <v/>
      </c>
      <c r="BZ491" s="214" t="str">
        <f ca="1">IF($AE498*$AA491*'Customer Base'!$D$26*0.8&gt;5800,"",IF($AE498*$AA491&gt;$AA501,"",IF(($AA$491*BZ$488*$AE$498)&lt;=$AA$501,((MOD($AA$501,($AA$491*BZ$488*$AE$498)))),"")))</f>
        <v/>
      </c>
      <c r="CA491" s="214" t="str">
        <f ca="1">IF($AE498*$AA491*'Customer Base'!$D$26*0.8&gt;5800,"",IF($AE498*$AA491&gt;$AA501,"",IF(($AA$491*CA$488*$AE$498)&lt;=$AA$501,((MOD($AA$501,($AA$491*CA$488*$AE$498)))),"")))</f>
        <v/>
      </c>
      <c r="CB491" s="214" t="str">
        <f ca="1">IF($AE498*$AA491*'Customer Base'!$D$26*0.8&gt;5800,"",IF($AE498*$AA491&gt;$AA501,"",IF(($AA$491*CB$488*$AE$498)&lt;=$AA$501,((MOD($AA$501,($AA$491*CB$488*$AE$498)))),"")))</f>
        <v/>
      </c>
      <c r="CC491" s="214" t="str">
        <f ca="1">IF($AE498*$AA491*'Customer Base'!$D$26*0.8&gt;5800,"",IF($AE498*$AA491&gt;$AA501,"",IF(($AA$491*CC$488*$AE$498)&lt;=$AA$501,((MOD($AA$501,($AA$491*CC$488*$AE$498)))),"")))</f>
        <v/>
      </c>
      <c r="CD491" s="214" t="str">
        <f ca="1">IF($AE498*$AA491*'Customer Base'!$D$26*0.8&gt;5800,"",IF($AE498*$AA491&gt;$AA501,"",IF(($AA$491*CD$488*$AE$498)&lt;=$AA$501,((MOD($AA$501,($AA$491*CD$488*$AE$498)))),"")))</f>
        <v/>
      </c>
      <c r="CE491" s="214" t="str">
        <f ca="1">IF($AE498*$AA491*'Customer Base'!$D$26*0.8&gt;5800,"",IF($AE498*$AA491&gt;$AA501,"",IF(($AA$491*CE$488*$AE$498)&lt;=$AA$501,((MOD($AA$501,($AA$491*CE$488*$AE$498)))),"")))</f>
        <v/>
      </c>
      <c r="CF491" s="214" t="str">
        <f ca="1">IF($AE498*$AA491*'Customer Base'!$D$26*0.8&gt;5800,"",IF($AE498*$AA491&gt;$AA501,"",IF(($AA$491*CF$488*$AE$498)&lt;=$AA$501,((MOD($AA$501,($AA$491*CF$488*$AE$498)))),"")))</f>
        <v/>
      </c>
      <c r="CG491" s="214" t="str">
        <f ca="1">IF($AE498*$AA491*'Customer Base'!$D$26*0.8&gt;5800,"",IF($AE498*$AA491&gt;$AA501,"",IF(($AA$491*CG$488*$AE$498)&lt;=$AA$501,((MOD($AA$501,($AA$491*CG$488*$AE$498)))),"")))</f>
        <v/>
      </c>
      <c r="CH491" s="214" t="str">
        <f ca="1">IF($AE498*$AA491*'Customer Base'!$D$26*0.8&gt;5800,"",IF($AE498*$AA491&gt;$AA501,"",IF(($AA$491*CH$488*$AE$498)&lt;=$AA$501,((MOD($AA$501,($AA$491*CH$488*$AE$498)))),"")))</f>
        <v/>
      </c>
      <c r="CI491" s="214" t="str">
        <f ca="1">IF($AE498*$AA491*'Customer Base'!$D$26*0.8&gt;5800,"",IF($AE498*$AA491&gt;$AA501,"",IF(($AA$491*CI$488*$AE$498)&lt;=$AA$501,((MOD($AA$501,($AA$491*CI$488*$AE$498)))),"")))</f>
        <v/>
      </c>
      <c r="CJ491" s="214" t="str">
        <f ca="1">IF($AE498*$AA491*'Customer Base'!$D$26*0.8&gt;5800,"",IF($AE498*$AA491&gt;$AA501,"",IF(($AA$491*CJ$488*$AE$498)&lt;=$AA$501,((MOD($AA$501,($AA$491*CJ$488*$AE$498)))),"")))</f>
        <v/>
      </c>
      <c r="CK491" s="214" t="str">
        <f ca="1">IF($AE498*$AA491*'Customer Base'!$D$26*0.8&gt;5800,"",IF($AE498*$AA491&gt;$AA501,"",IF(($AA$491*CK$488*$AE$498)&lt;=$AA$501,((MOD($AA$501,($AA$491*CK$488*$AE$498)))),"")))</f>
        <v/>
      </c>
      <c r="CL491" s="214" t="str">
        <f ca="1">IF($AE498*$AA491*'Customer Base'!$D$26*0.8&gt;5800,"",IF($AE498*$AA491&gt;$AA501,"",IF(($AA$491*CL$488*$AE$498)&lt;=$AA$501,((MOD($AA$501,($AA$491*CL$488*$AE$498)))),"")))</f>
        <v/>
      </c>
      <c r="CM491" s="214" t="str">
        <f ca="1">IF($AE498*$AA491*'Customer Base'!$D$26*0.8&gt;5800,"",IF($AE498*$AA491&gt;$AA501,"",IF(($AA$491*CM$488*$AE$498)&lt;=$AA$501,((MOD($AA$501,($AA$491*CM$488*$AE$498)))),"")))</f>
        <v/>
      </c>
      <c r="CN491" s="214" t="str">
        <f ca="1">IF($AE498*$AA491*'Customer Base'!$D$26*0.8&gt;5800,"",IF($AE498*$AA491&gt;$AA501,"",IF(($AA$491*CN$488*$AE$498)&lt;=$AA$501,((MOD($AA$501,($AA$491*CN$488*$AE$498)))),"")))</f>
        <v/>
      </c>
      <c r="CO491" s="214" t="str">
        <f ca="1">IF($AE498*$AA491*'Customer Base'!$D$26*0.8&gt;5800,"",IF($AE498*$AA491&gt;$AA501,"",IF(($AA$491*CO$488*$AE$498)&lt;=$AA$501,((MOD($AA$501,($AA$491*CO$488*$AE$498)))),"")))</f>
        <v/>
      </c>
      <c r="CP491" s="214" t="str">
        <f ca="1">IF($AE498*$AA491*'Customer Base'!$D$26*0.8&gt;5800,"",IF($AE498*$AA491&gt;$AA501,"",IF(($AA$491*CP$488*$AE$498)&lt;=$AA$501,((MOD($AA$501,($AA$491*CP$488*$AE$498)))),"")))</f>
        <v/>
      </c>
      <c r="CQ491" s="214" t="str">
        <f ca="1">IF($AE498*$AA491*'Customer Base'!$D$26*0.8&gt;5800,"",IF($AE498*$AA491&gt;$AA501,"",IF(($AA$491*CQ$488*$AE$498)&lt;=$AA$501,((MOD($AA$501,($AA$491*CQ$488*$AE$498)))),"")))</f>
        <v/>
      </c>
      <c r="CR491" s="214" t="str">
        <f ca="1">IF($AE498*$AA491*'Customer Base'!$D$26*0.8&gt;5800,"",IF($AE498*$AA491&gt;$AA501,"",IF(($AA$491*CR$488*$AE$498)&lt;=$AA$501,((MOD($AA$501,($AA$491*CR$488*$AE$498)))),"")))</f>
        <v/>
      </c>
      <c r="CS491" s="214" t="str">
        <f ca="1">IF($AE498*$AA491*'Customer Base'!$D$26*0.8&gt;5800,"",IF($AE498*$AA491&gt;$AA501,"",IF(($AA$491*CS$488*$AE$498)&lt;=$AA$501,((MOD($AA$501,($AA$491*CS$488*$AE$498)))),"")))</f>
        <v/>
      </c>
      <c r="CT491" s="214" t="str">
        <f ca="1">IF($AE498*$AA491*'Customer Base'!$D$26*0.8&gt;5800,"",IF($AE498*$AA491&gt;$AA501,"",IF(($AA$491*CT$488*$AE$498)&lt;=$AA$501,((MOD($AA$501,($AA$491*CT$488*$AE$498)))),"")))</f>
        <v/>
      </c>
      <c r="CU491" s="214" t="str">
        <f ca="1">IF($AE498*$AA491*'Customer Base'!$D$26*0.8&gt;5800,"",IF($AE498*$AA491&gt;$AA501,"",IF(($AA$491*CU$488*$AE$498)&lt;=$AA$501,((MOD($AA$501,($AA$491*CU$488*$AE$498)))),"")))</f>
        <v/>
      </c>
      <c r="CV491" s="214" t="str">
        <f ca="1">IF($AE498*$AA491*'Customer Base'!$D$26*0.8&gt;5800,"",IF($AE498*$AA491&gt;$AA501,"",IF(($AA$491*CV$488*$AE$498)&lt;=$AA$501,((MOD($AA$501,($AA$491*CV$488*$AE$498)))),"")))</f>
        <v/>
      </c>
      <c r="CW491" s="214" t="str">
        <f ca="1">IF($AE498*$AA491*'Customer Base'!$D$26*0.8&gt;5800,"",IF($AE498*$AA491&gt;$AA501,"",IF(($AA$491*CW$488*$AE$498)&lt;=$AA$501,((MOD($AA$501,($AA$491*CW$488*$AE$498)))),"")))</f>
        <v/>
      </c>
      <c r="CX491" s="214" t="str">
        <f ca="1">IF($AE498*$AA491*'Customer Base'!$D$26*0.8&gt;5800,"",IF($AE498*$AA491&gt;$AA501,"",IF(($AA$491*CX$488*$AE$498)&lt;=$AA$501,((MOD($AA$501,($AA$491*CX$488*$AE$498)))),"")))</f>
        <v/>
      </c>
      <c r="CY491" s="214" t="str">
        <f ca="1">IF($AE498*$AA491*'Customer Base'!$D$26*0.8&gt;5800,"",IF($AE498*$AA491&gt;$AA501,"",IF(($AA$491*CY$488*$AE$498)&lt;=$AA$501,((MOD($AA$501,($AA$491*CY$488*$AE$498)))),"")))</f>
        <v/>
      </c>
      <c r="CZ491" s="214" t="str">
        <f ca="1">IF($AE498*$AA491*'Customer Base'!$D$26*0.8&gt;5800,"",IF($AE498*$AA491&gt;$AA501,"",IF(($AA$491*CZ$488*$AE$498)&lt;=$AA$501,((MOD($AA$501,($AA$491*CZ$488*$AE$498)))),"")))</f>
        <v/>
      </c>
      <c r="DA491" s="214" t="str">
        <f ca="1">IF($AE498*$AA491*'Customer Base'!$D$26*0.8&gt;5800,"",IF($AE498*$AA491&gt;$AA501,"",IF(($AA$491*DA$488*$AE$498)&lt;=$AA$501,((MOD($AA$501,($AA$491*DA$488*$AE$498)))),"")))</f>
        <v/>
      </c>
      <c r="DB491" s="214" t="str">
        <f ca="1">IF($AE498*$AA491*'Customer Base'!$D$26*0.8&gt;5800,"",IF($AE498*$AA491&gt;$AA501,"",IF(($AA$491*DB$488*$AE$498)&lt;=$AA$501,((MOD($AA$501,($AA$491*DB$488*$AE$498)))),"")))</f>
        <v/>
      </c>
      <c r="DC491" s="214" t="str">
        <f ca="1">IF($AE498*$AA491*'Customer Base'!$D$26*0.8&gt;5800,"",IF($AE498*$AA491&gt;$AA501,"",IF(($AA$491*DC$488*$AE$498)&lt;=$AA$501,((MOD($AA$501,($AA$491*DC$488*$AE$498)))),"")))</f>
        <v/>
      </c>
      <c r="DD491" s="214" t="str">
        <f ca="1">IF($AE498*$AA491*'Customer Base'!$D$26*0.8&gt;5800,"",IF($AE498*$AA491&gt;$AA501,"",IF(($AA$491*DD$488*$AE$498)&lt;=$AA$501,((MOD($AA$501,($AA$491*DD$488*$AE$498)))),"")))</f>
        <v/>
      </c>
      <c r="DE491" s="214" t="str">
        <f ca="1">IF($AE498*$AA491*'Customer Base'!$D$26*0.8&gt;5800,"",IF($AE498*$AA491&gt;$AA501,"",IF(($AA$491*DE$488*$AE$498)&lt;=$AA$501,((MOD($AA$501,($AA$491*DE$488*$AE$498)))),"")))</f>
        <v/>
      </c>
      <c r="DF491" s="214" t="str">
        <f ca="1">IF($AE498*$AA491*'Customer Base'!$D$26*0.8&gt;5800,"",IF($AE498*$AA491&gt;$AA501,"",IF(($AA$491*DF$488*$AE$498)&lt;=$AA$501,((MOD($AA$501,($AA$491*DF$488*$AE$498)))),"")))</f>
        <v/>
      </c>
      <c r="DG491" s="214" t="str">
        <f ca="1">IF($AE498*$AA491*'Customer Base'!$D$26*0.8&gt;5800,"",IF($AE498*$AA491&gt;$AA501,"",IF(($AA$491*DG$488*$AE$498)&lt;=$AA$501,((MOD($AA$501,($AA$491*DG$488*$AE$498)))),"")))</f>
        <v/>
      </c>
      <c r="DH491" s="214" t="str">
        <f ca="1">IF($AE498*$AA491*'Customer Base'!$D$26*0.8&gt;5800,"",IF($AE498*$AA491&gt;$AA501,"",IF(($AA$491*DH$488*$AE$498)&lt;=$AA$501,((MOD($AA$501,($AA$491*DH$488*$AE$498)))),"")))</f>
        <v/>
      </c>
      <c r="DI491" s="214" t="str">
        <f ca="1">IF($AE498*$AA491*'Customer Base'!$D$26*0.8&gt;5800,"",IF($AE498*$AA491&gt;$AA501,"",IF(($AA$491*DI$488*$AE$498)&lt;=$AA$501,((MOD($AA$501,($AA$491*DI$488*$AE$498)))),"")))</f>
        <v/>
      </c>
      <c r="DJ491" s="214" t="str">
        <f ca="1">IF($AE498*$AA491*'Customer Base'!$D$26*0.8&gt;5800,"",IF($AE498*$AA491&gt;$AA501,"",IF(($AA$491*DJ$488*$AE$498)&lt;=$AA$501,((MOD($AA$501,($AA$491*DJ$488*$AE$498)))),"")))</f>
        <v/>
      </c>
      <c r="DK491" s="214" t="str">
        <f ca="1">IF($AE498*$AA491*'Customer Base'!$D$26*0.8&gt;5800,"",IF($AE498*$AA491&gt;$AA501,"",IF(($AA$491*DK$488*$AE$498)&lt;=$AA$501,((MOD($AA$501,($AA$491*DK$488*$AE$498)))),"")))</f>
        <v/>
      </c>
      <c r="DL491" s="214" t="str">
        <f ca="1">IF($AE498*$AA491*'Customer Base'!$D$26*0.8&gt;5800,"",IF($AE498*$AA491&gt;$AA501,"",IF(($AA$491*DL$488*$AE$498)&lt;=$AA$501,((MOD($AA$501,($AA$491*DL$488*$AE$498)))),"")))</f>
        <v/>
      </c>
      <c r="DM491" s="214" t="str">
        <f ca="1">IF($AE498*$AA491*'Customer Base'!$D$26*0.8&gt;5800,"",IF($AE498*$AA491&gt;$AA501,"",IF(($AA$491*DM$488*$AE$498)&lt;=$AA$501,((MOD($AA$501,($AA$491*DM$488*$AE$498)))),"")))</f>
        <v/>
      </c>
      <c r="DN491" s="214" t="str">
        <f ca="1">IF($AE498*$AA491*'Customer Base'!$D$26*0.8&gt;5800,"",IF($AE498*$AA491&gt;$AA501,"",IF(($AA$491*DN$488*$AE$498)&lt;=$AA$501,((MOD($AA$501,($AA$491*DN$488*$AE$498)))),"")))</f>
        <v/>
      </c>
      <c r="DO491" s="214" t="str">
        <f ca="1">IF($AE498*$AA491*'Customer Base'!$D$26*0.8&gt;5800,"",IF($AE498*$AA491&gt;$AA501,"",IF(($AA$491*DO$488*$AE$498)&lt;=$AA$501,((MOD($AA$501,($AA$491*DO$488*$AE$498)))),"")))</f>
        <v/>
      </c>
      <c r="DP491" s="214" t="str">
        <f ca="1">IF($AE498*$AA491*'Customer Base'!$D$26*0.8&gt;5800,"",IF($AE498*$AA491&gt;$AA501,"",IF(($AA$491*DP$488*$AE$498)&lt;=$AA$501,((MOD($AA$501,($AA$491*DP$488*$AE$498)))),"")))</f>
        <v/>
      </c>
      <c r="DQ491" s="214" t="str">
        <f ca="1">IF($AE498*$AA491*'Customer Base'!$D$26*0.8&gt;5800,"",IF($AE498*$AA491&gt;$AA501,"",IF(($AA$491*DQ$488*$AE$498)&lt;=$AA$501,((MOD($AA$501,($AA$491*DQ$488*$AE$498)))),"")))</f>
        <v/>
      </c>
      <c r="DR491" s="214" t="str">
        <f ca="1">IF($AE498*$AA491*'Customer Base'!$D$26*0.8&gt;5800,"",IF($AE498*$AA491&gt;$AA501,"",IF(($AA$491*DR$488*$AE$498)&lt;=$AA$501,((MOD($AA$501,($AA$491*DR$488*$AE$498)))),"")))</f>
        <v/>
      </c>
      <c r="DS491" s="214" t="str">
        <f ca="1">IF($AE498*$AA491*'Customer Base'!$D$26*0.8&gt;5800,"",IF($AE498*$AA491&gt;$AA501,"",IF(($AA$491*DS$488*$AE$498)&lt;=$AA$501,((MOD($AA$501,($AA$491*DS$488*$AE$498)))),"")))</f>
        <v/>
      </c>
      <c r="DT491" s="214" t="str">
        <f ca="1">IF($AE498*$AA491*'Customer Base'!$D$26*0.8&gt;5800,"",IF($AE498*$AA491&gt;$AA501,"",IF(($AA$491*DT$488*$AE$498)&lt;=$AA$501,((MOD($AA$501,($AA$491*DT$488*$AE$498)))),"")))</f>
        <v/>
      </c>
      <c r="DU491" s="214" t="str">
        <f ca="1">IF($AE498*$AA491*'Customer Base'!$D$26*0.8&gt;5800,"",IF($AE498*$AA491&gt;$AA501,"",IF(($AA$491*DU$488*$AE$498)&lt;=$AA$501,((MOD($AA$501,($AA$491*DU$488*$AE$498)))),"")))</f>
        <v/>
      </c>
      <c r="DV491" s="214" t="str">
        <f ca="1">IF($AE498*$AA491*'Customer Base'!$D$26*0.8&gt;5800,"",IF($AE498*$AA491&gt;$AA501,"",IF(($AA$491*DV$488*$AE$498)&lt;=$AA$501,((MOD($AA$501,($AA$491*DV$488*$AE$498)))),"")))</f>
        <v/>
      </c>
      <c r="DW491" s="214" t="str">
        <f ca="1">IF($AE498*$AA491*'Customer Base'!$D$26*0.8&gt;5800,"",IF($AE498*$AA491&gt;$AA501,"",IF(($AA$491*DW$488*$AE$498)&lt;=$AA$501,((MOD($AA$501,($AA$491*DW$488*$AE$498)))),"")))</f>
        <v/>
      </c>
      <c r="DX491" s="214" t="str">
        <f ca="1">IF($AE498*$AA491*'Customer Base'!$D$26*0.8&gt;5800,"",IF($AE498*$AA491&gt;$AA501,"",IF(($AA$491*DX$488*$AE$498)&lt;=$AA$501,((MOD($AA$501,($AA$491*DX$488*$AE$498)))),"")))</f>
        <v/>
      </c>
      <c r="DY491" s="214" t="str">
        <f ca="1">IF($AE498*$AA491*'Customer Base'!$D$26*0.8&gt;5800,"",IF($AE498*$AA491&gt;$AA501,"",IF(($AA$491*DY$488*$AE$498)&lt;=$AA$501,((MOD($AA$501,($AA$491*DY$488*$AE$498)))),"")))</f>
        <v/>
      </c>
      <c r="DZ491" s="214" t="str">
        <f ca="1">IF($AE498*$AA491*'Customer Base'!$D$26*0.8&gt;5800,"",IF($AE498*$AA491&gt;$AA501,"",IF(($AA$491*DZ$488*$AE$498)&lt;=$AA$501,((MOD($AA$501,($AA$491*DZ$488*$AE$498)))),"")))</f>
        <v/>
      </c>
      <c r="EA491" s="214" t="str">
        <f ca="1">IF($AE498*$AA491*'Customer Base'!$D$26*0.8&gt;5800,"",IF($AE498*$AA491&gt;$AA501,"",IF(($AA$491*EA$488*$AE$498)&lt;=$AA$501,((MOD($AA$501,($AA$491*EA$488*$AE$498)))),"")))</f>
        <v/>
      </c>
      <c r="EC491" s="214" t="str" cm="1">
        <f t="array" aca="1" ref="EC491" ca="1">IFERROR(LOOKUP(2,1/(AF491:EA491&lt;&gt;""),AF$488:EA$488),"")</f>
        <v/>
      </c>
      <c r="ED491" s="316" t="str" cm="1">
        <f t="array" aca="1" ref="ED491" ca="1">IF(EC$474=EC491,LOOKUP(2,1/(AF491:EA491&lt;&gt;""),AF491:EA491),"")</f>
        <v/>
      </c>
      <c r="EE491" s="316" t="str">
        <f ca="1">IF(ED491=ED$474,1,"")</f>
        <v/>
      </c>
      <c r="EF491" s="316"/>
      <c r="EG491" s="316"/>
      <c r="EH491" s="316"/>
      <c r="EI491" s="214">
        <v>4</v>
      </c>
      <c r="EJ491" s="316" t="s">
        <v>2700</v>
      </c>
      <c r="EK491" s="214">
        <f>IFERROR(MOD(EL$495,EI491),"")</f>
        <v>0</v>
      </c>
      <c r="EL491" s="214" t="str">
        <f>IF(OR(EL495=1,EL495=""),"",IF(EK491=0,EI491,IF(AND(EK491&lt;&gt;0,EK490&lt;&gt;0,EK489&lt;&gt;0),EI491,IF(AND(EK491&lt;&gt;0,EK490&lt;&gt;0,EK489=0),EI491,""))))</f>
        <v/>
      </c>
      <c r="EM491" s="214" t="str">
        <f>IFERROR(ROUNDDOWN(EL$495/EL491,0),"")</f>
        <v/>
      </c>
      <c r="EN491" s="214" t="str">
        <f ca="1">IF($AE498*$AA491*'Customer Base'!$D$26*0.8&gt;5800,"",IF($AE498*$AA491&gt;$AA501,"",IF(($AA$491*EN$488*$AE$498)&lt;=$ED$474,((MOD($ED$474,($AA$491*EN$488*$AE$498)))),"")))</f>
        <v/>
      </c>
      <c r="EO491" s="214" t="str">
        <f ca="1">IF($AE498*$AA491*'Customer Base'!$D$26*0.8&gt;5800,"",IF($AE498*$AA491&gt;$AA501,"",IF(($AA$491*EO$488*$AE$498)&lt;=$ED$474,((MOD($ED$474,($AA$491*EO$488*$AE$498)))),"")))</f>
        <v/>
      </c>
      <c r="EP491" s="214" t="str">
        <f ca="1">IF($AE498*$AA491*'Customer Base'!$D$26*0.8&gt;5800,"",IF($AE498*$AA491&gt;$AA501,"",IF(($AA$491*EP$488*$AE$498)&lt;=$ED$474,((MOD($ED$474,($AA$491*EP$488*$AE$498)))),"")))</f>
        <v/>
      </c>
      <c r="EQ491" s="214" t="str">
        <f ca="1">IF($AE498*$AA491*'Customer Base'!$D$26*0.8&gt;5800,"",IF($AE498*$AA491&gt;$AA501,"",IF(($AA$491*EQ$488*$AE$498)&lt;=$ED$474,((MOD($ED$474,($AA$491*EQ$488*$AE$498)))),"")))</f>
        <v/>
      </c>
      <c r="ER491" s="214" t="str">
        <f ca="1">IF($AE498*$AA491*'Customer Base'!$D$26*0.8&gt;5800,"",IF($AE498*$AA491&gt;$AA501,"",IF(($AA$491*ER$488*$AE$498)&lt;=$ED$474,((MOD($ED$474,($AA$491*ER$488*$AE$498)))),"")))</f>
        <v/>
      </c>
      <c r="ES491" s="214" t="str">
        <f ca="1">IF($AE498*$AA491*'Customer Base'!$D$26*0.8&gt;5800,"",IF($AE498*$AA491&gt;$AA501,"",IF(($AA$491*ES$488*$AE$498)&lt;=$ED$474,((MOD($ED$474,($AA$491*ES$488*$AE$498)))),"")))</f>
        <v/>
      </c>
      <c r="ET491" s="214" t="str">
        <f ca="1">IF($AE498*$AA491*'Customer Base'!$D$26*0.8&gt;5800,"",IF($AE498*$AA491&gt;$AA501,"",IF(($AA$491*ET$488*$AE$498)&lt;=$ED$474,((MOD($ED$474,($AA$491*ET$488*$AE$498)))),"")))</f>
        <v/>
      </c>
      <c r="EU491" s="214" t="str">
        <f ca="1">IF($AE498*$AA491*'Customer Base'!$D$26*0.8&gt;5800,"",IF($AE498*$AA491&gt;$AA501,"",IF(($AA$491*EU$488*$AE$498)&lt;=$ED$474,((MOD($ED$474,($AA$491*EU$488*$AE$498)))),"")))</f>
        <v/>
      </c>
      <c r="EV491" s="214" t="str">
        <f ca="1">IF($AE498*$AA491*'Customer Base'!$D$26*0.8&gt;5800,"",IF($AE498*$AA491&gt;$AA501,"",IF(($AA$491*EV$488*$AE$498)&lt;=$ED$474,((MOD($ED$474,($AA$491*EV$488*$AE$498)))),"")))</f>
        <v/>
      </c>
      <c r="EW491" s="214" t="str">
        <f ca="1">IF($AE498*$AA491*'Customer Base'!$D$26*0.8&gt;5800,"",IF($AE498*$AA491&gt;$AA501,"",IF(($AA$491*EW$488*$AE$498)&lt;=$ED$474,((MOD($ED$474,($AA$491*EW$488*$AE$498)))),"")))</f>
        <v/>
      </c>
      <c r="EX491" s="214" t="str">
        <f ca="1">IF($AE498*$AA491*'Customer Base'!$D$26*0.8&gt;5800,"",IF($AE498*$AA491&gt;$AA501,"",IF(($AA$491*EX$488*$AE$498)&lt;=$ED$474,((MOD($ED$474,($AA$491*EX$488*$AE$498)))),"")))</f>
        <v/>
      </c>
      <c r="EY491" s="214" t="str">
        <f ca="1">IF($AE498*$AA491*'Customer Base'!$D$26*0.8&gt;5800,"",IF($AE498*$AA491&gt;$AA501,"",IF(($AA$491*EY$488*$AE$498)&lt;=$ED$474,((MOD($ED$474,($AA$491*EY$488*$AE$498)))),"")))</f>
        <v/>
      </c>
      <c r="EZ491" s="214" t="str">
        <f ca="1">IF($AE498*$AA491*'Customer Base'!$D$26*0.8&gt;5800,"",IF($AE498*$AA491&gt;$AA501,"",IF(($AA$491*EZ$488*$AE$498)&lt;=$ED$474,((MOD($ED$474,($AA$491*EZ$488*$AE$498)))),"")))</f>
        <v/>
      </c>
      <c r="FA491" s="214" t="str">
        <f ca="1">IF($AE498*$AA491*'Customer Base'!$D$26*0.8&gt;5800,"",IF($AE498*$AA491&gt;$AA501,"",IF(($AA$491*FA$488*$AE$498)&lt;=$ED$474,((MOD($ED$474,($AA$491*FA$488*$AE$498)))),"")))</f>
        <v/>
      </c>
      <c r="FB491" s="214" t="str">
        <f ca="1">IF($AE498*$AA491*'Customer Base'!$D$26*0.8&gt;5800,"",IF($AE498*$AA491&gt;$AA501,"",IF(($AA$491*FB$488*$AE$498)&lt;=$ED$474,((MOD($ED$474,($AA$491*FB$488*$AE$498)))),"")))</f>
        <v/>
      </c>
      <c r="FC491" s="214" t="str">
        <f ca="1">IF($AE498*$AA491*'Customer Base'!$D$26*0.8&gt;5800,"",IF($AE498*$AA491&gt;$AA501,"",IF(($AA$491*FC$488*$AE$498)&lt;=$ED$474,((MOD($ED$474,($AA$491*FC$488*$AE$498)))),"")))</f>
        <v/>
      </c>
      <c r="FD491" s="214" t="str">
        <f ca="1">IF($AE498*$AA491*'Customer Base'!$D$26*0.8&gt;5800,"",IF($AE498*$AA491&gt;$AA501,"",IF(($AA$491*FD$488*$AE$498)&lt;=$ED$474,((MOD($ED$474,($AA$491*FD$488*$AE$498)))),"")))</f>
        <v/>
      </c>
      <c r="FE491" s="214" t="str">
        <f ca="1">IF($AE498*$AA491*'Customer Base'!$D$26*0.8&gt;5800,"",IF($AE498*$AA491&gt;$AA501,"",IF(($AA$491*FE$488*$AE$498)&lt;=$ED$474,((MOD($ED$474,($AA$491*FE$488*$AE$498)))),"")))</f>
        <v/>
      </c>
      <c r="FF491" s="214" t="str">
        <f ca="1">IF($AE498*$AA491*'Customer Base'!$D$26*0.8&gt;5800,"",IF($AE498*$AA491&gt;$AA501,"",IF(($AA$491*FF$488*$AE$498)&lt;=$ED$474,((MOD($ED$474,($AA$491*FF$488*$AE$498)))),"")))</f>
        <v/>
      </c>
      <c r="FG491" s="214" t="str">
        <f ca="1">IF($AE498*$AA491*'Customer Base'!$D$26*0.8&gt;5800,"",IF($AE498*$AA491&gt;$AA501,"",IF(($AA$491*FG$488*$AE$498)&lt;=$ED$474,((MOD($ED$474,($AA$491*FG$488*$AE$498)))),"")))</f>
        <v/>
      </c>
      <c r="FH491" s="214" t="str">
        <f ca="1">IF($AE498*$AA491*'Customer Base'!$D$26*0.8&gt;5800,"",IF($AE498*$AA491&gt;$AA501,"",IF(($AA$491*FH$488*$AE$498)&lt;=$ED$474,((MOD($ED$474,($AA$491*FH$488*$AE$498)))),"")))</f>
        <v/>
      </c>
      <c r="FI491" s="214" t="str">
        <f ca="1">IF($AE498*$AA491*'Customer Base'!$D$26*0.8&gt;5800,"",IF($AE498*$AA491&gt;$AA501,"",IF(($AA$491*FI$488*$AE$498)&lt;=$ED$474,((MOD($ED$474,($AA$491*FI$488*$AE$498)))),"")))</f>
        <v/>
      </c>
      <c r="FJ491" s="214" t="str">
        <f ca="1">IF($AE498*$AA491*'Customer Base'!$D$26*0.8&gt;5800,"",IF($AE498*$AA491&gt;$AA501,"",IF(($AA$491*FJ$488*$AE$498)&lt;=$ED$474,((MOD($ED$474,($AA$491*FJ$488*$AE$498)))),"")))</f>
        <v/>
      </c>
      <c r="FK491" s="214" t="str">
        <f ca="1">IF($AE498*$AA491*'Customer Base'!$D$26*0.8&gt;5800,"",IF($AE498*$AA491&gt;$AA501,"",IF(($AA$491*FK$488*$AE$498)&lt;=$ED$474,((MOD($ED$474,($AA$491*FK$488*$AE$498)))),"")))</f>
        <v/>
      </c>
      <c r="FL491" s="214" t="str">
        <f ca="1">IF($AE498*$AA491*'Customer Base'!$D$26*0.8&gt;5800,"",IF($AE498*$AA491&gt;$AA501,"",IF(($AA$491*FL$488*$AE$498)&lt;=$ED$474,((MOD($ED$474,($AA$491*FL$488*$AE$498)))),"")))</f>
        <v/>
      </c>
      <c r="FM491" s="214" t="str">
        <f ca="1">IF($AE498*$AA491*'Customer Base'!$D$26*0.8&gt;5800,"",IF($AE498*$AA491&gt;$AA501,"",IF(($AA$491*FM$488*$AE$498)&lt;=$ED$474,((MOD($ED$474,($AA$491*FM$488*$AE$498)))),"")))</f>
        <v/>
      </c>
      <c r="FN491" s="214" t="str">
        <f ca="1">IF($AE498*$AA491*'Customer Base'!$D$26*0.8&gt;5800,"",IF($AE498*$AA491&gt;$AA501,"",IF(($AA$491*FN$488*$AE$498)&lt;=$ED$474,((MOD($ED$474,($AA$491*FN$488*$AE$498)))),"")))</f>
        <v/>
      </c>
      <c r="FO491" s="214" t="str">
        <f ca="1">IF($AE498*$AA491*'Customer Base'!$D$26*0.8&gt;5800,"",IF($AE498*$AA491&gt;$AA501,"",IF(($AA$491*FO$488*$AE$498)&lt;=$ED$474,((MOD($ED$474,($AA$491*FO$488*$AE$498)))),"")))</f>
        <v/>
      </c>
      <c r="FP491" s="214" t="str">
        <f ca="1">IF($AE498*$AA491*'Customer Base'!$D$26*0.8&gt;5800,"",IF($AE498*$AA491&gt;$AA501,"",IF(($AA$491*FP$488*$AE$498)&lt;=$ED$474,((MOD($ED$474,($AA$491*FP$488*$AE$498)))),"")))</f>
        <v/>
      </c>
      <c r="FQ491" s="214" t="str">
        <f ca="1">IF($AE498*$AA491*'Customer Base'!$D$26*0.8&gt;5800,"",IF($AE498*$AA491&gt;$AA501,"",IF(($AA$491*FQ$488*$AE$498)&lt;=$ED$474,((MOD($ED$474,($AA$491*FQ$488*$AE$498)))),"")))</f>
        <v/>
      </c>
      <c r="FR491" s="214" t="str">
        <f ca="1">IF($AE498*$AA491*'Customer Base'!$D$26*0.8&gt;5800,"",IF($AE498*$AA491&gt;$AA501,"",IF(($AA$491*FR$488*$AE$498)&lt;=$ED$474,((MOD($ED$474,($AA$491*FR$488*$AE$498)))),"")))</f>
        <v/>
      </c>
      <c r="FS491" s="214" t="str">
        <f ca="1">IF($AE498*$AA491*'Customer Base'!$D$26*0.8&gt;5800,"",IF($AE498*$AA491&gt;$AA501,"",IF(($AA$491*FS$488*$AE$498)&lt;=$ED$474,((MOD($ED$474,($AA$491*FS$488*$AE$498)))),"")))</f>
        <v/>
      </c>
      <c r="FT491" s="214" t="str">
        <f ca="1">IF($AE498*$AA491*'Customer Base'!$D$26*0.8&gt;5800,"",IF($AE498*$AA491&gt;$AA501,"",IF(($AA$491*FT$488*$AE$498)&lt;=$ED$474,((MOD($ED$474,($AA$491*FT$488*$AE$498)))),"")))</f>
        <v/>
      </c>
      <c r="FU491" s="214" t="str">
        <f ca="1">IF($AE498*$AA491*'Customer Base'!$D$26*0.8&gt;5800,"",IF($AE498*$AA491&gt;$AA501,"",IF(($AA$491*FU$488*$AE$498)&lt;=$ED$474,((MOD($ED$474,($AA$491*FU$488*$AE$498)))),"")))</f>
        <v/>
      </c>
      <c r="FV491" s="214" t="str">
        <f ca="1">IF($AE498*$AA491*'Customer Base'!$D$26*0.8&gt;5800,"",IF($AE498*$AA491&gt;$AA501,"",IF(($AA$491*FV$488*$AE$498)&lt;=$ED$474,((MOD($ED$474,($AA$491*FV$488*$AE$498)))),"")))</f>
        <v/>
      </c>
      <c r="FW491" s="214" t="str">
        <f ca="1">IF($AE498*$AA491*'Customer Base'!$D$26*0.8&gt;5800,"",IF($AE498*$AA491&gt;$AA501,"",IF(($AA$491*FW$488*$AE$498)&lt;=$ED$474,((MOD($ED$474,($AA$491*FW$488*$AE$498)))),"")))</f>
        <v/>
      </c>
      <c r="FX491" s="214" t="str">
        <f ca="1">IF($AE498*$AA491*'Customer Base'!$D$26*0.8&gt;5800,"",IF($AE498*$AA491&gt;$AA501,"",IF(($AA$491*FX$488*$AE$498)&lt;=$ED$474,((MOD($ED$474,($AA$491*FX$488*$AE$498)))),"")))</f>
        <v/>
      </c>
      <c r="FY491" s="214" t="str">
        <f ca="1">IF($AE498*$AA491*'Customer Base'!$D$26*0.8&gt;5800,"",IF($AE498*$AA491&gt;$AA501,"",IF(($AA$491*FY$488*$AE$498)&lt;=$ED$474,((MOD($ED$474,($AA$491*FY$488*$AE$498)))),"")))</f>
        <v/>
      </c>
      <c r="FZ491" s="214" t="str">
        <f ca="1">IF($AE498*$AA491*'Customer Base'!$D$26*0.8&gt;5800,"",IF($AE498*$AA491&gt;$AA501,"",IF(($AA$491*FZ$488*$AE$498)&lt;=$ED$474,((MOD($ED$474,($AA$491*FZ$488*$AE$498)))),"")))</f>
        <v/>
      </c>
      <c r="GA491" s="214" t="str">
        <f ca="1">IF($AE498*$AA491*'Customer Base'!$D$26*0.8&gt;5800,"",IF($AE498*$AA491&gt;$AA501,"",IF(($AA$491*GA$488*$AE$498)&lt;=$ED$474,((MOD($ED$474,($AA$491*GA$488*$AE$498)))),"")))</f>
        <v/>
      </c>
      <c r="GB491" s="214" t="str">
        <f ca="1">IF($AE498*$AA491*'Customer Base'!$D$26*0.8&gt;5800,"",IF($AE498*$AA491&gt;$AA501,"",IF(($AA$491*GB$488*$AE$498)&lt;=$ED$474,((MOD($ED$474,($AA$491*GB$488*$AE$498)))),"")))</f>
        <v/>
      </c>
      <c r="GC491" s="214" t="str">
        <f ca="1">IF($AE498*$AA491*'Customer Base'!$D$26*0.8&gt;5800,"",IF($AE498*$AA491&gt;$AA501,"",IF(($AA$491*GC$488*$AE$498)&lt;=$ED$474,((MOD($ED$474,($AA$491*GC$488*$AE$498)))),"")))</f>
        <v/>
      </c>
      <c r="GD491" s="214" t="str">
        <f ca="1">IF($AE498*$AA491*'Customer Base'!$D$26*0.8&gt;5800,"",IF($AE498*$AA491&gt;$AA501,"",IF(($AA$491*GD$488*$AE$498)&lt;=$ED$474,((MOD($ED$474,($AA$491*GD$488*$AE$498)))),"")))</f>
        <v/>
      </c>
      <c r="GE491" s="214" t="str">
        <f ca="1">IF($AE498*$AA491*'Customer Base'!$D$26*0.8&gt;5800,"",IF($AE498*$AA491&gt;$AA501,"",IF(($AA$491*GE$488*$AE$498)&lt;=$ED$474,((MOD($ED$474,($AA$491*GE$488*$AE$498)))),"")))</f>
        <v/>
      </c>
      <c r="GF491" s="214" t="str">
        <f ca="1">IF($AE498*$AA491*'Customer Base'!$D$26*0.8&gt;5800,"",IF($AE498*$AA491&gt;$AA501,"",IF(($AA$491*GF$488*$AE$498)&lt;=$ED$474,((MOD($ED$474,($AA$491*GF$488*$AE$498)))),"")))</f>
        <v/>
      </c>
      <c r="GG491" s="214" t="str">
        <f ca="1">IF($AE498*$AA491*'Customer Base'!$D$26*0.8&gt;5800,"",IF($AE498*$AA491&gt;$AA501,"",IF(($AA$491*GG$488*$AE$498)&lt;=$ED$474,((MOD($ED$474,($AA$491*GG$488*$AE$498)))),"")))</f>
        <v/>
      </c>
      <c r="GH491" s="214" t="str">
        <f ca="1">IF($AE498*$AA491*'Customer Base'!$D$26*0.8&gt;5800,"",IF($AE498*$AA491&gt;$AA501,"",IF(($AA$491*GH$488*$AE$498)&lt;=$ED$474,((MOD($ED$474,($AA$491*GH$488*$AE$498)))),"")))</f>
        <v/>
      </c>
      <c r="GI491" s="214" t="str">
        <f ca="1">IF($AE498*$AA491*'Customer Base'!$D$26*0.8&gt;5800,"",IF($AE498*$AA491&gt;$AA501,"",IF(($AA$491*GI$488*$AE$498)&lt;=$ED$474,((MOD($ED$474,($AA$491*GI$488*$AE$498)))),"")))</f>
        <v/>
      </c>
      <c r="GJ491" s="214" t="str">
        <f ca="1">IF($AE498*$AA491*'Customer Base'!$D$26*0.8&gt;5800,"",IF($AE498*$AA491&gt;$AA501,"",IF(($AA$491*GJ$488*$AE$498)&lt;=$ED$474,((MOD($ED$474,($AA$491*GJ$488*$AE$498)))),"")))</f>
        <v/>
      </c>
      <c r="GK491" s="214" t="str">
        <f ca="1">IF($AE498*$AA491*'Customer Base'!$D$26*0.8&gt;5800,"",IF($AE498*$AA491&gt;$AA501,"",IF(($AA$491*GK$488*$AE$498)&lt;=$ED$474,((MOD($ED$474,($AA$491*GK$488*$AE$498)))),"")))</f>
        <v/>
      </c>
      <c r="GL491" s="214" t="str">
        <f ca="1">IF($AE498*$AA491*'Customer Base'!$D$26*0.8&gt;5800,"",IF($AE498*$AA491&gt;$AA501,"",IF(($AA$491*GL$488*$AE$498)&lt;=$ED$474,((MOD($ED$474,($AA$491*GL$488*$AE$498)))),"")))</f>
        <v/>
      </c>
      <c r="GM491" s="214" t="str">
        <f ca="1">IF($AE498*$AA491*'Customer Base'!$D$26*0.8&gt;5800,"",IF($AE498*$AA491&gt;$AA501,"",IF(($AA$491*GM$488*$AE$498)&lt;=$ED$474,((MOD($ED$474,($AA$491*GM$488*$AE$498)))),"")))</f>
        <v/>
      </c>
      <c r="GN491" s="214" t="str">
        <f ca="1">IF($AE498*$AA491*'Customer Base'!$D$26*0.8&gt;5800,"",IF($AE498*$AA491&gt;$AA501,"",IF(($AA$491*GN$488*$AE$498)&lt;=$ED$474,((MOD($ED$474,($AA$491*GN$488*$AE$498)))),"")))</f>
        <v/>
      </c>
      <c r="GO491" s="214" t="str">
        <f ca="1">IF($AE498*$AA491*'Customer Base'!$D$26*0.8&gt;5800,"",IF($AE498*$AA491&gt;$AA501,"",IF(($AA$491*GO$488*$AE$498)&lt;=$ED$474,((MOD($ED$474,($AA$491*GO$488*$AE$498)))),"")))</f>
        <v/>
      </c>
      <c r="GP491" s="214" t="str">
        <f ca="1">IF($AE498*$AA491*'Customer Base'!$D$26*0.8&gt;5800,"",IF($AE498*$AA491&gt;$AA501,"",IF(($AA$491*GP$488*$AE$498)&lt;=$ED$474,((MOD($ED$474,($AA$491*GP$488*$AE$498)))),"")))</f>
        <v/>
      </c>
      <c r="GQ491" s="214" t="str">
        <f ca="1">IF($AE498*$AA491*'Customer Base'!$D$26*0.8&gt;5800,"",IF($AE498*$AA491&gt;$AA501,"",IF(($AA$491*GQ$488*$AE$498)&lt;=$ED$474,((MOD($ED$474,($AA$491*GQ$488*$AE$498)))),"")))</f>
        <v/>
      </c>
      <c r="GR491" s="214" t="str">
        <f ca="1">IF($AE498*$AA491*'Customer Base'!$D$26*0.8&gt;5800,"",IF($AE498*$AA491&gt;$AA501,"",IF(($AA$491*GR$488*$AE$498)&lt;=$ED$474,((MOD($ED$474,($AA$491*GR$488*$AE$498)))),"")))</f>
        <v/>
      </c>
      <c r="GS491" s="214" t="str">
        <f ca="1">IF($AE498*$AA491*'Customer Base'!$D$26*0.8&gt;5800,"",IF($AE498*$AA491&gt;$AA501,"",IF(($AA$491*GS$488*$AE$498)&lt;=$ED$474,((MOD($ED$474,($AA$491*GS$488*$AE$498)))),"")))</f>
        <v/>
      </c>
      <c r="GT491" s="214" t="str">
        <f ca="1">IF($AE498*$AA491*'Customer Base'!$D$26*0.8&gt;5800,"",IF($AE498*$AA491&gt;$AA501,"",IF(($AA$491*GT$488*$AE$498)&lt;=$ED$474,((MOD($ED$474,($AA$491*GT$488*$AE$498)))),"")))</f>
        <v/>
      </c>
      <c r="GU491" s="214" t="str">
        <f ca="1">IF($AE498*$AA491*'Customer Base'!$D$26*0.8&gt;5800,"",IF($AE498*$AA491&gt;$AA501,"",IF(($AA$491*GU$488*$AE$498)&lt;=$ED$474,((MOD($ED$474,($AA$491*GU$488*$AE$498)))),"")))</f>
        <v/>
      </c>
      <c r="GV491" s="214" t="str">
        <f ca="1">IF($AE498*$AA491*'Customer Base'!$D$26*0.8&gt;5800,"",IF($AE498*$AA491&gt;$AA501,"",IF(($AA$491*GV$488*$AE$498)&lt;=$ED$474,((MOD($ED$474,($AA$491*GV$488*$AE$498)))),"")))</f>
        <v/>
      </c>
      <c r="GW491" s="214" t="str">
        <f ca="1">IF($AE498*$AA491*'Customer Base'!$D$26*0.8&gt;5800,"",IF($AE498*$AA491&gt;$AA501,"",IF(($AA$491*GW$488*$AE$498)&lt;=$ED$474,((MOD($ED$474,($AA$491*GW$488*$AE$498)))),"")))</f>
        <v/>
      </c>
      <c r="GX491" s="214" t="str">
        <f ca="1">IF($AE498*$AA491*'Customer Base'!$D$26*0.8&gt;5800,"",IF($AE498*$AA491&gt;$AA501,"",IF(($AA$491*GX$488*$AE$498)&lt;=$ED$474,((MOD($ED$474,($AA$491*GX$488*$AE$498)))),"")))</f>
        <v/>
      </c>
      <c r="GY491" s="214" t="str">
        <f ca="1">IF($AE498*$AA491*'Customer Base'!$D$26*0.8&gt;5800,"",IF($AE498*$AA491&gt;$AA501,"",IF(($AA$491*GY$488*$AE$498)&lt;=$ED$474,((MOD($ED$474,($AA$491*GY$488*$AE$498)))),"")))</f>
        <v/>
      </c>
      <c r="GZ491" s="214" t="str">
        <f ca="1">IF($AE498*$AA491*'Customer Base'!$D$26*0.8&gt;5800,"",IF($AE498*$AA491&gt;$AA501,"",IF(($AA$491*GZ$488*$AE$498)&lt;=$ED$474,((MOD($ED$474,($AA$491*GZ$488*$AE$498)))),"")))</f>
        <v/>
      </c>
      <c r="HA491" s="214" t="str">
        <f ca="1">IF($AE498*$AA491*'Customer Base'!$D$26*0.8&gt;5800,"",IF($AE498*$AA491&gt;$AA501,"",IF(($AA$491*HA$488*$AE$498)&lt;=$ED$474,((MOD($ED$474,($AA$491*HA$488*$AE$498)))),"")))</f>
        <v/>
      </c>
      <c r="HB491" s="214" t="str">
        <f ca="1">IF($AE498*$AA491*'Customer Base'!$D$26*0.8&gt;5800,"",IF($AE498*$AA491&gt;$AA501,"",IF(($AA$491*HB$488*$AE$498)&lt;=$ED$474,((MOD($ED$474,($AA$491*HB$488*$AE$498)))),"")))</f>
        <v/>
      </c>
      <c r="HC491" s="214" t="str">
        <f ca="1">IF($AE498*$AA491*'Customer Base'!$D$26*0.8&gt;5800,"",IF($AE498*$AA491&gt;$AA501,"",IF(($AA$491*HC$488*$AE$498)&lt;=$ED$474,((MOD($ED$474,($AA$491*HC$488*$AE$498)))),"")))</f>
        <v/>
      </c>
      <c r="HD491" s="214" t="str">
        <f ca="1">IF($AE498*$AA491*'Customer Base'!$D$26*0.8&gt;5800,"",IF($AE498*$AA491&gt;$AA501,"",IF(($AA$491*HD$488*$AE$498)&lt;=$ED$474,((MOD($ED$474,($AA$491*HD$488*$AE$498)))),"")))</f>
        <v/>
      </c>
      <c r="HE491" s="214" t="str">
        <f ca="1">IF($AE498*$AA491*'Customer Base'!$D$26*0.8&gt;5800,"",IF($AE498*$AA491&gt;$AA501,"",IF(($AA$491*HE$488*$AE$498)&lt;=$ED$474,((MOD($ED$474,($AA$491*HE$488*$AE$498)))),"")))</f>
        <v/>
      </c>
      <c r="HF491" s="214" t="str">
        <f ca="1">IF($AE498*$AA491*'Customer Base'!$D$26*0.8&gt;5800,"",IF($AE498*$AA491&gt;$AA501,"",IF(($AA$491*HF$488*$AE$498)&lt;=$ED$474,((MOD($ED$474,($AA$491*HF$488*$AE$498)))),"")))</f>
        <v/>
      </c>
      <c r="HG491" s="214" t="str">
        <f ca="1">IF($AE498*$AA491*'Customer Base'!$D$26*0.8&gt;5800,"",IF($AE498*$AA491&gt;$AA501,"",IF(($AA$491*HG$488*$AE$498)&lt;=$ED$474,((MOD($ED$474,($AA$491*HG$488*$AE$498)))),"")))</f>
        <v/>
      </c>
      <c r="HH491" s="214" t="str">
        <f ca="1">IF($AE498*$AA491*'Customer Base'!$D$26*0.8&gt;5800,"",IF($AE498*$AA491&gt;$AA501,"",IF(($AA$491*HH$488*$AE$498)&lt;=$ED$474,((MOD($ED$474,($AA$491*HH$488*$AE$498)))),"")))</f>
        <v/>
      </c>
      <c r="HI491" s="214" t="str">
        <f ca="1">IF($AE498*$AA491*'Customer Base'!$D$26*0.8&gt;5800,"",IF($AE498*$AA491&gt;$AA501,"",IF(($AA$491*HI$488*$AE$498)&lt;=$ED$474,((MOD($ED$474,($AA$491*HI$488*$AE$498)))),"")))</f>
        <v/>
      </c>
      <c r="HJ491" s="214" t="str">
        <f ca="1">IF($AE498*$AA491*'Customer Base'!$D$26*0.8&gt;5800,"",IF($AE498*$AA491&gt;$AA501,"",IF(($AA$491*HJ$488*$AE$498)&lt;=$ED$474,((MOD($ED$474,($AA$491*HJ$488*$AE$498)))),"")))</f>
        <v/>
      </c>
      <c r="HK491" s="214" t="str">
        <f ca="1">IF($AE498*$AA491*'Customer Base'!$D$26*0.8&gt;5800,"",IF($AE498*$AA491&gt;$AA501,"",IF(($AA$491*HK$488*$AE$498)&lt;=$ED$474,((MOD($ED$474,($AA$491*HK$488*$AE$498)))),"")))</f>
        <v/>
      </c>
      <c r="HL491" s="214" t="str">
        <f ca="1">IF($AE498*$AA491*'Customer Base'!$D$26*0.8&gt;5800,"",IF($AE498*$AA491&gt;$AA501,"",IF(($AA$491*HL$488*$AE$498)&lt;=$ED$474,((MOD($ED$474,($AA$491*HL$488*$AE$498)))),"")))</f>
        <v/>
      </c>
      <c r="HM491" s="214" t="str">
        <f ca="1">IF($AE498*$AA491*'Customer Base'!$D$26*0.8&gt;5800,"",IF($AE498*$AA491&gt;$AA501,"",IF(($AA$491*HM$488*$AE$498)&lt;=$ED$474,((MOD($ED$474,($AA$491*HM$488*$AE$498)))),"")))</f>
        <v/>
      </c>
      <c r="HN491" s="214" t="str">
        <f ca="1">IF($AE498*$AA491*'Customer Base'!$D$26*0.8&gt;5800,"",IF($AE498*$AA491&gt;$AA501,"",IF(($AA$491*HN$488*$AE$498)&lt;=$ED$474,((MOD($ED$474,($AA$491*HN$488*$AE$498)))),"")))</f>
        <v/>
      </c>
      <c r="HO491" s="214" t="str">
        <f ca="1">IF($AE498*$AA491*'Customer Base'!$D$26*0.8&gt;5800,"",IF($AE498*$AA491&gt;$AA501,"",IF(($AA$491*HO$488*$AE$498)&lt;=$ED$474,((MOD($ED$474,($AA$491*HO$488*$AE$498)))),"")))</f>
        <v/>
      </c>
      <c r="HP491" s="214" t="str">
        <f ca="1">IF($AE498*$AA491*'Customer Base'!$D$26*0.8&gt;5800,"",IF($AE498*$AA491&gt;$AA501,"",IF(($AA$491*HP$488*$AE$498)&lt;=$ED$474,((MOD($ED$474,($AA$491*HP$488*$AE$498)))),"")))</f>
        <v/>
      </c>
      <c r="HQ491" s="214" t="str">
        <f ca="1">IF($AE498*$AA491*'Customer Base'!$D$26*0.8&gt;5800,"",IF($AE498*$AA491&gt;$AA501,"",IF(($AA$491*HQ$488*$AE$498)&lt;=$ED$474,((MOD($ED$474,($AA$491*HQ$488*$AE$498)))),"")))</f>
        <v/>
      </c>
      <c r="HR491" s="214" t="str">
        <f ca="1">IF($AE498*$AA491*'Customer Base'!$D$26*0.8&gt;5800,"",IF($AE498*$AA491&gt;$AA501,"",IF(($AA$491*HR$488*$AE$498)&lt;=$ED$474,((MOD($ED$474,($AA$491*HR$488*$AE$498)))),"")))</f>
        <v/>
      </c>
      <c r="HS491" s="214" t="str">
        <f ca="1">IF($AE498*$AA491*'Customer Base'!$D$26*0.8&gt;5800,"",IF($AE498*$AA491&gt;$AA501,"",IF(($AA$491*HS$488*$AE$498)&lt;=$ED$474,((MOD($ED$474,($AA$491*HS$488*$AE$498)))),"")))</f>
        <v/>
      </c>
      <c r="HT491" s="214" t="str">
        <f ca="1">IF($AE498*$AA491*'Customer Base'!$D$26*0.8&gt;5800,"",IF($AE498*$AA491&gt;$AA501,"",IF(($AA$491*HT$488*$AE$498)&lt;=$ED$474,((MOD($ED$474,($AA$491*HT$488*$AE$498)))),"")))</f>
        <v/>
      </c>
      <c r="HU491" s="214" t="str">
        <f ca="1">IF($AE498*$AA491*'Customer Base'!$D$26*0.8&gt;5800,"",IF($AE498*$AA491&gt;$AA501,"",IF(($AA$491*HU$488*$AE$498)&lt;=$ED$474,((MOD($ED$474,($AA$491*HU$488*$AE$498)))),"")))</f>
        <v/>
      </c>
      <c r="HV491" s="214" t="str">
        <f ca="1">IF($AE498*$AA491*'Customer Base'!$D$26*0.8&gt;5800,"",IF($AE498*$AA491&gt;$AA501,"",IF(($AA$491*HV$488*$AE$498)&lt;=$ED$474,((MOD($ED$474,($AA$491*HV$488*$AE$498)))),"")))</f>
        <v/>
      </c>
      <c r="HW491" s="214" t="str">
        <f ca="1">IF($AE498*$AA491*'Customer Base'!$D$26*0.8&gt;5800,"",IF($AE498*$AA491&gt;$AA501,"",IF(($AA$491*HW$488*$AE$498)&lt;=$ED$474,((MOD($ED$474,($AA$491*HW$488*$AE$498)))),"")))</f>
        <v/>
      </c>
      <c r="HX491" s="214" t="str">
        <f ca="1">IF($AE498*$AA491*'Customer Base'!$D$26*0.8&gt;5800,"",IF($AE498*$AA491&gt;$AA501,"",IF(($AA$491*HX$488*$AE$498)&lt;=$ED$474,((MOD($ED$474,($AA$491*HX$488*$AE$498)))),"")))</f>
        <v/>
      </c>
      <c r="HY491" s="214" t="str">
        <f ca="1">IF($AE498*$AA491*'Customer Base'!$D$26*0.8&gt;5800,"",IF($AE498*$AA491&gt;$AA501,"",IF(($AA$491*HY$488*$AE$498)&lt;=$ED$474,((MOD($ED$474,($AA$491*HY$488*$AE$498)))),"")))</f>
        <v/>
      </c>
      <c r="HZ491" s="214" t="str">
        <f ca="1">IF($AE498*$AA491*'Customer Base'!$D$26*0.8&gt;5800,"",IF($AE498*$AA491&gt;$AA501,"",IF(($AA$491*HZ$488*$AE$498)&lt;=$ED$474,((MOD($ED$474,($AA$491*HZ$488*$AE$498)))),"")))</f>
        <v/>
      </c>
      <c r="IA491" s="214" t="str">
        <f ca="1">IF($AE498*$AA491*'Customer Base'!$D$26*0.8&gt;5800,"",IF($AE498*$AA491&gt;$AA501,"",IF(($AA$491*IA$488*$AE$498)&lt;=$ED$474,((MOD($ED$474,($AA$491*IA$488*$AE$498)))),"")))</f>
        <v/>
      </c>
      <c r="IB491" s="214" t="str">
        <f ca="1">IF($AE498*$AA491*'Customer Base'!$D$26*0.8&gt;5800,"",IF($AE498*$AA491&gt;$AA501,"",IF(($AA$491*IB$488*$AE$498)&lt;=$ED$474,((MOD($ED$474,($AA$491*IB$488*$AE$498)))),"")))</f>
        <v/>
      </c>
      <c r="IC491" s="214" t="str">
        <f ca="1">IF($AE498*$AA491*'Customer Base'!$D$26*0.8&gt;5800,"",IF($AE498*$AA491&gt;$AA501,"",IF(($AA$491*IC$488*$AE$498)&lt;=$ED$474,((MOD($ED$474,($AA$491*IC$488*$AE$498)))),"")))</f>
        <v/>
      </c>
      <c r="ID491" s="214" t="str">
        <f ca="1">IF($AE498*$AA491*'Customer Base'!$D$26*0.8&gt;5800,"",IF($AE498*$AA491&gt;$AA501,"",IF(($AA$491*ID$488*$AE$498)&lt;=$ED$474,((MOD($ED$474,($AA$491*ID$488*$AE$498)))),"")))</f>
        <v/>
      </c>
      <c r="IE491" s="214" t="str">
        <f ca="1">IF($AE498*$AA491*'Customer Base'!$D$26*0.8&gt;5800,"",IF($AE498*$AA491&gt;$AA501,"",IF(($AA$491*IE$488*$AE$498)&lt;=$ED$474,((MOD($ED$474,($AA$491*IE$488*$AE$498)))),"")))</f>
        <v/>
      </c>
      <c r="IF491" s="214" t="str">
        <f ca="1">IF($AE498*$AA491*'Customer Base'!$D$26*0.8&gt;5800,"",IF($AE498*$AA491&gt;$AA501,"",IF(($AA$491*IF$488*$AE$498)&lt;=$ED$474,((MOD($ED$474,($AA$491*IF$488*$AE$498)))),"")))</f>
        <v/>
      </c>
      <c r="IG491" s="214" t="str">
        <f ca="1">IF($AE498*$AA491*'Customer Base'!$D$26*0.8&gt;5800,"",IF($AE498*$AA491&gt;$AA501,"",IF(($AA$491*IG$488*$AE$498)&lt;=$ED$474,((MOD($ED$474,($AA$491*IG$488*$AE$498)))),"")))</f>
        <v/>
      </c>
      <c r="IH491" s="214" t="str">
        <f ca="1">IF($AE498*$AA491*'Customer Base'!$D$26*0.8&gt;5800,"",IF($AE498*$AA491&gt;$AA501,"",IF(($AA$491*IH$488*$AE$498)&lt;=$ED$474,((MOD($ED$474,($AA$491*IH$488*$AE$498)))),"")))</f>
        <v/>
      </c>
      <c r="II491" s="214" t="str">
        <f ca="1">IF($AE498*$AA491*'Customer Base'!$D$26*0.8&gt;5800,"",IF($AE498*$AA491&gt;$AA501,"",IF(($AA$491*II$488*$AE$498)&lt;=$ED$474,((MOD($ED$474,($AA$491*II$488*$AE$498)))),"")))</f>
        <v/>
      </c>
      <c r="IK491" s="214" t="str" cm="1">
        <f t="array" aca="1" ref="IK491" ca="1">IFERROR(LOOKUP(2,1/(EN491:II491&lt;&gt;""),EN$488:II$488),"")</f>
        <v/>
      </c>
      <c r="IL491" s="316" t="str" cm="1">
        <f t="array" aca="1" ref="IL491" ca="1">IF(IK$474=IK491,LOOKUP(2,1/(EN491:II491&lt;&gt;""),EN491:II491),"")</f>
        <v/>
      </c>
      <c r="IM491" s="316" t="str">
        <f ca="1">IF(IL491=IL$474,1,"")</f>
        <v/>
      </c>
    </row>
    <row r="492" spans="2:248" ht="17">
      <c r="B492" s="211" t="s">
        <v>1363</v>
      </c>
      <c r="C492" s="212" t="s">
        <v>1361</v>
      </c>
      <c r="D492" s="212" t="s">
        <v>958</v>
      </c>
      <c r="F492" s="107" t="str">
        <f t="shared" si="15"/>
        <v>N</v>
      </c>
      <c r="G492" s="213" t="s">
        <v>1362</v>
      </c>
      <c r="AC492" s="214" t="s">
        <v>2693</v>
      </c>
      <c r="AD492" s="214" t="s">
        <v>2694</v>
      </c>
    </row>
    <row r="493" spans="2:248" ht="17" customHeight="1">
      <c r="B493" s="211" t="s">
        <v>1808</v>
      </c>
      <c r="C493" s="212" t="s">
        <v>1809</v>
      </c>
      <c r="D493" s="212" t="s">
        <v>958</v>
      </c>
      <c r="F493" s="107" t="str">
        <f t="shared" si="15"/>
        <v>NI</v>
      </c>
      <c r="G493" s="213" t="s">
        <v>1810</v>
      </c>
      <c r="AC493" s="214">
        <f ca="1">IF(AA501=0,0/0,ROUNDDOWN(EH474/AB500,0))</f>
        <v>4</v>
      </c>
      <c r="AD493" s="214">
        <f ca="1">IFERROR(SUM(Items!A242:A254)/AC493,"")</f>
        <v>10</v>
      </c>
    </row>
    <row r="494" spans="2:248" ht="17" customHeight="1">
      <c r="B494" s="211" t="s">
        <v>2418</v>
      </c>
      <c r="C494" s="212" t="s">
        <v>2420</v>
      </c>
      <c r="D494" s="212" t="s">
        <v>217</v>
      </c>
      <c r="F494" s="107" t="str">
        <f t="shared" si="15"/>
        <v>NI-F</v>
      </c>
    </row>
    <row r="495" spans="2:248" ht="17" customHeight="1">
      <c r="B495" s="211" t="s">
        <v>2419</v>
      </c>
      <c r="C495" s="212" t="s">
        <v>2420</v>
      </c>
      <c r="D495" s="212" t="s">
        <v>217</v>
      </c>
      <c r="F495" s="107" t="str">
        <f t="shared" si="15"/>
        <v>NI-K</v>
      </c>
      <c r="AA495" s="214">
        <v>75</v>
      </c>
      <c r="AB495" s="214" t="s">
        <v>2697</v>
      </c>
      <c r="AC495" s="214" t="str">
        <f ca="1">IFERROR(VLOOKUP(X500,W$501:AB$516,5,FALSE),"")</f>
        <v/>
      </c>
      <c r="AE495" s="214">
        <f ca="1">ROUNDDOWN(AA495/AB$500,0)</f>
        <v>1</v>
      </c>
    </row>
    <row r="496" spans="2:248" ht="17" customHeight="1">
      <c r="B496" s="211" t="s">
        <v>1364</v>
      </c>
      <c r="C496" s="212" t="s">
        <v>1365</v>
      </c>
      <c r="D496" s="212" t="s">
        <v>959</v>
      </c>
      <c r="E496" s="215" t="s">
        <v>1366</v>
      </c>
      <c r="F496" s="107" t="str">
        <f t="shared" si="15"/>
        <v>BEK</v>
      </c>
      <c r="AA496" s="214">
        <v>100</v>
      </c>
      <c r="AB496" s="214" t="s">
        <v>2697</v>
      </c>
      <c r="AC496" s="214" t="str">
        <f ca="1">IFERROR(VLOOKUP(X501,W$501:AB$516,5,FALSE),"")</f>
        <v/>
      </c>
      <c r="AE496" s="214">
        <f ca="1">ROUNDDOWN(AA496/AB$500,0)</f>
        <v>1</v>
      </c>
    </row>
    <row r="497" spans="2:34" ht="17">
      <c r="B497" s="211" t="s">
        <v>1367</v>
      </c>
      <c r="C497" s="212" t="s">
        <v>1368</v>
      </c>
      <c r="D497" s="212" t="s">
        <v>217</v>
      </c>
      <c r="E497" s="215" t="s">
        <v>1369</v>
      </c>
      <c r="F497" s="107" t="str">
        <f t="shared" si="15"/>
        <v>AT</v>
      </c>
      <c r="AA497" s="214">
        <v>150</v>
      </c>
      <c r="AB497" s="214" t="s">
        <v>2697</v>
      </c>
      <c r="AC497" s="214">
        <f ca="1">IFERROR(VLOOKUP(X502,W$501:AB$516,5,FALSE),"")</f>
        <v>2</v>
      </c>
      <c r="AE497" s="214">
        <f ca="1">ROUNDDOWN(AA497/AB$500,0)</f>
        <v>2</v>
      </c>
    </row>
    <row r="498" spans="2:34" ht="17">
      <c r="B498" s="211" t="s">
        <v>1371</v>
      </c>
      <c r="C498" s="212" t="s">
        <v>1372</v>
      </c>
      <c r="D498" s="212" t="s">
        <v>217</v>
      </c>
      <c r="E498" s="215" t="s">
        <v>1373</v>
      </c>
      <c r="F498" s="107" t="str">
        <f t="shared" si="15"/>
        <v>IQ</v>
      </c>
      <c r="AA498" s="214">
        <v>250</v>
      </c>
      <c r="AB498" s="214" t="s">
        <v>2695</v>
      </c>
      <c r="AC498" s="214">
        <f ca="1">IFERROR(VLOOKUP(X503,W$501:AB$516,5,FALSE),"")</f>
        <v>4</v>
      </c>
      <c r="AE498" s="214">
        <f ca="1">ROUNDDOWN(AA498/AB$500,0)</f>
        <v>4</v>
      </c>
    </row>
    <row r="499" spans="2:34" ht="17">
      <c r="B499" s="211" t="s">
        <v>1374</v>
      </c>
      <c r="C499" s="212" t="s">
        <v>217</v>
      </c>
      <c r="D499" s="212" t="s">
        <v>217</v>
      </c>
      <c r="E499" s="215" t="s">
        <v>1375</v>
      </c>
      <c r="F499" s="107" t="str">
        <f t="shared" si="15"/>
        <v>GK</v>
      </c>
      <c r="Z499" s="314"/>
      <c r="AA499" s="314">
        <v>450</v>
      </c>
      <c r="AB499" s="214" t="s">
        <v>2696</v>
      </c>
      <c r="AC499" s="214">
        <f ca="1">IFERROR(VLOOKUP(X504,W$501:AB$516,5,FALSE),"")</f>
        <v>8</v>
      </c>
      <c r="AE499" s="214">
        <f ca="1">ROUNDDOWN(AA499/AB$500,0)</f>
        <v>8</v>
      </c>
    </row>
    <row r="500" spans="2:34" ht="17">
      <c r="B500" s="211" t="s">
        <v>1376</v>
      </c>
      <c r="C500" s="212" t="s">
        <v>1151</v>
      </c>
      <c r="D500" s="212" t="s">
        <v>217</v>
      </c>
      <c r="E500" s="215" t="s">
        <v>1377</v>
      </c>
      <c r="F500" s="107" t="str">
        <f t="shared" si="15"/>
        <v>AM</v>
      </c>
      <c r="AB500" s="214" cm="1">
        <f t="array" aca="1" ref="AB500" ca="1">IFERROR(LOOKUP(2,1/(AB502:AB601&lt;&gt;""),AB502:AB601),IF('Customer Base'!D7&lt;&gt;"Backup",SUMPRODUCT(Items!A242:A254,Items!AQ242:AQ254)/SUM(Items!A242:A254),""))</f>
        <v>50.5</v>
      </c>
    </row>
    <row r="501" spans="2:34" ht="17">
      <c r="B501" s="211" t="s">
        <v>1378</v>
      </c>
      <c r="C501" s="212" t="s">
        <v>1379</v>
      </c>
      <c r="D501" s="212" t="s">
        <v>1379</v>
      </c>
      <c r="E501" s="215" t="s">
        <v>1576</v>
      </c>
      <c r="F501" s="107" t="str">
        <f t="shared" si="15"/>
        <v>NATC</v>
      </c>
      <c r="W501" s="214" t="str">
        <f ca="1">IF(AND($AB501&gt;=AB500,$AB501&lt;150),1,IF(AND($AB501&gt;=150,$AB501&lt;250),2,IF(AND($AB501&gt;=250,$AB501&lt;450),3,"")))</f>
        <v/>
      </c>
      <c r="X501" s="214" t="s">
        <v>2686</v>
      </c>
      <c r="Y501" s="214" t="str">
        <f>_xlfn.TEXTJOIN(", ", TRUE, P1:P100)</f>
        <v>40, 20, 10, 8, 5, 4, 2, 1</v>
      </c>
      <c r="Z501" s="314" t="str" cm="1">
        <f t="array" aca="1" ref="Z501" ca="1">IFERROR(LEFT(Y501, MATCH(FALSE, ISNUMBER(MID(Y501, ROW(INDIRECT("1:"&amp;LEN(Y501)+1)), 1) *1), 0) -1),"")</f>
        <v>40</v>
      </c>
      <c r="AA501" s="214">
        <f ca="1">IFERROR(VALUE(Z501),"")</f>
        <v>40</v>
      </c>
      <c r="AB501" s="214">
        <f ca="1">IFERROR(AA501*SUMPRODUCT(Items!A$242:A$254,Items!AQ$242:AQ$254)/SUM(Items!A$242:A$254),"")</f>
        <v>2020</v>
      </c>
      <c r="AH501" s="314"/>
    </row>
    <row r="502" spans="2:34" ht="17">
      <c r="B502" s="211" t="s">
        <v>1394</v>
      </c>
      <c r="C502" s="212" t="s">
        <v>856</v>
      </c>
      <c r="D502" s="212" t="s">
        <v>956</v>
      </c>
      <c r="E502" s="215" t="s">
        <v>1395</v>
      </c>
      <c r="F502" s="107" t="str">
        <f t="shared" si="15"/>
        <v>LC</v>
      </c>
      <c r="W502" s="214" t="str">
        <f ca="1">IF(AND($AB502&gt;=AB500,$AB502&lt;150),1,IF(AND($AB502&gt;=150,$AB502&lt;250),2,IF(AND($AB502&gt;=250,$AB502&lt;450),3,"")))</f>
        <v/>
      </c>
      <c r="X502" s="214">
        <v>1</v>
      </c>
      <c r="Y502" s="214" t="str">
        <f t="shared" ref="Y502:Y512" si="16">IFERROR(IF(LEN(Y$501)-LEN(SUBSTITUTE(Y$501,X$501,""))&lt;=1,"",MID(SUBSTITUTE(Y$501,X$501,"^^",X502),FIND("^^",SUBSTITUTE(Y$501,X$501,"^^",X502))+2,LEN(Y$501))),"")</f>
        <v>20, 10, 8, 5, 4, 2, 1</v>
      </c>
      <c r="Z502" s="314" t="str" cm="1">
        <f t="array" aca="1" ref="Z502" ca="1">IFERROR(LEFT(Y502, MATCH(FALSE, ISNUMBER(MID(Y502, ROW(INDIRECT("1:"&amp;LEN(Y502)+1)), 1) *1), 0) -1),"")</f>
        <v>20</v>
      </c>
      <c r="AA502" s="214">
        <f ca="1">IFERROR(VALUE(Z502),"")</f>
        <v>20</v>
      </c>
      <c r="AB502" s="214">
        <f ca="1">IFERROR(AA502*SUMPRODUCT(Items!A$242:A$254,Items!AQ$242:AQ$254)/SUM(Items!A$242:A$254),"")</f>
        <v>1010</v>
      </c>
      <c r="AH502" s="314"/>
    </row>
    <row r="503" spans="2:34" ht="17">
      <c r="B503" s="211" t="s">
        <v>1396</v>
      </c>
      <c r="C503" s="212" t="s">
        <v>1397</v>
      </c>
      <c r="D503" s="212" t="s">
        <v>217</v>
      </c>
      <c r="E503" s="215" t="s">
        <v>1398</v>
      </c>
      <c r="F503" s="107" t="str">
        <f t="shared" si="15"/>
        <v>DGW</v>
      </c>
      <c r="W503" s="214" t="str">
        <f ca="1">IF(AND($AB503&gt;=AB500,$AB503&lt;150),1,IF(AND($AB503&gt;=150,$AB503&lt;250),2,IF(AND($AB503&gt;=250,$AB503&lt;450),3,"")))</f>
        <v/>
      </c>
      <c r="X503" s="214">
        <v>2</v>
      </c>
      <c r="Y503" s="214" t="str">
        <f t="shared" si="16"/>
        <v>10, 8, 5, 4, 2, 1</v>
      </c>
      <c r="Z503" s="314" t="str" cm="1">
        <f t="array" aca="1" ref="Z503" ca="1">IFERROR(LEFT(Y503, MATCH(FALSE, ISNUMBER(MID(Y503, ROW(INDIRECT("1:"&amp;LEN(Y503)+1)), 1) *1), 0) -1),"")</f>
        <v>10</v>
      </c>
      <c r="AA503" s="214">
        <f t="shared" ref="AA503:AA516" ca="1" si="17">IFERROR(VALUE(Z503),"")</f>
        <v>10</v>
      </c>
      <c r="AB503" s="214">
        <f ca="1">IFERROR(AA503*SUMPRODUCT(Items!A$242:A$254,Items!AQ$242:AQ$254)/SUM(Items!A$242:A$254),"")</f>
        <v>505</v>
      </c>
      <c r="AH503" s="314"/>
    </row>
    <row r="504" spans="2:34" ht="17">
      <c r="B504" s="211" t="s">
        <v>1399</v>
      </c>
      <c r="C504" s="212" t="s">
        <v>1400</v>
      </c>
      <c r="D504" s="212" t="s">
        <v>217</v>
      </c>
      <c r="E504" s="215" t="s">
        <v>1401</v>
      </c>
      <c r="F504" s="107" t="str">
        <f t="shared" si="15"/>
        <v>N</v>
      </c>
      <c r="W504" s="214">
        <f ca="1">IF(AND($AB504&gt;=AB500,$AB504&lt;150),1,IF(AND($AB504&gt;=150,$AB504&lt;250),2,IF(AND($AB504&gt;=250,$AB504&lt;450),3,"")))</f>
        <v>3</v>
      </c>
      <c r="X504" s="214">
        <v>3</v>
      </c>
      <c r="Y504" s="214" t="str">
        <f t="shared" si="16"/>
        <v>8, 5, 4, 2, 1</v>
      </c>
      <c r="Z504" s="314" t="str" cm="1">
        <f t="array" aca="1" ref="Z504" ca="1">IFERROR(LEFT(Y504, MATCH(FALSE, ISNUMBER(MID(Y504, ROW(INDIRECT("1:"&amp;LEN(Y504)+1)), 1) *1), 0) -1),"")</f>
        <v>8</v>
      </c>
      <c r="AA504" s="214">
        <f t="shared" ca="1" si="17"/>
        <v>8</v>
      </c>
      <c r="AB504" s="214">
        <f ca="1">IFERROR(AA504*SUMPRODUCT(Items!A$242:A$254,Items!AQ$242:AQ$254)/SUM(Items!A$242:A$254),"")</f>
        <v>404</v>
      </c>
      <c r="AH504" s="314"/>
    </row>
    <row r="505" spans="2:34" ht="17">
      <c r="B505" s="211" t="s">
        <v>1402</v>
      </c>
      <c r="C505" s="212" t="s">
        <v>217</v>
      </c>
      <c r="D505" s="212" t="s">
        <v>217</v>
      </c>
      <c r="E505" s="215" t="s">
        <v>1403</v>
      </c>
      <c r="F505" s="107" t="str">
        <f t="shared" si="15"/>
        <v>M</v>
      </c>
      <c r="W505" s="214">
        <f ca="1">IF(AND($AB505&gt;=AB500,$AB505&lt;150),1,IF(AND($AB505&gt;=150,$AB505&lt;250),2,IF(AND($AB505&gt;=250,$AB505&lt;450),3,"")))</f>
        <v>3</v>
      </c>
      <c r="X505" s="214">
        <v>4</v>
      </c>
      <c r="Y505" s="214" t="str">
        <f t="shared" si="16"/>
        <v>5, 4, 2, 1</v>
      </c>
      <c r="Z505" s="314" t="str" cm="1">
        <f t="array" aca="1" ref="Z505" ca="1">IFERROR(LEFT(Y505, MATCH(FALSE, ISNUMBER(MID(Y505, ROW(INDIRECT("1:"&amp;LEN(Y505)+1)), 1) *1), 0) -1),"")</f>
        <v>5</v>
      </c>
      <c r="AA505" s="214">
        <f t="shared" ca="1" si="17"/>
        <v>5</v>
      </c>
      <c r="AB505" s="214">
        <f ca="1">IFERROR(AA505*SUMPRODUCT(Items!A$242:A$254,Items!AQ$242:AQ$254)/SUM(Items!A$242:A$254),"")</f>
        <v>252.5</v>
      </c>
      <c r="AH505" s="314"/>
    </row>
    <row r="506" spans="2:34" ht="17">
      <c r="B506" s="211" t="s">
        <v>1404</v>
      </c>
      <c r="C506" s="212" t="s">
        <v>39</v>
      </c>
      <c r="D506" s="212" t="s">
        <v>217</v>
      </c>
      <c r="E506" s="215" t="s">
        <v>1405</v>
      </c>
      <c r="F506" s="107" t="str">
        <f t="shared" si="15"/>
        <v>F</v>
      </c>
      <c r="W506" s="214">
        <f ca="1">IF(AND($AB506&gt;=AB500,$AB506&lt;150),1,IF(AND($AB506&gt;=150,$AB506&lt;250),2,IF(AND($AB506&gt;=250,$AB506&lt;450),3,"")))</f>
        <v>2</v>
      </c>
      <c r="X506" s="214">
        <v>5</v>
      </c>
      <c r="Y506" s="214" t="str">
        <f t="shared" si="16"/>
        <v>4, 2, 1</v>
      </c>
      <c r="Z506" s="314" t="str" cm="1">
        <f t="array" aca="1" ref="Z506" ca="1">IFERROR(LEFT(Y506, MATCH(FALSE, ISNUMBER(MID(Y506, ROW(INDIRECT("1:"&amp;LEN(Y506)+1)), 1) *1), 0) -1),"")</f>
        <v>4</v>
      </c>
      <c r="AA506" s="214">
        <f t="shared" ca="1" si="17"/>
        <v>4</v>
      </c>
      <c r="AB506" s="214">
        <f ca="1">IFERROR(AA506*SUMPRODUCT(Items!A$242:A$254,Items!AQ$242:AQ$254)/SUM(Items!A$242:A$254),"")</f>
        <v>202</v>
      </c>
      <c r="AH506" s="314"/>
    </row>
    <row r="507" spans="2:34" ht="17">
      <c r="B507" s="211" t="s">
        <v>1406</v>
      </c>
      <c r="C507" s="212" t="s">
        <v>217</v>
      </c>
      <c r="D507" s="212" t="s">
        <v>217</v>
      </c>
      <c r="E507" s="215" t="s">
        <v>1407</v>
      </c>
      <c r="F507" s="107" t="str">
        <f t="shared" si="15"/>
        <v>GE</v>
      </c>
      <c r="W507" s="214">
        <f ca="1">IF(AND($AB507&gt;=AB500,$AB507&lt;150),1,IF(AND($AB507&gt;=150,$AB507&lt;250),2,IF(AND($AB507&gt;=250,$AB507&lt;450),3,"")))</f>
        <v>1</v>
      </c>
      <c r="X507" s="214">
        <v>6</v>
      </c>
      <c r="Y507" s="214" t="str">
        <f t="shared" si="16"/>
        <v>2, 1</v>
      </c>
      <c r="Z507" s="314" t="str" cm="1">
        <f t="array" aca="1" ref="Z507" ca="1">IFERROR(LEFT(Y507, MATCH(FALSE, ISNUMBER(MID(Y507, ROW(INDIRECT("1:"&amp;LEN(Y507)+1)), 1) *1), 0) -1),"")</f>
        <v>2</v>
      </c>
      <c r="AA507" s="214">
        <f t="shared" ca="1" si="17"/>
        <v>2</v>
      </c>
      <c r="AB507" s="214">
        <f ca="1">IFERROR(AA507*SUMPRODUCT(Items!A$242:A$254,Items!AQ$242:AQ$254)/SUM(Items!A$242:A$254),"")</f>
        <v>101</v>
      </c>
      <c r="AH507" s="314"/>
    </row>
    <row r="508" spans="2:34" ht="17">
      <c r="B508" s="211" t="s">
        <v>1408</v>
      </c>
      <c r="C508" s="212" t="s">
        <v>857</v>
      </c>
      <c r="D508" s="212" t="s">
        <v>1349</v>
      </c>
      <c r="E508" s="215" t="s">
        <v>1409</v>
      </c>
      <c r="F508" s="107" t="str">
        <f t="shared" si="15"/>
        <v>RS-S</v>
      </c>
      <c r="W508" s="214">
        <f ca="1">IF(AND($AB508&gt;=AB500,$AB508&lt;150),1,IF(AND($AB508&gt;=150,$AB508&lt;250),2,IF(AND($AB508&gt;=250,$AB508&lt;450),3,"")))</f>
        <v>1</v>
      </c>
      <c r="X508" s="214">
        <v>7</v>
      </c>
      <c r="Y508" s="214" t="str">
        <f t="shared" si="16"/>
        <v>1</v>
      </c>
      <c r="Z508" s="314" t="str" cm="1">
        <f t="array" aca="1" ref="Z508" ca="1">IFERROR(LEFT(Y508, MATCH(FALSE, ISNUMBER(MID(Y508, ROW(INDIRECT("1:"&amp;LEN(Y508)+1)), 1) *1), 0) -1),"")</f>
        <v>1</v>
      </c>
      <c r="AA508" s="214">
        <f t="shared" ca="1" si="17"/>
        <v>1</v>
      </c>
      <c r="AB508" s="214">
        <f ca="1">IFERROR(AA508*SUMPRODUCT(Items!A$242:A$254,Items!AQ$242:AQ$254)/SUM(Items!A$242:A$254),"")</f>
        <v>50.5</v>
      </c>
      <c r="AH508" s="314"/>
    </row>
    <row r="509" spans="2:34" ht="17">
      <c r="B509" s="211" t="s">
        <v>1468</v>
      </c>
      <c r="C509" s="212" t="s">
        <v>353</v>
      </c>
      <c r="D509" s="212" t="s">
        <v>217</v>
      </c>
      <c r="E509" s="215" t="s">
        <v>1410</v>
      </c>
      <c r="F509" s="107" t="str">
        <f t="shared" si="15"/>
        <v>POA-</v>
      </c>
      <c r="W509" s="214" t="str">
        <f ca="1">IF(AND($AB509&gt;=AB500,$AB509&lt;150),1,IF(AND($AB509&gt;=150,$AB509&lt;250),2,IF(AND($AB509&gt;=250,$AB509&lt;450),3,"")))</f>
        <v/>
      </c>
      <c r="X509" s="214">
        <v>8</v>
      </c>
      <c r="Y509" s="214" t="str">
        <f t="shared" si="16"/>
        <v/>
      </c>
      <c r="Z509" s="314" t="str" cm="1">
        <f t="array" aca="1" ref="Z509" ca="1">IFERROR(LEFT(Y509, MATCH(FALSE, ISNUMBER(MID(Y509, ROW(INDIRECT("1:"&amp;LEN(Y509)+1)), 1) *1), 0) -1),"")</f>
        <v/>
      </c>
      <c r="AA509" s="214" t="str">
        <f t="shared" ca="1" si="17"/>
        <v/>
      </c>
      <c r="AB509" s="214" t="str">
        <f ca="1">IFERROR(AA509*SUMPRODUCT(Items!A$242:A$254,Items!AQ$242:AQ$254)/SUM(Items!A$242:A$254),"")</f>
        <v/>
      </c>
      <c r="AH509" s="314"/>
    </row>
    <row r="510" spans="2:34" ht="17">
      <c r="B510" s="211" t="s">
        <v>1411</v>
      </c>
      <c r="C510" s="212" t="s">
        <v>70</v>
      </c>
      <c r="D510" s="212" t="s">
        <v>217</v>
      </c>
      <c r="E510" s="215" t="s">
        <v>1410</v>
      </c>
      <c r="F510" s="107" t="str">
        <f t="shared" si="15"/>
        <v>POA-</v>
      </c>
      <c r="W510" s="214" t="str">
        <f ca="1">IF(AND($AB510&gt;=AB500,$AB510&lt;150),1,IF(AND($AB510&gt;=150,$AB510&lt;250),2,IF(AND($AB510&gt;=250,$AB510&lt;450),3,"")))</f>
        <v/>
      </c>
      <c r="X510" s="214">
        <v>9</v>
      </c>
      <c r="Y510" s="214" t="str">
        <f t="shared" si="16"/>
        <v/>
      </c>
      <c r="Z510" s="314" t="str" cm="1">
        <f t="array" aca="1" ref="Z510" ca="1">IFERROR(LEFT(Y510, MATCH(FALSE, ISNUMBER(MID(Y510, ROW(INDIRECT("1:"&amp;LEN(Y510)+1)), 1) *1), 0) -1),"")</f>
        <v/>
      </c>
      <c r="AA510" s="214" t="str">
        <f t="shared" ca="1" si="17"/>
        <v/>
      </c>
      <c r="AB510" s="214" t="str">
        <f ca="1">IFERROR(AA510*SUMPRODUCT(Items!A$242:A$254,Items!AQ$242:AQ$254)/SUM(Items!A$242:A$254),"")</f>
        <v/>
      </c>
      <c r="AH510" s="314"/>
    </row>
    <row r="511" spans="2:34" ht="17">
      <c r="B511" s="211" t="s">
        <v>1412</v>
      </c>
      <c r="C511" s="212" t="s">
        <v>70</v>
      </c>
      <c r="D511" s="212" t="s">
        <v>217</v>
      </c>
      <c r="E511" s="215" t="s">
        <v>1410</v>
      </c>
      <c r="F511" s="107" t="str">
        <f t="shared" si="15"/>
        <v>POA-</v>
      </c>
      <c r="W511" s="214" t="str">
        <f ca="1">IF(AND($AB511&gt;=AB500,$AB511&lt;150),1,IF(AND($AB511&gt;=150,$AB511&lt;250),2,IF(AND($AB511&gt;=250,$AB511&lt;450),3,"")))</f>
        <v/>
      </c>
      <c r="X511" s="214">
        <v>10</v>
      </c>
      <c r="Y511" s="214" t="str">
        <f t="shared" si="16"/>
        <v/>
      </c>
      <c r="Z511" s="314" t="str" cm="1">
        <f t="array" aca="1" ref="Z511" ca="1">IFERROR(LEFT(Y511, MATCH(FALSE, ISNUMBER(MID(Y511, ROW(INDIRECT("1:"&amp;LEN(Y511)+1)), 1) *1), 0) -1),"")</f>
        <v/>
      </c>
      <c r="AA511" s="214" t="str">
        <f t="shared" ca="1" si="17"/>
        <v/>
      </c>
      <c r="AB511" s="214" t="str">
        <f ca="1">IFERROR(AA511*SUMPRODUCT(Items!A$242:A$254,Items!AQ$242:AQ$254)/SUM(Items!A$242:A$254),"")</f>
        <v/>
      </c>
      <c r="AH511" s="314"/>
    </row>
    <row r="512" spans="2:34" ht="17">
      <c r="B512" s="211" t="s">
        <v>1413</v>
      </c>
      <c r="C512" s="212" t="s">
        <v>217</v>
      </c>
      <c r="D512" s="212" t="s">
        <v>217</v>
      </c>
      <c r="F512" s="107" t="str">
        <f t="shared" si="15"/>
        <v>5H1</v>
      </c>
      <c r="W512" s="214" t="str">
        <f ca="1">IF(AND($AB512&gt;=AB500,$AB512&lt;150),1,IF(AND($AB512&gt;=150,$AB512&lt;250),2,IF(AND($AB512&gt;=250,$AB512&lt;450),3,"")))</f>
        <v/>
      </c>
      <c r="X512" s="214">
        <v>11</v>
      </c>
      <c r="Y512" s="214" t="str">
        <f t="shared" si="16"/>
        <v/>
      </c>
      <c r="Z512" s="314" t="str" cm="1">
        <f t="array" aca="1" ref="Z512" ca="1">IFERROR(LEFT(Y512, MATCH(FALSE, ISNUMBER(MID(Y512, ROW(INDIRECT("1:"&amp;LEN(Y512)+1)), 1) *1), 0) -1),"")</f>
        <v/>
      </c>
      <c r="AA512" s="214" t="str">
        <f t="shared" ca="1" si="17"/>
        <v/>
      </c>
      <c r="AB512" s="214" t="str">
        <f ca="1">IFERROR(AA512*SUMPRODUCT(Items!A$242:A$254,Items!AQ$242:AQ$254)/SUM(Items!A$242:A$254),"")</f>
        <v/>
      </c>
      <c r="AH512" s="314"/>
    </row>
    <row r="513" spans="1:34" ht="17">
      <c r="B513" s="211" t="s">
        <v>1414</v>
      </c>
      <c r="C513" s="212" t="s">
        <v>217</v>
      </c>
      <c r="D513" s="212" t="s">
        <v>217</v>
      </c>
      <c r="F513" s="107" t="str">
        <f t="shared" si="15"/>
        <v>1H2</v>
      </c>
      <c r="W513" s="214" t="str">
        <f ca="1">IF(AND($AB513&gt;=AB500,$AB513&lt;150),1,IF(AND($AB513&gt;=150,$AB513&lt;250),2,IF(AND($AB513&gt;=250,$AB513&lt;450),3,"")))</f>
        <v/>
      </c>
      <c r="X513" s="214">
        <v>12</v>
      </c>
      <c r="Y513" s="214" t="str">
        <f t="shared" ref="Y513:Y516" si="18">IFERROR(IF(LEN(Y$501)-LEN(SUBSTITUTE(Y$501,X$501,""))&lt;=1,"",MID(SUBSTITUTE(Y$501,X$501,"^^",X513),FIND("^^",SUBSTITUTE(Y$501,X$501,"^^",X513))+2,LEN(Y$501))),"")</f>
        <v/>
      </c>
      <c r="Z513" s="314" t="str" cm="1">
        <f t="array" aca="1" ref="Z513" ca="1">IFERROR(LEFT(Y513, MATCH(FALSE, ISNUMBER(MID(Y513, ROW(INDIRECT("1:"&amp;LEN(Y513)+1)), 1) *1), 0) -1),"")</f>
        <v/>
      </c>
      <c r="AA513" s="214" t="str">
        <f t="shared" ca="1" si="17"/>
        <v/>
      </c>
      <c r="AB513" s="214" t="str">
        <f ca="1">IFERROR(AA513*SUMPRODUCT(Items!A$242:A$254,Items!AQ$242:AQ$254)/SUM(Items!A$242:A$254),"")</f>
        <v/>
      </c>
      <c r="AH513" s="314"/>
    </row>
    <row r="514" spans="1:34" ht="17">
      <c r="B514" s="211" t="s">
        <v>1415</v>
      </c>
      <c r="C514" s="212" t="s">
        <v>217</v>
      </c>
      <c r="D514" s="212" t="s">
        <v>217</v>
      </c>
      <c r="F514" s="107" t="str">
        <f t="shared" si="15"/>
        <v>2H4</v>
      </c>
      <c r="W514" s="214" t="str">
        <f ca="1">IF(AND($AB514&gt;=AB500,$AB514&lt;150),1,IF(AND($AB514&gt;=150,$AB514&lt;250),2,IF(AND($AB514&gt;=250,$AB514&lt;450),3,"")))</f>
        <v/>
      </c>
      <c r="X514" s="214">
        <v>13</v>
      </c>
      <c r="Y514" s="214" t="str">
        <f t="shared" si="18"/>
        <v/>
      </c>
      <c r="Z514" s="314" t="str" cm="1">
        <f t="array" aca="1" ref="Z514" ca="1">IFERROR(LEFT(Y514, MATCH(FALSE, ISNUMBER(MID(Y514, ROW(INDIRECT("1:"&amp;LEN(Y514)+1)), 1) *1), 0) -1),"")</f>
        <v/>
      </c>
      <c r="AA514" s="214" t="str">
        <f t="shared" ca="1" si="17"/>
        <v/>
      </c>
      <c r="AB514" s="214" t="str">
        <f ca="1">IFERROR(AA514*SUMPRODUCT(Items!A$242:A$254,Items!AQ$242:AQ$254)/SUM(Items!A$242:A$254),"")</f>
        <v/>
      </c>
      <c r="AH514" s="314"/>
    </row>
    <row r="515" spans="1:34" ht="17">
      <c r="B515" s="211" t="s">
        <v>1416</v>
      </c>
      <c r="C515" s="212" t="s">
        <v>217</v>
      </c>
      <c r="D515" s="212" t="s">
        <v>217</v>
      </c>
      <c r="F515" s="107" t="str">
        <f t="shared" ref="F515:F578" si="19">UPPER(LEFT(B515,1)) &amp; IFERROR(UPPER(LEFT(MID(B515,FIND(" ",B515)+1,LEN(B515)),1)),"") &amp; IFERROR(UPPER(LEFT(MID(B515,FIND(" ",B515,FIND(" ",B515)+1)+1,LEN(B515)),1)),"") &amp; IFERROR(UPPER(LEFT(MID(B515,FIND(" ",B515,FIND(" ",B515,FIND(" ",B515)+1)+1)+1,LEN(B515)),1)),"")</f>
        <v>5H1</v>
      </c>
      <c r="W515" s="214" t="str">
        <f ca="1">IF(AND($AB515&gt;=AB500,$AB515&lt;150),1,IF(AND($AB515&gt;=150,$AB515&lt;250),2,IF(AND($AB515&gt;=250,$AB515&lt;450),3,"")))</f>
        <v/>
      </c>
      <c r="X515" s="214">
        <v>14</v>
      </c>
      <c r="Y515" s="214" t="str">
        <f t="shared" si="18"/>
        <v/>
      </c>
      <c r="Z515" s="314" t="str" cm="1">
        <f t="array" aca="1" ref="Z515" ca="1">IFERROR(LEFT(Y515, MATCH(FALSE, ISNUMBER(MID(Y515, ROW(INDIRECT("1:"&amp;LEN(Y515)+1)), 1) *1), 0) -1),"")</f>
        <v/>
      </c>
      <c r="AA515" s="214" t="str">
        <f t="shared" ca="1" si="17"/>
        <v/>
      </c>
      <c r="AB515" s="214" t="str">
        <f ca="1">IFERROR(AA515*SUMPRODUCT(Items!A$242:A$254,Items!AQ$242:AQ$254)/SUM(Items!A$242:A$254),"")</f>
        <v/>
      </c>
      <c r="AH515" s="314"/>
    </row>
    <row r="516" spans="1:34" ht="17">
      <c r="B516" s="211" t="s">
        <v>1417</v>
      </c>
      <c r="C516" s="212" t="s">
        <v>961</v>
      </c>
      <c r="D516" s="212" t="s">
        <v>961</v>
      </c>
      <c r="F516" s="107" t="str">
        <f t="shared" si="19"/>
        <v>DR</v>
      </c>
      <c r="W516" s="214" t="str">
        <f ca="1">IF(AND($AB516&gt;=AB500,$AB516&lt;150),1,IF(AND($AB516&gt;=150,$AB516&lt;250),2,IF(AND($AB516&gt;=250,$AB516&lt;450),3,"")))</f>
        <v/>
      </c>
      <c r="X516" s="214">
        <v>15</v>
      </c>
      <c r="Y516" s="214" t="str">
        <f t="shared" si="18"/>
        <v/>
      </c>
      <c r="Z516" s="314" t="str" cm="1">
        <f t="array" aca="1" ref="Z516" ca="1">IFERROR(LEFT(Y516, MATCH(FALSE, ISNUMBER(MID(Y516, ROW(INDIRECT("1:"&amp;LEN(Y516)+1)), 1) *1), 0) -1),"")</f>
        <v/>
      </c>
      <c r="AA516" s="214" t="str">
        <f t="shared" ca="1" si="17"/>
        <v/>
      </c>
      <c r="AB516" s="214" t="str">
        <f ca="1">IFERROR(AA516*SUMPRODUCT(Items!A$242:A$254,Items!AQ$242:AQ$254)/SUM(Items!A$242:A$254),"")</f>
        <v/>
      </c>
      <c r="AH516" s="314"/>
    </row>
    <row r="517" spans="1:34" ht="17">
      <c r="B517" s="211" t="s">
        <v>1418</v>
      </c>
      <c r="C517" s="212" t="s">
        <v>1087</v>
      </c>
      <c r="D517" s="212" t="s">
        <v>1087</v>
      </c>
      <c r="E517" s="215" t="s">
        <v>1419</v>
      </c>
      <c r="F517" s="107" t="str">
        <f t="shared" si="19"/>
        <v>KBD</v>
      </c>
      <c r="W517" s="214" t="str">
        <f t="shared" ref="W517:W580" ca="1" si="20">IF(AND($AB517&gt;=AB501,$AB517&lt;150),1,IF(AND($AB517&gt;=150,$AB517&lt;250),2,IF(AND($AB517&gt;=250,$AB517&lt;450),3,"")))</f>
        <v/>
      </c>
      <c r="X517" s="214">
        <v>16</v>
      </c>
      <c r="Y517" s="214" t="str">
        <f t="shared" ref="Y517:Y561" si="21">IFERROR(IF(LEN(Y$501)-LEN(SUBSTITUTE(Y$501,X$501,""))&lt;=1,"",MID(SUBSTITUTE(Y$501,X$501,"^^",X517),FIND("^^",SUBSTITUTE(Y$501,X$501,"^^",X517))+2,LEN(Y$501))),"")</f>
        <v/>
      </c>
      <c r="Z517" s="314" t="str" cm="1">
        <f t="array" aca="1" ref="Z517" ca="1">IFERROR(LEFT(Y517, MATCH(FALSE, ISNUMBER(MID(Y517, ROW(INDIRECT("1:"&amp;LEN(Y517)+1)), 1) *1), 0) -1),"")</f>
        <v/>
      </c>
      <c r="AA517" s="214" t="str">
        <f t="shared" ref="AA517:AA561" ca="1" si="22">IFERROR(VALUE(Z517),"")</f>
        <v/>
      </c>
      <c r="AB517" s="214" t="str">
        <f ca="1">IFERROR(AA517*SUMPRODUCT(Items!A$242:A$254,Items!AQ$242:AQ$254)/SUM(Items!A$242:A$254),"")</f>
        <v/>
      </c>
    </row>
    <row r="518" spans="1:34" ht="17">
      <c r="B518" s="211" t="s">
        <v>1465</v>
      </c>
      <c r="C518" s="212" t="s">
        <v>217</v>
      </c>
      <c r="D518" s="212" t="s">
        <v>957</v>
      </c>
      <c r="F518" s="107" t="str">
        <f t="shared" si="19"/>
        <v>2F</v>
      </c>
      <c r="W518" s="214" t="str">
        <f t="shared" ca="1" si="20"/>
        <v/>
      </c>
      <c r="X518" s="214">
        <v>17</v>
      </c>
      <c r="Y518" s="214" t="str">
        <f t="shared" si="21"/>
        <v/>
      </c>
      <c r="Z518" s="314" t="str" cm="1">
        <f t="array" aca="1" ref="Z518" ca="1">IFERROR(LEFT(Y518, MATCH(FALSE, ISNUMBER(MID(Y518, ROW(INDIRECT("1:"&amp;LEN(Y518)+1)), 1) *1), 0) -1),"")</f>
        <v/>
      </c>
      <c r="AA518" s="214" t="str">
        <f t="shared" ca="1" si="22"/>
        <v/>
      </c>
      <c r="AB518" s="214" t="str">
        <f ca="1">IFERROR(AA518*SUMPRODUCT(Items!A$242:A$254,Items!AQ$242:AQ$254)/SUM(Items!A$242:A$254),"")</f>
        <v/>
      </c>
    </row>
    <row r="519" spans="1:34" ht="17">
      <c r="B519" s="211" t="s">
        <v>1473</v>
      </c>
      <c r="C519" s="212" t="s">
        <v>52</v>
      </c>
      <c r="D519" s="212" t="s">
        <v>52</v>
      </c>
      <c r="E519" s="215" t="s">
        <v>431</v>
      </c>
      <c r="F519" s="107" t="str">
        <f t="shared" si="19"/>
        <v>PPF2</v>
      </c>
      <c r="W519" s="214" t="str">
        <f t="shared" ca="1" si="20"/>
        <v/>
      </c>
      <c r="X519" s="214">
        <v>18</v>
      </c>
      <c r="Y519" s="214" t="str">
        <f t="shared" si="21"/>
        <v/>
      </c>
      <c r="Z519" s="314" t="str" cm="1">
        <f t="array" aca="1" ref="Z519" ca="1">IFERROR(LEFT(Y519, MATCH(FALSE, ISNUMBER(MID(Y519, ROW(INDIRECT("1:"&amp;LEN(Y519)+1)), 1) *1), 0) -1),"")</f>
        <v/>
      </c>
      <c r="AA519" s="214" t="str">
        <f t="shared" ca="1" si="22"/>
        <v/>
      </c>
      <c r="AB519" s="214" t="str">
        <f ca="1">IFERROR(AA519*SUMPRODUCT(Items!A$242:A$254,Items!AQ$242:AQ$254)/SUM(Items!A$242:A$254),"")</f>
        <v/>
      </c>
    </row>
    <row r="520" spans="1:34" ht="17">
      <c r="B520" s="211" t="s">
        <v>1470</v>
      </c>
      <c r="C520" s="212" t="s">
        <v>52</v>
      </c>
      <c r="D520" s="212" t="s">
        <v>52</v>
      </c>
      <c r="E520" s="215" t="s">
        <v>431</v>
      </c>
      <c r="F520" s="107" t="str">
        <f t="shared" si="19"/>
        <v>PPF3</v>
      </c>
      <c r="W520" s="214" t="str">
        <f t="shared" ca="1" si="20"/>
        <v/>
      </c>
      <c r="X520" s="214">
        <v>19</v>
      </c>
      <c r="Y520" s="214" t="str">
        <f t="shared" si="21"/>
        <v/>
      </c>
      <c r="Z520" s="314" t="str" cm="1">
        <f t="array" aca="1" ref="Z520" ca="1">IFERROR(LEFT(Y520, MATCH(FALSE, ISNUMBER(MID(Y520, ROW(INDIRECT("1:"&amp;LEN(Y520)+1)), 1) *1), 0) -1),"")</f>
        <v/>
      </c>
      <c r="AA520" s="214" t="str">
        <f t="shared" ca="1" si="22"/>
        <v/>
      </c>
      <c r="AB520" s="214" t="str">
        <f ca="1">IFERROR(AA520*SUMPRODUCT(Items!A$242:A$254,Items!AQ$242:AQ$254)/SUM(Items!A$242:A$254),"")</f>
        <v/>
      </c>
    </row>
    <row r="521" spans="1:34" ht="17">
      <c r="A521" s="218"/>
      <c r="B521" s="219" t="s">
        <v>1469</v>
      </c>
      <c r="C521" s="220" t="s">
        <v>52</v>
      </c>
      <c r="D521" s="220" t="s">
        <v>52</v>
      </c>
      <c r="E521" s="221" t="s">
        <v>431</v>
      </c>
      <c r="F521" s="107" t="str">
        <f t="shared" si="19"/>
        <v>PPF5</v>
      </c>
      <c r="W521" s="214" t="str">
        <f t="shared" ca="1" si="20"/>
        <v/>
      </c>
      <c r="X521" s="214">
        <v>20</v>
      </c>
      <c r="Y521" s="214" t="str">
        <f t="shared" si="21"/>
        <v/>
      </c>
      <c r="Z521" s="314" t="str" cm="1">
        <f t="array" aca="1" ref="Z521" ca="1">IFERROR(LEFT(Y521, MATCH(FALSE, ISNUMBER(MID(Y521, ROW(INDIRECT("1:"&amp;LEN(Y521)+1)), 1) *1), 0) -1),"")</f>
        <v/>
      </c>
      <c r="AA521" s="214" t="str">
        <f t="shared" ca="1" si="22"/>
        <v/>
      </c>
      <c r="AB521" s="214" t="str">
        <f ca="1">IFERROR(AA521*SUMPRODUCT(Items!A$242:A$254,Items!AQ$242:AQ$254)/SUM(Items!A$242:A$254),"")</f>
        <v/>
      </c>
    </row>
    <row r="522" spans="1:34" ht="17">
      <c r="A522" s="218"/>
      <c r="B522" s="219" t="s">
        <v>1471</v>
      </c>
      <c r="C522" s="220" t="s">
        <v>52</v>
      </c>
      <c r="D522" s="220" t="s">
        <v>52</v>
      </c>
      <c r="E522" s="221" t="s">
        <v>431</v>
      </c>
      <c r="F522" s="107" t="str">
        <f t="shared" si="19"/>
        <v>PPF8</v>
      </c>
      <c r="W522" s="214" t="str">
        <f t="shared" ca="1" si="20"/>
        <v/>
      </c>
      <c r="X522" s="214">
        <v>21</v>
      </c>
      <c r="Y522" s="214" t="str">
        <f t="shared" si="21"/>
        <v/>
      </c>
      <c r="Z522" s="314" t="str" cm="1">
        <f t="array" aca="1" ref="Z522" ca="1">IFERROR(LEFT(Y522, MATCH(FALSE, ISNUMBER(MID(Y522, ROW(INDIRECT("1:"&amp;LEN(Y522)+1)), 1) *1), 0) -1),"")</f>
        <v/>
      </c>
      <c r="AA522" s="214" t="str">
        <f t="shared" ca="1" si="22"/>
        <v/>
      </c>
      <c r="AB522" s="214" t="str">
        <f ca="1">IFERROR(AA522*SUMPRODUCT(Items!A$242:A$254,Items!AQ$242:AQ$254)/SUM(Items!A$242:A$254),"")</f>
        <v/>
      </c>
    </row>
    <row r="523" spans="1:34" ht="17">
      <c r="A523" s="218"/>
      <c r="B523" s="219" t="s">
        <v>1472</v>
      </c>
      <c r="C523" s="220" t="s">
        <v>52</v>
      </c>
      <c r="D523" s="220" t="s">
        <v>52</v>
      </c>
      <c r="E523" s="221" t="s">
        <v>431</v>
      </c>
      <c r="F523" s="107" t="str">
        <f t="shared" si="19"/>
        <v>PPF1</v>
      </c>
      <c r="W523" s="214" t="str">
        <f t="shared" ca="1" si="20"/>
        <v/>
      </c>
      <c r="X523" s="214">
        <v>22</v>
      </c>
      <c r="Y523" s="214" t="str">
        <f t="shared" si="21"/>
        <v/>
      </c>
      <c r="Z523" s="314" t="str" cm="1">
        <f t="array" aca="1" ref="Z523" ca="1">IFERROR(LEFT(Y523, MATCH(FALSE, ISNUMBER(MID(Y523, ROW(INDIRECT("1:"&amp;LEN(Y523)+1)), 1) *1), 0) -1),"")</f>
        <v/>
      </c>
      <c r="AA523" s="214" t="str">
        <f t="shared" ca="1" si="22"/>
        <v/>
      </c>
      <c r="AB523" s="214" t="str">
        <f ca="1">IFERROR(AA523*SUMPRODUCT(Items!A$242:A$254,Items!AQ$242:AQ$254)/SUM(Items!A$242:A$254),"")</f>
        <v/>
      </c>
    </row>
    <row r="524" spans="1:34" ht="17">
      <c r="B524" s="211" t="s">
        <v>1475</v>
      </c>
      <c r="C524" s="212" t="s">
        <v>1241</v>
      </c>
      <c r="D524" s="212" t="s">
        <v>217</v>
      </c>
      <c r="E524" s="212" t="s">
        <v>1476</v>
      </c>
      <c r="F524" s="107" t="str">
        <f t="shared" si="19"/>
        <v>DMS</v>
      </c>
      <c r="W524" s="214" t="str">
        <f t="shared" ca="1" si="20"/>
        <v/>
      </c>
      <c r="X524" s="214">
        <v>23</v>
      </c>
      <c r="Y524" s="214" t="str">
        <f t="shared" si="21"/>
        <v/>
      </c>
      <c r="Z524" s="314" t="str" cm="1">
        <f t="array" aca="1" ref="Z524" ca="1">IFERROR(LEFT(Y524, MATCH(FALSE, ISNUMBER(MID(Y524, ROW(INDIRECT("1:"&amp;LEN(Y524)+1)), 1) *1), 0) -1),"")</f>
        <v/>
      </c>
      <c r="AA524" s="214" t="str">
        <f t="shared" ca="1" si="22"/>
        <v/>
      </c>
      <c r="AB524" s="214" t="str">
        <f ca="1">IFERROR(AA524*SUMPRODUCT(Items!A$242:A$254,Items!AQ$242:AQ$254)/SUM(Items!A$242:A$254),"")</f>
        <v/>
      </c>
    </row>
    <row r="525" spans="1:34" ht="17">
      <c r="B525" s="211" t="s">
        <v>1477</v>
      </c>
      <c r="C525" s="212" t="s">
        <v>217</v>
      </c>
      <c r="D525" s="212" t="s">
        <v>217</v>
      </c>
      <c r="E525" s="215" t="s">
        <v>1478</v>
      </c>
      <c r="F525" s="107" t="str">
        <f t="shared" si="19"/>
        <v>NB</v>
      </c>
      <c r="W525" s="214" t="str">
        <f t="shared" ca="1" si="20"/>
        <v/>
      </c>
      <c r="X525" s="214">
        <v>24</v>
      </c>
      <c r="Y525" s="214" t="str">
        <f t="shared" si="21"/>
        <v/>
      </c>
      <c r="Z525" s="314" t="str" cm="1">
        <f t="array" aca="1" ref="Z525" ca="1">IFERROR(LEFT(Y525, MATCH(FALSE, ISNUMBER(MID(Y525, ROW(INDIRECT("1:"&amp;LEN(Y525)+1)), 1) *1), 0) -1),"")</f>
        <v/>
      </c>
      <c r="AA525" s="214" t="str">
        <f t="shared" ca="1" si="22"/>
        <v/>
      </c>
      <c r="AB525" s="214" t="str">
        <f ca="1">IFERROR(AA525*SUMPRODUCT(Items!A$242:A$254,Items!AQ$242:AQ$254)/SUM(Items!A$242:A$254),"")</f>
        <v/>
      </c>
    </row>
    <row r="526" spans="1:34" ht="17">
      <c r="B526" s="211" t="s">
        <v>1479</v>
      </c>
      <c r="C526" s="212" t="s">
        <v>343</v>
      </c>
      <c r="D526" s="212" t="s">
        <v>343</v>
      </c>
      <c r="E526" s="215" t="s">
        <v>1480</v>
      </c>
      <c r="F526" s="107" t="str">
        <f t="shared" si="19"/>
        <v>H-RL</v>
      </c>
      <c r="W526" s="214" t="str">
        <f t="shared" ca="1" si="20"/>
        <v/>
      </c>
      <c r="X526" s="214">
        <v>25</v>
      </c>
      <c r="Y526" s="214" t="str">
        <f t="shared" si="21"/>
        <v/>
      </c>
      <c r="Z526" s="314" t="str" cm="1">
        <f t="array" aca="1" ref="Z526" ca="1">IFERROR(LEFT(Y526, MATCH(FALSE, ISNUMBER(MID(Y526, ROW(INDIRECT("1:"&amp;LEN(Y526)+1)), 1) *1), 0) -1),"")</f>
        <v/>
      </c>
      <c r="AA526" s="214" t="str">
        <f t="shared" ca="1" si="22"/>
        <v/>
      </c>
      <c r="AB526" s="214" t="str">
        <f ca="1">IFERROR(AA526*SUMPRODUCT(Items!A$242:A$254,Items!AQ$242:AQ$254)/SUM(Items!A$242:A$254),"")</f>
        <v/>
      </c>
    </row>
    <row r="527" spans="1:34" ht="17">
      <c r="B527" s="211" t="s">
        <v>1481</v>
      </c>
      <c r="C527" s="212" t="s">
        <v>1379</v>
      </c>
      <c r="D527" s="212" t="s">
        <v>1379</v>
      </c>
      <c r="F527" s="107" t="str">
        <f t="shared" si="19"/>
        <v>UL</v>
      </c>
      <c r="W527" s="214" t="str">
        <f t="shared" ca="1" si="20"/>
        <v/>
      </c>
      <c r="X527" s="214">
        <v>26</v>
      </c>
      <c r="Y527" s="214" t="str">
        <f t="shared" si="21"/>
        <v/>
      </c>
      <c r="Z527" s="314" t="str" cm="1">
        <f t="array" aca="1" ref="Z527" ca="1">IFERROR(LEFT(Y527, MATCH(FALSE, ISNUMBER(MID(Y527, ROW(INDIRECT("1:"&amp;LEN(Y527)+1)), 1) *1), 0) -1),"")</f>
        <v/>
      </c>
      <c r="AA527" s="214" t="str">
        <f t="shared" ca="1" si="22"/>
        <v/>
      </c>
      <c r="AB527" s="214" t="str">
        <f ca="1">IFERROR(AA527*SUMPRODUCT(Items!A$242:A$254,Items!AQ$242:AQ$254)/SUM(Items!A$242:A$254),"")</f>
        <v/>
      </c>
    </row>
    <row r="528" spans="1:34" ht="17">
      <c r="B528" s="211" t="s">
        <v>1482</v>
      </c>
      <c r="C528" s="212" t="s">
        <v>356</v>
      </c>
      <c r="D528" s="212" t="s">
        <v>217</v>
      </c>
      <c r="E528" s="215" t="s">
        <v>1483</v>
      </c>
      <c r="F528" s="107" t="str">
        <f t="shared" si="19"/>
        <v>MA</v>
      </c>
      <c r="W528" s="214" t="str">
        <f t="shared" ca="1" si="20"/>
        <v/>
      </c>
      <c r="X528" s="214">
        <v>27</v>
      </c>
      <c r="Y528" s="214" t="str">
        <f t="shared" si="21"/>
        <v/>
      </c>
      <c r="Z528" s="314" t="str" cm="1">
        <f t="array" aca="1" ref="Z528" ca="1">IFERROR(LEFT(Y528, MATCH(FALSE, ISNUMBER(MID(Y528, ROW(INDIRECT("1:"&amp;LEN(Y528)+1)), 1) *1), 0) -1),"")</f>
        <v/>
      </c>
      <c r="AA528" s="214" t="str">
        <f t="shared" ca="1" si="22"/>
        <v/>
      </c>
      <c r="AB528" s="214" t="str">
        <f ca="1">IFERROR(AA528*SUMPRODUCT(Items!A$242:A$254,Items!AQ$242:AQ$254)/SUM(Items!A$242:A$254),"")</f>
        <v/>
      </c>
    </row>
    <row r="529" spans="2:28" ht="34">
      <c r="B529" s="211" t="s">
        <v>1486</v>
      </c>
      <c r="C529" s="212" t="s">
        <v>52</v>
      </c>
      <c r="D529" s="212" t="s">
        <v>52</v>
      </c>
      <c r="E529" s="215" t="s">
        <v>1484</v>
      </c>
      <c r="F529" s="107" t="str">
        <f t="shared" si="19"/>
        <v>SO-C</v>
      </c>
      <c r="W529" s="214" t="str">
        <f t="shared" ca="1" si="20"/>
        <v/>
      </c>
      <c r="X529" s="214">
        <v>28</v>
      </c>
      <c r="Y529" s="214" t="str">
        <f t="shared" si="21"/>
        <v/>
      </c>
      <c r="Z529" s="314" t="str" cm="1">
        <f t="array" aca="1" ref="Z529" ca="1">IFERROR(LEFT(Y529, MATCH(FALSE, ISNUMBER(MID(Y529, ROW(INDIRECT("1:"&amp;LEN(Y529)+1)), 1) *1), 0) -1),"")</f>
        <v/>
      </c>
      <c r="AA529" s="214" t="str">
        <f t="shared" ca="1" si="22"/>
        <v/>
      </c>
      <c r="AB529" s="214" t="str">
        <f ca="1">IFERROR(AA529*SUMPRODUCT(Items!A$242:A$254,Items!AQ$242:AQ$254)/SUM(Items!A$242:A$254),"")</f>
        <v/>
      </c>
    </row>
    <row r="530" spans="2:28" ht="17">
      <c r="B530" s="211" t="s">
        <v>1496</v>
      </c>
      <c r="C530" s="212" t="s">
        <v>1497</v>
      </c>
      <c r="D530" s="212" t="s">
        <v>1497</v>
      </c>
      <c r="F530" s="107" t="str">
        <f t="shared" si="19"/>
        <v>RRH</v>
      </c>
      <c r="W530" s="214" t="str">
        <f t="shared" ca="1" si="20"/>
        <v/>
      </c>
      <c r="X530" s="214">
        <v>29</v>
      </c>
      <c r="Y530" s="214" t="str">
        <f t="shared" si="21"/>
        <v/>
      </c>
      <c r="Z530" s="314" t="str" cm="1">
        <f t="array" aca="1" ref="Z530" ca="1">IFERROR(LEFT(Y530, MATCH(FALSE, ISNUMBER(MID(Y530, ROW(INDIRECT("1:"&amp;LEN(Y530)+1)), 1) *1), 0) -1),"")</f>
        <v/>
      </c>
      <c r="AA530" s="214" t="str">
        <f t="shared" ca="1" si="22"/>
        <v/>
      </c>
      <c r="AB530" s="214" t="str">
        <f ca="1">IFERROR(AA530*SUMPRODUCT(Items!A$242:A$254,Items!AQ$242:AQ$254)/SUM(Items!A$242:A$254),"")</f>
        <v/>
      </c>
    </row>
    <row r="531" spans="2:28" ht="17">
      <c r="B531" s="211" t="s">
        <v>1501</v>
      </c>
      <c r="C531" s="212" t="s">
        <v>1502</v>
      </c>
      <c r="D531" s="212" t="s">
        <v>1503</v>
      </c>
      <c r="E531" s="215" t="s">
        <v>1504</v>
      </c>
      <c r="F531" s="107" t="str">
        <f t="shared" si="19"/>
        <v>MKA</v>
      </c>
      <c r="W531" s="214" t="str">
        <f t="shared" ca="1" si="20"/>
        <v/>
      </c>
      <c r="X531" s="214">
        <v>30</v>
      </c>
      <c r="Y531" s="214" t="str">
        <f t="shared" si="21"/>
        <v/>
      </c>
      <c r="Z531" s="314" t="str" cm="1">
        <f t="array" aca="1" ref="Z531" ca="1">IFERROR(LEFT(Y531, MATCH(FALSE, ISNUMBER(MID(Y531, ROW(INDIRECT("1:"&amp;LEN(Y531)+1)), 1) *1), 0) -1),"")</f>
        <v/>
      </c>
      <c r="AA531" s="214" t="str">
        <f t="shared" ca="1" si="22"/>
        <v/>
      </c>
      <c r="AB531" s="214" t="str">
        <f ca="1">IFERROR(AA531*SUMPRODUCT(Items!A$242:A$254,Items!AQ$242:AQ$254)/SUM(Items!A$242:A$254),"")</f>
        <v/>
      </c>
    </row>
    <row r="532" spans="2:28" ht="17">
      <c r="B532" s="211" t="s">
        <v>1505</v>
      </c>
      <c r="C532" s="212" t="s">
        <v>217</v>
      </c>
      <c r="D532" s="212" t="s">
        <v>217</v>
      </c>
      <c r="F532" s="107" t="str">
        <f t="shared" si="19"/>
        <v>MKB</v>
      </c>
      <c r="W532" s="214" t="str">
        <f t="shared" ca="1" si="20"/>
        <v/>
      </c>
      <c r="X532" s="214">
        <v>31</v>
      </c>
      <c r="Y532" s="214" t="str">
        <f t="shared" si="21"/>
        <v/>
      </c>
      <c r="Z532" s="314" t="str" cm="1">
        <f t="array" aca="1" ref="Z532" ca="1">IFERROR(LEFT(Y532, MATCH(FALSE, ISNUMBER(MID(Y532, ROW(INDIRECT("1:"&amp;LEN(Y532)+1)), 1) *1), 0) -1),"")</f>
        <v/>
      </c>
      <c r="AA532" s="214" t="str">
        <f t="shared" ca="1" si="22"/>
        <v/>
      </c>
      <c r="AB532" s="214" t="str">
        <f ca="1">IFERROR(AA532*SUMPRODUCT(Items!A$242:A$254,Items!AQ$242:AQ$254)/SUM(Items!A$242:A$254),"")</f>
        <v/>
      </c>
    </row>
    <row r="533" spans="2:28" ht="34">
      <c r="B533" s="211" t="s">
        <v>1506</v>
      </c>
      <c r="C533" s="212" t="s">
        <v>1507</v>
      </c>
      <c r="D533" s="212" t="s">
        <v>955</v>
      </c>
      <c r="E533" s="215" t="s">
        <v>1508</v>
      </c>
      <c r="F533" s="107" t="str">
        <f t="shared" si="19"/>
        <v>AB</v>
      </c>
      <c r="W533" s="214" t="str">
        <f t="shared" ca="1" si="20"/>
        <v/>
      </c>
      <c r="X533" s="214">
        <v>32</v>
      </c>
      <c r="Y533" s="214" t="str">
        <f t="shared" si="21"/>
        <v/>
      </c>
      <c r="Z533" s="314" t="str" cm="1">
        <f t="array" aca="1" ref="Z533" ca="1">IFERROR(LEFT(Y533, MATCH(FALSE, ISNUMBER(MID(Y533, ROW(INDIRECT("1:"&amp;LEN(Y533)+1)), 1) *1), 0) -1),"")</f>
        <v/>
      </c>
      <c r="AA533" s="214" t="str">
        <f t="shared" ca="1" si="22"/>
        <v/>
      </c>
      <c r="AB533" s="214" t="str">
        <f ca="1">IFERROR(AA533*SUMPRODUCT(Items!A$242:A$254,Items!AQ$242:AQ$254)/SUM(Items!A$242:A$254),"")</f>
        <v/>
      </c>
    </row>
    <row r="534" spans="2:28" ht="17">
      <c r="B534" s="211" t="s">
        <v>1509</v>
      </c>
      <c r="C534" s="212" t="s">
        <v>33</v>
      </c>
      <c r="D534" s="212" t="s">
        <v>217</v>
      </c>
      <c r="E534" s="215" t="s">
        <v>1510</v>
      </c>
      <c r="F534" s="107" t="str">
        <f t="shared" si="19"/>
        <v>MBC</v>
      </c>
      <c r="W534" s="214" t="str">
        <f t="shared" ca="1" si="20"/>
        <v/>
      </c>
      <c r="X534" s="214">
        <v>33</v>
      </c>
      <c r="Y534" s="214" t="str">
        <f t="shared" si="21"/>
        <v/>
      </c>
      <c r="Z534" s="314" t="str" cm="1">
        <f t="array" aca="1" ref="Z534" ca="1">IFERROR(LEFT(Y534, MATCH(FALSE, ISNUMBER(MID(Y534, ROW(INDIRECT("1:"&amp;LEN(Y534)+1)), 1) *1), 0) -1),"")</f>
        <v/>
      </c>
      <c r="AA534" s="214" t="str">
        <f t="shared" ca="1" si="22"/>
        <v/>
      </c>
      <c r="AB534" s="214" t="str">
        <f ca="1">IFERROR(AA534*SUMPRODUCT(Items!A$242:A$254,Items!AQ$242:AQ$254)/SUM(Items!A$242:A$254),"")</f>
        <v/>
      </c>
    </row>
    <row r="535" spans="2:28" ht="17">
      <c r="B535" s="211" t="s">
        <v>1511</v>
      </c>
      <c r="C535" s="212" t="s">
        <v>447</v>
      </c>
      <c r="D535" s="212" t="s">
        <v>36</v>
      </c>
      <c r="E535" s="215" t="s">
        <v>448</v>
      </c>
      <c r="F535" s="107" t="str">
        <f t="shared" si="19"/>
        <v>AA</v>
      </c>
      <c r="W535" s="214" t="str">
        <f t="shared" ca="1" si="20"/>
        <v/>
      </c>
      <c r="X535" s="214">
        <v>34</v>
      </c>
      <c r="Y535" s="214" t="str">
        <f t="shared" si="21"/>
        <v/>
      </c>
      <c r="Z535" s="314" t="str" cm="1">
        <f t="array" aca="1" ref="Z535" ca="1">IFERROR(LEFT(Y535, MATCH(FALSE, ISNUMBER(MID(Y535, ROW(INDIRECT("1:"&amp;LEN(Y535)+1)), 1) *1), 0) -1),"")</f>
        <v/>
      </c>
      <c r="AA535" s="214" t="str">
        <f t="shared" ca="1" si="22"/>
        <v/>
      </c>
      <c r="AB535" s="214" t="str">
        <f ca="1">IFERROR(AA535*SUMPRODUCT(Items!A$242:A$254,Items!AQ$242:AQ$254)/SUM(Items!A$242:A$254),"")</f>
        <v/>
      </c>
    </row>
    <row r="536" spans="2:28" ht="17">
      <c r="B536" s="211" t="s">
        <v>1513</v>
      </c>
      <c r="C536" s="212" t="s">
        <v>343</v>
      </c>
      <c r="D536" s="212" t="s">
        <v>343</v>
      </c>
      <c r="F536" s="107" t="str">
        <f t="shared" si="19"/>
        <v>U-T</v>
      </c>
      <c r="W536" s="214" t="str">
        <f t="shared" ca="1" si="20"/>
        <v/>
      </c>
      <c r="X536" s="214">
        <v>35</v>
      </c>
      <c r="Y536" s="214" t="str">
        <f t="shared" si="21"/>
        <v/>
      </c>
      <c r="Z536" s="314" t="str" cm="1">
        <f t="array" aca="1" ref="Z536" ca="1">IFERROR(LEFT(Y536, MATCH(FALSE, ISNUMBER(MID(Y536, ROW(INDIRECT("1:"&amp;LEN(Y536)+1)), 1) *1), 0) -1),"")</f>
        <v/>
      </c>
      <c r="AA536" s="214" t="str">
        <f t="shared" ca="1" si="22"/>
        <v/>
      </c>
      <c r="AB536" s="214" t="str">
        <f ca="1">IFERROR(AA536*SUMPRODUCT(Items!A$242:A$254,Items!AQ$242:AQ$254)/SUM(Items!A$242:A$254),"")</f>
        <v/>
      </c>
    </row>
    <row r="537" spans="2:28" ht="17">
      <c r="B537" s="211" t="s">
        <v>1514</v>
      </c>
      <c r="C537" s="212" t="s">
        <v>217</v>
      </c>
      <c r="D537" s="212" t="s">
        <v>217</v>
      </c>
      <c r="E537" s="215" t="s">
        <v>1515</v>
      </c>
      <c r="F537" s="107" t="str">
        <f t="shared" si="19"/>
        <v>NNJ</v>
      </c>
      <c r="W537" s="214" t="str">
        <f t="shared" ca="1" si="20"/>
        <v/>
      </c>
      <c r="X537" s="214">
        <v>36</v>
      </c>
      <c r="Y537" s="214" t="str">
        <f t="shared" si="21"/>
        <v/>
      </c>
      <c r="Z537" s="314" t="str" cm="1">
        <f t="array" aca="1" ref="Z537" ca="1">IFERROR(LEFT(Y537, MATCH(FALSE, ISNUMBER(MID(Y537, ROW(INDIRECT("1:"&amp;LEN(Y537)+1)), 1) *1), 0) -1),"")</f>
        <v/>
      </c>
      <c r="AA537" s="214" t="str">
        <f t="shared" ca="1" si="22"/>
        <v/>
      </c>
      <c r="AB537" s="214" t="str">
        <f ca="1">IFERROR(AA537*SUMPRODUCT(Items!A$242:A$254,Items!AQ$242:AQ$254)/SUM(Items!A$242:A$254),"")</f>
        <v/>
      </c>
    </row>
    <row r="538" spans="2:28" ht="17">
      <c r="B538" s="211" t="s">
        <v>1516</v>
      </c>
      <c r="C538" s="212" t="s">
        <v>70</v>
      </c>
      <c r="D538" s="212" t="s">
        <v>217</v>
      </c>
      <c r="E538" s="215" t="s">
        <v>1517</v>
      </c>
      <c r="F538" s="107" t="str">
        <f t="shared" si="19"/>
        <v>ME</v>
      </c>
      <c r="W538" s="214" t="str">
        <f t="shared" ca="1" si="20"/>
        <v/>
      </c>
      <c r="X538" s="214">
        <v>37</v>
      </c>
      <c r="Y538" s="214" t="str">
        <f t="shared" si="21"/>
        <v/>
      </c>
      <c r="Z538" s="314" t="str" cm="1">
        <f t="array" aca="1" ref="Z538" ca="1">IFERROR(LEFT(Y538, MATCH(FALSE, ISNUMBER(MID(Y538, ROW(INDIRECT("1:"&amp;LEN(Y538)+1)), 1) *1), 0) -1),"")</f>
        <v/>
      </c>
      <c r="AA538" s="214" t="str">
        <f t="shared" ca="1" si="22"/>
        <v/>
      </c>
      <c r="AB538" s="214" t="str">
        <f ca="1">IFERROR(AA538*SUMPRODUCT(Items!A$242:A$254,Items!AQ$242:AQ$254)/SUM(Items!A$242:A$254),"")</f>
        <v/>
      </c>
    </row>
    <row r="539" spans="2:28" ht="17">
      <c r="B539" s="211" t="s">
        <v>1518</v>
      </c>
      <c r="C539" s="212" t="s">
        <v>217</v>
      </c>
      <c r="D539" s="212" t="s">
        <v>217</v>
      </c>
      <c r="F539" s="107" t="str">
        <f t="shared" si="19"/>
        <v>ML</v>
      </c>
      <c r="G539" s="213" t="s">
        <v>1519</v>
      </c>
      <c r="W539" s="214" t="str">
        <f t="shared" ca="1" si="20"/>
        <v/>
      </c>
      <c r="X539" s="214">
        <v>38</v>
      </c>
      <c r="Y539" s="214" t="str">
        <f t="shared" si="21"/>
        <v/>
      </c>
      <c r="Z539" s="314" t="str" cm="1">
        <f t="array" aca="1" ref="Z539" ca="1">IFERROR(LEFT(Y539, MATCH(FALSE, ISNUMBER(MID(Y539, ROW(INDIRECT("1:"&amp;LEN(Y539)+1)), 1) *1), 0) -1),"")</f>
        <v/>
      </c>
      <c r="AA539" s="214" t="str">
        <f t="shared" ca="1" si="22"/>
        <v/>
      </c>
      <c r="AB539" s="214" t="str">
        <f ca="1">IFERROR(AA539*SUMPRODUCT(Items!A$242:A$254,Items!AQ$242:AQ$254)/SUM(Items!A$242:A$254),"")</f>
        <v/>
      </c>
    </row>
    <row r="540" spans="2:28" ht="17">
      <c r="B540" s="211" t="s">
        <v>1520</v>
      </c>
      <c r="C540" s="212" t="s">
        <v>217</v>
      </c>
      <c r="D540" s="212" t="s">
        <v>217</v>
      </c>
      <c r="E540" s="215" t="s">
        <v>1522</v>
      </c>
      <c r="F540" s="107" t="str">
        <f t="shared" si="19"/>
        <v>TP</v>
      </c>
      <c r="G540" s="222" t="s">
        <v>1521</v>
      </c>
      <c r="W540" s="214" t="str">
        <f t="shared" ca="1" si="20"/>
        <v/>
      </c>
      <c r="X540" s="214">
        <v>39</v>
      </c>
      <c r="Y540" s="214" t="str">
        <f t="shared" si="21"/>
        <v/>
      </c>
      <c r="Z540" s="314" t="str" cm="1">
        <f t="array" aca="1" ref="Z540" ca="1">IFERROR(LEFT(Y540, MATCH(FALSE, ISNUMBER(MID(Y540, ROW(INDIRECT("1:"&amp;LEN(Y540)+1)), 1) *1), 0) -1),"")</f>
        <v/>
      </c>
      <c r="AA540" s="214" t="str">
        <f t="shared" ca="1" si="22"/>
        <v/>
      </c>
      <c r="AB540" s="214" t="str">
        <f ca="1">IFERROR(AA540*SUMPRODUCT(Items!A$242:A$254,Items!AQ$242:AQ$254)/SUM(Items!A$242:A$254),"")</f>
        <v/>
      </c>
    </row>
    <row r="541" spans="2:28" ht="17">
      <c r="B541" s="211" t="s">
        <v>630</v>
      </c>
      <c r="C541" s="212" t="s">
        <v>961</v>
      </c>
      <c r="D541" s="212" t="s">
        <v>961</v>
      </c>
      <c r="E541" s="215" t="s">
        <v>1523</v>
      </c>
      <c r="F541" s="107" t="str">
        <f t="shared" si="19"/>
        <v>S</v>
      </c>
      <c r="W541" s="214" t="str">
        <f t="shared" ca="1" si="20"/>
        <v/>
      </c>
      <c r="X541" s="214">
        <v>40</v>
      </c>
      <c r="Y541" s="214" t="str">
        <f t="shared" si="21"/>
        <v/>
      </c>
      <c r="Z541" s="314" t="str" cm="1">
        <f t="array" aca="1" ref="Z541" ca="1">IFERROR(LEFT(Y541, MATCH(FALSE, ISNUMBER(MID(Y541, ROW(INDIRECT("1:"&amp;LEN(Y541)+1)), 1) *1), 0) -1),"")</f>
        <v/>
      </c>
      <c r="AA541" s="214" t="str">
        <f t="shared" ca="1" si="22"/>
        <v/>
      </c>
      <c r="AB541" s="214" t="str">
        <f ca="1">IFERROR(AA541*SUMPRODUCT(Items!A$242:A$254,Items!AQ$242:AQ$254)/SUM(Items!A$242:A$254),"")</f>
        <v/>
      </c>
    </row>
    <row r="542" spans="2:28" ht="17">
      <c r="B542" s="211" t="s">
        <v>1524</v>
      </c>
      <c r="C542" s="212" t="s">
        <v>1525</v>
      </c>
      <c r="D542" s="212" t="s">
        <v>36</v>
      </c>
      <c r="F542" s="107" t="str">
        <f t="shared" si="19"/>
        <v>PC</v>
      </c>
      <c r="W542" s="214" t="str">
        <f t="shared" ca="1" si="20"/>
        <v/>
      </c>
      <c r="X542" s="214">
        <v>41</v>
      </c>
      <c r="Y542" s="214" t="str">
        <f t="shared" si="21"/>
        <v/>
      </c>
      <c r="Z542" s="314" t="str" cm="1">
        <f t="array" aca="1" ref="Z542" ca="1">IFERROR(LEFT(Y542, MATCH(FALSE, ISNUMBER(MID(Y542, ROW(INDIRECT("1:"&amp;LEN(Y542)+1)), 1) *1), 0) -1),"")</f>
        <v/>
      </c>
      <c r="AA542" s="214" t="str">
        <f t="shared" ca="1" si="22"/>
        <v/>
      </c>
      <c r="AB542" s="214" t="str">
        <f ca="1">IFERROR(AA542*SUMPRODUCT(Items!A$242:A$254,Items!AQ$242:AQ$254)/SUM(Items!A$242:A$254),"")</f>
        <v/>
      </c>
    </row>
    <row r="543" spans="2:28" ht="17">
      <c r="B543" s="211" t="s">
        <v>1531</v>
      </c>
      <c r="C543" s="212" t="s">
        <v>1532</v>
      </c>
      <c r="D543" s="212" t="s">
        <v>36</v>
      </c>
      <c r="F543" s="107" t="str">
        <f t="shared" si="19"/>
        <v>MMF</v>
      </c>
      <c r="W543" s="214" t="str">
        <f t="shared" ca="1" si="20"/>
        <v/>
      </c>
      <c r="X543" s="214">
        <v>42</v>
      </c>
      <c r="Y543" s="214" t="str">
        <f t="shared" si="21"/>
        <v/>
      </c>
      <c r="Z543" s="314" t="str" cm="1">
        <f t="array" aca="1" ref="Z543" ca="1">IFERROR(LEFT(Y543, MATCH(FALSE, ISNUMBER(MID(Y543, ROW(INDIRECT("1:"&amp;LEN(Y543)+1)), 1) *1), 0) -1),"")</f>
        <v/>
      </c>
      <c r="AA543" s="214" t="str">
        <f t="shared" ca="1" si="22"/>
        <v/>
      </c>
      <c r="AB543" s="214" t="str">
        <f ca="1">IFERROR(AA543*SUMPRODUCT(Items!A$242:A$254,Items!AQ$242:AQ$254)/SUM(Items!A$242:A$254),"")</f>
        <v/>
      </c>
    </row>
    <row r="544" spans="2:28" ht="17">
      <c r="B544" s="211" t="s">
        <v>1533</v>
      </c>
      <c r="C544" s="212" t="s">
        <v>220</v>
      </c>
      <c r="D544" s="212" t="s">
        <v>217</v>
      </c>
      <c r="E544" s="215" t="s">
        <v>1535</v>
      </c>
      <c r="F544" s="107" t="str">
        <f t="shared" si="19"/>
        <v>AE</v>
      </c>
      <c r="G544" s="213" t="s">
        <v>1534</v>
      </c>
      <c r="W544" s="214" t="str">
        <f t="shared" ca="1" si="20"/>
        <v/>
      </c>
      <c r="X544" s="214">
        <v>43</v>
      </c>
      <c r="Y544" s="214" t="str">
        <f t="shared" si="21"/>
        <v/>
      </c>
      <c r="Z544" s="314" t="str" cm="1">
        <f t="array" aca="1" ref="Z544" ca="1">IFERROR(LEFT(Y544, MATCH(FALSE, ISNUMBER(MID(Y544, ROW(INDIRECT("1:"&amp;LEN(Y544)+1)), 1) *1), 0) -1),"")</f>
        <v/>
      </c>
      <c r="AA544" s="214" t="str">
        <f t="shared" ca="1" si="22"/>
        <v/>
      </c>
      <c r="AB544" s="214" t="str">
        <f ca="1">IFERROR(AA544*SUMPRODUCT(Items!A$242:A$254,Items!AQ$242:AQ$254)/SUM(Items!A$242:A$254),"")</f>
        <v/>
      </c>
    </row>
    <row r="545" spans="2:28" ht="17">
      <c r="B545" s="211" t="s">
        <v>1536</v>
      </c>
      <c r="C545" s="212" t="s">
        <v>1537</v>
      </c>
      <c r="D545" s="212" t="s">
        <v>217</v>
      </c>
      <c r="E545" s="215" t="s">
        <v>1538</v>
      </c>
      <c r="F545" s="107" t="str">
        <f t="shared" si="19"/>
        <v>ES</v>
      </c>
      <c r="W545" s="214" t="str">
        <f t="shared" ca="1" si="20"/>
        <v/>
      </c>
      <c r="X545" s="214">
        <v>44</v>
      </c>
      <c r="Y545" s="214" t="str">
        <f t="shared" si="21"/>
        <v/>
      </c>
      <c r="Z545" s="314" t="str" cm="1">
        <f t="array" aca="1" ref="Z545" ca="1">IFERROR(LEFT(Y545, MATCH(FALSE, ISNUMBER(MID(Y545, ROW(INDIRECT("1:"&amp;LEN(Y545)+1)), 1) *1), 0) -1),"")</f>
        <v/>
      </c>
      <c r="AA545" s="214" t="str">
        <f t="shared" ca="1" si="22"/>
        <v/>
      </c>
      <c r="AB545" s="214" t="str">
        <f ca="1">IFERROR(AA545*SUMPRODUCT(Items!A$242:A$254,Items!AQ$242:AQ$254)/SUM(Items!A$242:A$254),"")</f>
        <v/>
      </c>
    </row>
    <row r="546" spans="2:28" ht="17">
      <c r="B546" s="211" t="s">
        <v>1541</v>
      </c>
      <c r="C546" s="212" t="s">
        <v>217</v>
      </c>
      <c r="D546" s="212" t="s">
        <v>217</v>
      </c>
      <c r="E546" s="215" t="s">
        <v>1542</v>
      </c>
      <c r="F546" s="107" t="str">
        <f t="shared" si="19"/>
        <v>NK</v>
      </c>
      <c r="W546" s="214" t="str">
        <f t="shared" ca="1" si="20"/>
        <v/>
      </c>
      <c r="X546" s="214">
        <v>45</v>
      </c>
      <c r="Y546" s="214" t="str">
        <f t="shared" si="21"/>
        <v/>
      </c>
      <c r="Z546" s="314" t="str" cm="1">
        <f t="array" aca="1" ref="Z546" ca="1">IFERROR(LEFT(Y546, MATCH(FALSE, ISNUMBER(MID(Y546, ROW(INDIRECT("1:"&amp;LEN(Y546)+1)), 1) *1), 0) -1),"")</f>
        <v/>
      </c>
      <c r="AA546" s="214" t="str">
        <f t="shared" ca="1" si="22"/>
        <v/>
      </c>
      <c r="AB546" s="214" t="str">
        <f ca="1">IFERROR(AA546*SUMPRODUCT(Items!A$242:A$254,Items!AQ$242:AQ$254)/SUM(Items!A$242:A$254),"")</f>
        <v/>
      </c>
    </row>
    <row r="547" spans="2:28" ht="17">
      <c r="B547" s="211" t="s">
        <v>1543</v>
      </c>
      <c r="C547" s="212" t="s">
        <v>183</v>
      </c>
      <c r="D547" s="212" t="s">
        <v>217</v>
      </c>
      <c r="E547" s="215" t="s">
        <v>1544</v>
      </c>
      <c r="F547" s="107" t="str">
        <f t="shared" si="19"/>
        <v>S</v>
      </c>
      <c r="W547" s="214" t="str">
        <f t="shared" ca="1" si="20"/>
        <v/>
      </c>
      <c r="X547" s="214">
        <v>46</v>
      </c>
      <c r="Y547" s="214" t="str">
        <f t="shared" si="21"/>
        <v/>
      </c>
      <c r="Z547" s="314" t="str" cm="1">
        <f t="array" aca="1" ref="Z547" ca="1">IFERROR(LEFT(Y547, MATCH(FALSE, ISNUMBER(MID(Y547, ROW(INDIRECT("1:"&amp;LEN(Y547)+1)), 1) *1), 0) -1),"")</f>
        <v/>
      </c>
      <c r="AA547" s="214" t="str">
        <f t="shared" ca="1" si="22"/>
        <v/>
      </c>
      <c r="AB547" s="214" t="str">
        <f ca="1">IFERROR(AA547*SUMPRODUCT(Items!A$242:A$254,Items!AQ$242:AQ$254)/SUM(Items!A$242:A$254),"")</f>
        <v/>
      </c>
    </row>
    <row r="548" spans="2:28" ht="17">
      <c r="B548" s="211" t="s">
        <v>1545</v>
      </c>
      <c r="C548" s="212" t="s">
        <v>343</v>
      </c>
      <c r="D548" s="212" t="s">
        <v>343</v>
      </c>
      <c r="F548" s="107" t="str">
        <f t="shared" si="19"/>
        <v>D</v>
      </c>
      <c r="W548" s="214" t="str">
        <f t="shared" ca="1" si="20"/>
        <v/>
      </c>
      <c r="X548" s="214">
        <v>47</v>
      </c>
      <c r="Y548" s="214" t="str">
        <f t="shared" si="21"/>
        <v/>
      </c>
      <c r="Z548" s="314" t="str" cm="1">
        <f t="array" aca="1" ref="Z548" ca="1">IFERROR(LEFT(Y548, MATCH(FALSE, ISNUMBER(MID(Y548, ROW(INDIRECT("1:"&amp;LEN(Y548)+1)), 1) *1), 0) -1),"")</f>
        <v/>
      </c>
      <c r="AA548" s="214" t="str">
        <f t="shared" ca="1" si="22"/>
        <v/>
      </c>
      <c r="AB548" s="214" t="str">
        <f ca="1">IFERROR(AA548*SUMPRODUCT(Items!A$242:A$254,Items!AQ$242:AQ$254)/SUM(Items!A$242:A$254),"")</f>
        <v/>
      </c>
    </row>
    <row r="549" spans="2:28" ht="17">
      <c r="B549" s="211" t="s">
        <v>1548</v>
      </c>
      <c r="C549" s="212" t="s">
        <v>33</v>
      </c>
      <c r="D549" s="212" t="s">
        <v>217</v>
      </c>
      <c r="F549" s="107" t="str">
        <f t="shared" si="19"/>
        <v>NS</v>
      </c>
      <c r="W549" s="214" t="str">
        <f t="shared" ca="1" si="20"/>
        <v/>
      </c>
      <c r="X549" s="214">
        <v>48</v>
      </c>
      <c r="Y549" s="214" t="str">
        <f t="shared" si="21"/>
        <v/>
      </c>
      <c r="Z549" s="314" t="str" cm="1">
        <f t="array" aca="1" ref="Z549" ca="1">IFERROR(LEFT(Y549, MATCH(FALSE, ISNUMBER(MID(Y549, ROW(INDIRECT("1:"&amp;LEN(Y549)+1)), 1) *1), 0) -1),"")</f>
        <v/>
      </c>
      <c r="AA549" s="214" t="str">
        <f t="shared" ca="1" si="22"/>
        <v/>
      </c>
      <c r="AB549" s="214" t="str">
        <f ca="1">IFERROR(AA549*SUMPRODUCT(Items!A$242:A$254,Items!AQ$242:AQ$254)/SUM(Items!A$242:A$254),"")</f>
        <v/>
      </c>
    </row>
    <row r="550" spans="2:28" ht="17">
      <c r="B550" s="211" t="s">
        <v>1552</v>
      </c>
      <c r="C550" s="212" t="s">
        <v>217</v>
      </c>
      <c r="D550" s="212" t="s">
        <v>217</v>
      </c>
      <c r="E550" s="215" t="s">
        <v>1551</v>
      </c>
      <c r="F550" s="107" t="str">
        <f t="shared" si="19"/>
        <v>N</v>
      </c>
      <c r="W550" s="214" t="str">
        <f t="shared" ca="1" si="20"/>
        <v/>
      </c>
      <c r="X550" s="214">
        <v>49</v>
      </c>
      <c r="Y550" s="214" t="str">
        <f t="shared" si="21"/>
        <v/>
      </c>
      <c r="Z550" s="314" t="str" cm="1">
        <f t="array" aca="1" ref="Z550" ca="1">IFERROR(LEFT(Y550, MATCH(FALSE, ISNUMBER(MID(Y550, ROW(INDIRECT("1:"&amp;LEN(Y550)+1)), 1) *1), 0) -1),"")</f>
        <v/>
      </c>
      <c r="AA550" s="214" t="str">
        <f t="shared" ca="1" si="22"/>
        <v/>
      </c>
      <c r="AB550" s="214" t="str">
        <f ca="1">IFERROR(AA550*SUMPRODUCT(Items!A$242:A$254,Items!AQ$242:AQ$254)/SUM(Items!A$242:A$254),"")</f>
        <v/>
      </c>
    </row>
    <row r="551" spans="2:28" ht="17">
      <c r="B551" s="211" t="s">
        <v>1553</v>
      </c>
      <c r="C551" s="212" t="s">
        <v>217</v>
      </c>
      <c r="D551" s="212" t="s">
        <v>217</v>
      </c>
      <c r="E551" s="215" t="s">
        <v>1096</v>
      </c>
      <c r="F551" s="107" t="str">
        <f t="shared" si="19"/>
        <v>BA</v>
      </c>
      <c r="W551" s="214" t="str">
        <f t="shared" ca="1" si="20"/>
        <v/>
      </c>
      <c r="X551" s="214">
        <v>50</v>
      </c>
      <c r="Y551" s="214" t="str">
        <f t="shared" si="21"/>
        <v/>
      </c>
      <c r="Z551" s="314" t="str" cm="1">
        <f t="array" aca="1" ref="Z551" ca="1">IFERROR(LEFT(Y551, MATCH(FALSE, ISNUMBER(MID(Y551, ROW(INDIRECT("1:"&amp;LEN(Y551)+1)), 1) *1), 0) -1),"")</f>
        <v/>
      </c>
      <c r="AA551" s="214" t="str">
        <f t="shared" ca="1" si="22"/>
        <v/>
      </c>
      <c r="AB551" s="214" t="str">
        <f ca="1">IFERROR(AA551*SUMPRODUCT(Items!A$242:A$254,Items!AQ$242:AQ$254)/SUM(Items!A$242:A$254),"")</f>
        <v/>
      </c>
    </row>
    <row r="552" spans="2:28" ht="17">
      <c r="B552" s="211" t="s">
        <v>1555</v>
      </c>
      <c r="C552" s="212" t="s">
        <v>52</v>
      </c>
      <c r="D552" s="212" t="s">
        <v>52</v>
      </c>
      <c r="E552" s="215" t="s">
        <v>1556</v>
      </c>
      <c r="F552" s="107" t="str">
        <f t="shared" si="19"/>
        <v>ASAL</v>
      </c>
      <c r="G552" s="213" t="s">
        <v>1557</v>
      </c>
      <c r="W552" s="214" t="str">
        <f t="shared" ca="1" si="20"/>
        <v/>
      </c>
      <c r="X552" s="214">
        <v>51</v>
      </c>
      <c r="Y552" s="214" t="str">
        <f t="shared" si="21"/>
        <v/>
      </c>
      <c r="Z552" s="314" t="str" cm="1">
        <f t="array" aca="1" ref="Z552" ca="1">IFERROR(LEFT(Y552, MATCH(FALSE, ISNUMBER(MID(Y552, ROW(INDIRECT("1:"&amp;LEN(Y552)+1)), 1) *1), 0) -1),"")</f>
        <v/>
      </c>
      <c r="AA552" s="214" t="str">
        <f t="shared" ca="1" si="22"/>
        <v/>
      </c>
      <c r="AB552" s="214" t="str">
        <f ca="1">IFERROR(AA552*SUMPRODUCT(Items!A$242:A$254,Items!AQ$242:AQ$254)/SUM(Items!A$242:A$254),"")</f>
        <v/>
      </c>
    </row>
    <row r="553" spans="2:28" ht="17">
      <c r="B553" s="211" t="s">
        <v>1558</v>
      </c>
      <c r="C553" s="212" t="s">
        <v>217</v>
      </c>
      <c r="D553" s="212" t="s">
        <v>217</v>
      </c>
      <c r="E553" s="215" t="s">
        <v>1559</v>
      </c>
      <c r="F553" s="107" t="str">
        <f t="shared" si="19"/>
        <v>RA</v>
      </c>
      <c r="W553" s="214" t="str">
        <f t="shared" ca="1" si="20"/>
        <v/>
      </c>
      <c r="X553" s="214">
        <v>52</v>
      </c>
      <c r="Y553" s="214" t="str">
        <f t="shared" si="21"/>
        <v/>
      </c>
      <c r="Z553" s="314" t="str" cm="1">
        <f t="array" aca="1" ref="Z553" ca="1">IFERROR(LEFT(Y553, MATCH(FALSE, ISNUMBER(MID(Y553, ROW(INDIRECT("1:"&amp;LEN(Y553)+1)), 1) *1), 0) -1),"")</f>
        <v/>
      </c>
      <c r="AA553" s="214" t="str">
        <f t="shared" ca="1" si="22"/>
        <v/>
      </c>
      <c r="AB553" s="214" t="str">
        <f ca="1">IFERROR(AA553*SUMPRODUCT(Items!A$242:A$254,Items!AQ$242:AQ$254)/SUM(Items!A$242:A$254),"")</f>
        <v/>
      </c>
    </row>
    <row r="554" spans="2:28" ht="34">
      <c r="B554" s="211" t="s">
        <v>1561</v>
      </c>
      <c r="C554" s="212" t="s">
        <v>567</v>
      </c>
      <c r="D554" s="212" t="s">
        <v>217</v>
      </c>
      <c r="E554" s="215" t="s">
        <v>1562</v>
      </c>
      <c r="F554" s="107" t="str">
        <f t="shared" si="19"/>
        <v>CHUC</v>
      </c>
      <c r="W554" s="214" t="str">
        <f t="shared" ca="1" si="20"/>
        <v/>
      </c>
      <c r="X554" s="214">
        <v>53</v>
      </c>
      <c r="Y554" s="214" t="str">
        <f t="shared" si="21"/>
        <v/>
      </c>
      <c r="Z554" s="314" t="str" cm="1">
        <f t="array" aca="1" ref="Z554" ca="1">IFERROR(LEFT(Y554, MATCH(FALSE, ISNUMBER(MID(Y554, ROW(INDIRECT("1:"&amp;LEN(Y554)+1)), 1) *1), 0) -1),"")</f>
        <v/>
      </c>
      <c r="AA554" s="214" t="str">
        <f t="shared" ca="1" si="22"/>
        <v/>
      </c>
      <c r="AB554" s="214" t="str">
        <f ca="1">IFERROR(AA554*SUMPRODUCT(Items!A$242:A$254,Items!AQ$242:AQ$254)/SUM(Items!A$242:A$254),"")</f>
        <v/>
      </c>
    </row>
    <row r="555" spans="2:28" ht="17">
      <c r="B555" s="211" t="s">
        <v>1571</v>
      </c>
      <c r="C555" s="212" t="s">
        <v>353</v>
      </c>
      <c r="D555" s="212" t="s">
        <v>217</v>
      </c>
      <c r="E555" s="215" t="s">
        <v>1572</v>
      </c>
      <c r="F555" s="107" t="str">
        <f t="shared" si="19"/>
        <v>NB</v>
      </c>
      <c r="W555" s="214" t="str">
        <f t="shared" ca="1" si="20"/>
        <v/>
      </c>
      <c r="X555" s="214">
        <v>54</v>
      </c>
      <c r="Y555" s="214" t="str">
        <f t="shared" si="21"/>
        <v/>
      </c>
      <c r="Z555" s="314" t="str" cm="1">
        <f t="array" aca="1" ref="Z555" ca="1">IFERROR(LEFT(Y555, MATCH(FALSE, ISNUMBER(MID(Y555, ROW(INDIRECT("1:"&amp;LEN(Y555)+1)), 1) *1), 0) -1),"")</f>
        <v/>
      </c>
      <c r="AA555" s="214" t="str">
        <f t="shared" ca="1" si="22"/>
        <v/>
      </c>
      <c r="AB555" s="214" t="str">
        <f ca="1">IFERROR(AA555*SUMPRODUCT(Items!A$242:A$254,Items!AQ$242:AQ$254)/SUM(Items!A$242:A$254),"")</f>
        <v/>
      </c>
    </row>
    <row r="556" spans="2:28" ht="17">
      <c r="B556" s="211" t="s">
        <v>1573</v>
      </c>
      <c r="C556" s="212" t="s">
        <v>217</v>
      </c>
      <c r="D556" s="212" t="s">
        <v>217</v>
      </c>
      <c r="E556" s="215" t="s">
        <v>1574</v>
      </c>
      <c r="F556" s="107" t="str">
        <f t="shared" si="19"/>
        <v>R</v>
      </c>
      <c r="W556" s="214" t="str">
        <f t="shared" ca="1" si="20"/>
        <v/>
      </c>
      <c r="X556" s="214">
        <v>55</v>
      </c>
      <c r="Y556" s="214" t="str">
        <f t="shared" si="21"/>
        <v/>
      </c>
      <c r="Z556" s="314" t="str" cm="1">
        <f t="array" aca="1" ref="Z556" ca="1">IFERROR(LEFT(Y556, MATCH(FALSE, ISNUMBER(MID(Y556, ROW(INDIRECT("1:"&amp;LEN(Y556)+1)), 1) *1), 0) -1),"")</f>
        <v/>
      </c>
      <c r="AA556" s="214" t="str">
        <f t="shared" ca="1" si="22"/>
        <v/>
      </c>
      <c r="AB556" s="214" t="str">
        <f ca="1">IFERROR(AA556*SUMPRODUCT(Items!A$242:A$254,Items!AQ$242:AQ$254)/SUM(Items!A$242:A$254),"")</f>
        <v/>
      </c>
    </row>
    <row r="557" spans="2:28" ht="17">
      <c r="B557" s="211" t="s">
        <v>1575</v>
      </c>
      <c r="C557" s="212" t="s">
        <v>33</v>
      </c>
      <c r="D557" s="212" t="s">
        <v>217</v>
      </c>
      <c r="F557" s="107" t="str">
        <f t="shared" si="19"/>
        <v>DG</v>
      </c>
      <c r="W557" s="214" t="str">
        <f t="shared" ca="1" si="20"/>
        <v/>
      </c>
      <c r="X557" s="214">
        <v>56</v>
      </c>
      <c r="Y557" s="214" t="str">
        <f t="shared" si="21"/>
        <v/>
      </c>
      <c r="Z557" s="314" t="str" cm="1">
        <f t="array" aca="1" ref="Z557" ca="1">IFERROR(LEFT(Y557, MATCH(FALSE, ISNUMBER(MID(Y557, ROW(INDIRECT("1:"&amp;LEN(Y557)+1)), 1) *1), 0) -1),"")</f>
        <v/>
      </c>
      <c r="AA557" s="214" t="str">
        <f t="shared" ca="1" si="22"/>
        <v/>
      </c>
      <c r="AB557" s="214" t="str">
        <f ca="1">IFERROR(AA557*SUMPRODUCT(Items!A$242:A$254,Items!AQ$242:AQ$254)/SUM(Items!A$242:A$254),"")</f>
        <v/>
      </c>
    </row>
    <row r="558" spans="2:28" ht="17">
      <c r="B558" s="211" t="s">
        <v>1356</v>
      </c>
      <c r="C558" s="212" t="s">
        <v>296</v>
      </c>
      <c r="D558" s="212" t="s">
        <v>296</v>
      </c>
      <c r="E558" s="215" t="s">
        <v>310</v>
      </c>
      <c r="F558" s="107" t="str">
        <f t="shared" si="19"/>
        <v>CQ</v>
      </c>
      <c r="W558" s="214" t="str">
        <f t="shared" ca="1" si="20"/>
        <v/>
      </c>
      <c r="X558" s="214">
        <v>57</v>
      </c>
      <c r="Y558" s="214" t="str">
        <f t="shared" si="21"/>
        <v/>
      </c>
      <c r="Z558" s="314" t="str" cm="1">
        <f t="array" aca="1" ref="Z558" ca="1">IFERROR(LEFT(Y558, MATCH(FALSE, ISNUMBER(MID(Y558, ROW(INDIRECT("1:"&amp;LEN(Y558)+1)), 1) *1), 0) -1),"")</f>
        <v/>
      </c>
      <c r="AA558" s="214" t="str">
        <f t="shared" ca="1" si="22"/>
        <v/>
      </c>
      <c r="AB558" s="214" t="str">
        <f ca="1">IFERROR(AA558*SUMPRODUCT(Items!A$242:A$254,Items!AQ$242:AQ$254)/SUM(Items!A$242:A$254),"")</f>
        <v/>
      </c>
    </row>
    <row r="559" spans="2:28" ht="17">
      <c r="B559" s="211" t="s">
        <v>1635</v>
      </c>
      <c r="C559" s="212" t="s">
        <v>193</v>
      </c>
      <c r="D559" s="212" t="s">
        <v>217</v>
      </c>
      <c r="E559" s="215" t="s">
        <v>1578</v>
      </c>
      <c r="F559" s="107" t="str">
        <f t="shared" si="19"/>
        <v>ODC</v>
      </c>
      <c r="G559" s="213" t="s">
        <v>1577</v>
      </c>
      <c r="W559" s="214" t="str">
        <f t="shared" ca="1" si="20"/>
        <v/>
      </c>
      <c r="X559" s="214">
        <v>58</v>
      </c>
      <c r="Y559" s="214" t="str">
        <f t="shared" si="21"/>
        <v/>
      </c>
      <c r="Z559" s="314" t="str" cm="1">
        <f t="array" aca="1" ref="Z559" ca="1">IFERROR(LEFT(Y559, MATCH(FALSE, ISNUMBER(MID(Y559, ROW(INDIRECT("1:"&amp;LEN(Y559)+1)), 1) *1), 0) -1),"")</f>
        <v/>
      </c>
      <c r="AA559" s="214" t="str">
        <f t="shared" ca="1" si="22"/>
        <v/>
      </c>
      <c r="AB559" s="214" t="str">
        <f ca="1">IFERROR(AA559*SUMPRODUCT(Items!A$242:A$254,Items!AQ$242:AQ$254)/SUM(Items!A$242:A$254),"")</f>
        <v/>
      </c>
    </row>
    <row r="560" spans="2:28" ht="17">
      <c r="B560" s="211" t="s">
        <v>2442</v>
      </c>
      <c r="C560" s="212" t="s">
        <v>1580</v>
      </c>
      <c r="D560" s="212" t="s">
        <v>36</v>
      </c>
      <c r="E560" s="215" t="s">
        <v>1581</v>
      </c>
      <c r="F560" s="107" t="str">
        <f t="shared" si="19"/>
        <v>F-T</v>
      </c>
      <c r="W560" s="214" t="str">
        <f t="shared" ca="1" si="20"/>
        <v/>
      </c>
      <c r="X560" s="214">
        <v>59</v>
      </c>
      <c r="Y560" s="214" t="str">
        <f t="shared" si="21"/>
        <v/>
      </c>
      <c r="Z560" s="314" t="str" cm="1">
        <f t="array" aca="1" ref="Z560" ca="1">IFERROR(LEFT(Y560, MATCH(FALSE, ISNUMBER(MID(Y560, ROW(INDIRECT("1:"&amp;LEN(Y560)+1)), 1) *1), 0) -1),"")</f>
        <v/>
      </c>
      <c r="AA560" s="214" t="str">
        <f t="shared" ca="1" si="22"/>
        <v/>
      </c>
      <c r="AB560" s="214" t="str">
        <f ca="1">IFERROR(AA560*SUMPRODUCT(Items!A$242:A$254,Items!AQ$242:AQ$254)/SUM(Items!A$242:A$254),"")</f>
        <v/>
      </c>
    </row>
    <row r="561" spans="2:28" ht="17">
      <c r="B561" s="211" t="s">
        <v>1585</v>
      </c>
      <c r="C561" s="212" t="s">
        <v>1583</v>
      </c>
      <c r="D561" s="212" t="s">
        <v>217</v>
      </c>
      <c r="E561" s="215" t="s">
        <v>1584</v>
      </c>
      <c r="F561" s="107" t="str">
        <f t="shared" si="19"/>
        <v>G</v>
      </c>
      <c r="W561" s="214" t="str">
        <f t="shared" ca="1" si="20"/>
        <v/>
      </c>
      <c r="X561" s="214">
        <v>60</v>
      </c>
      <c r="Y561" s="214" t="str">
        <f t="shared" si="21"/>
        <v/>
      </c>
      <c r="Z561" s="314" t="str" cm="1">
        <f t="array" aca="1" ref="Z561" ca="1">IFERROR(LEFT(Y561, MATCH(FALSE, ISNUMBER(MID(Y561, ROW(INDIRECT("1:"&amp;LEN(Y561)+1)), 1) *1), 0) -1),"")</f>
        <v/>
      </c>
      <c r="AA561" s="214" t="str">
        <f t="shared" ca="1" si="22"/>
        <v/>
      </c>
      <c r="AB561" s="214" t="str">
        <f ca="1">IFERROR(AA561*SUMPRODUCT(Items!A$242:A$254,Items!AQ$242:AQ$254)/SUM(Items!A$242:A$254),"")</f>
        <v/>
      </c>
    </row>
    <row r="562" spans="2:28" ht="17">
      <c r="B562" s="211" t="s">
        <v>1586</v>
      </c>
      <c r="C562" s="212" t="s">
        <v>94</v>
      </c>
      <c r="D562" s="212" t="s">
        <v>217</v>
      </c>
      <c r="E562" s="215" t="s">
        <v>1587</v>
      </c>
      <c r="F562" s="107" t="str">
        <f t="shared" si="19"/>
        <v>FF</v>
      </c>
      <c r="W562" s="214" t="str">
        <f t="shared" ca="1" si="20"/>
        <v/>
      </c>
      <c r="X562" s="214">
        <v>61</v>
      </c>
      <c r="Y562" s="214" t="str">
        <f t="shared" ref="Y562:Y601" si="23">IFERROR(IF(LEN(Y$501)-LEN(SUBSTITUTE(Y$501,X$501,""))&lt;=1,"",MID(SUBSTITUTE(Y$501,X$501,"^^",X562),FIND("^^",SUBSTITUTE(Y$501,X$501,"^^",X562))+2,LEN(Y$501))),"")</f>
        <v/>
      </c>
      <c r="Z562" s="314" t="str" cm="1">
        <f t="array" aca="1" ref="Z562" ca="1">IFERROR(LEFT(Y562, MATCH(FALSE, ISNUMBER(MID(Y562, ROW(INDIRECT("1:"&amp;LEN(Y562)+1)), 1) *1), 0) -1),"")</f>
        <v/>
      </c>
      <c r="AA562" s="214" t="str">
        <f t="shared" ref="AA562:AA601" ca="1" si="24">IFERROR(VALUE(Z562),"")</f>
        <v/>
      </c>
      <c r="AB562" s="214" t="str">
        <f ca="1">IFERROR(AA562*SUMPRODUCT(Items!A$242:A$254,Items!AQ$242:AQ$254)/SUM(Items!A$242:A$254),"")</f>
        <v/>
      </c>
    </row>
    <row r="563" spans="2:28" ht="17">
      <c r="B563" s="211" t="s">
        <v>1588</v>
      </c>
      <c r="C563" s="212" t="s">
        <v>47</v>
      </c>
      <c r="D563" s="212" t="s">
        <v>217</v>
      </c>
      <c r="F563" s="107" t="str">
        <f t="shared" si="19"/>
        <v>MS</v>
      </c>
      <c r="W563" s="214" t="str">
        <f t="shared" ca="1" si="20"/>
        <v/>
      </c>
      <c r="X563" s="214">
        <v>62</v>
      </c>
      <c r="Y563" s="214" t="str">
        <f t="shared" si="23"/>
        <v/>
      </c>
      <c r="Z563" s="314" t="str" cm="1">
        <f t="array" aca="1" ref="Z563" ca="1">IFERROR(LEFT(Y563, MATCH(FALSE, ISNUMBER(MID(Y563, ROW(INDIRECT("1:"&amp;LEN(Y563)+1)), 1) *1), 0) -1),"")</f>
        <v/>
      </c>
      <c r="AA563" s="214" t="str">
        <f t="shared" ca="1" si="24"/>
        <v/>
      </c>
      <c r="AB563" s="214" t="str">
        <f ca="1">IFERROR(AA563*SUMPRODUCT(Items!A$242:A$254,Items!AQ$242:AQ$254)/SUM(Items!A$242:A$254),"")</f>
        <v/>
      </c>
    </row>
    <row r="564" spans="2:28" ht="17">
      <c r="B564" s="211" t="s">
        <v>1712</v>
      </c>
      <c r="C564" s="212" t="s">
        <v>183</v>
      </c>
      <c r="D564" s="212" t="s">
        <v>217</v>
      </c>
      <c r="E564" s="215" t="s">
        <v>1709</v>
      </c>
      <c r="F564" s="107" t="str">
        <f t="shared" si="19"/>
        <v>NA-A</v>
      </c>
      <c r="W564" s="214" t="str">
        <f t="shared" ca="1" si="20"/>
        <v/>
      </c>
      <c r="X564" s="214">
        <v>63</v>
      </c>
      <c r="Y564" s="214" t="str">
        <f t="shared" si="23"/>
        <v/>
      </c>
      <c r="Z564" s="314" t="str" cm="1">
        <f t="array" aca="1" ref="Z564" ca="1">IFERROR(LEFT(Y564, MATCH(FALSE, ISNUMBER(MID(Y564, ROW(INDIRECT("1:"&amp;LEN(Y564)+1)), 1) *1), 0) -1),"")</f>
        <v/>
      </c>
      <c r="AA564" s="214" t="str">
        <f t="shared" ca="1" si="24"/>
        <v/>
      </c>
      <c r="AB564" s="214" t="str">
        <f ca="1">IFERROR(AA564*SUMPRODUCT(Items!A$242:A$254,Items!AQ$242:AQ$254)/SUM(Items!A$242:A$254),"")</f>
        <v/>
      </c>
    </row>
    <row r="565" spans="2:28" ht="34">
      <c r="B565" s="211" t="s">
        <v>1710</v>
      </c>
      <c r="C565" s="212" t="s">
        <v>1400</v>
      </c>
      <c r="D565" s="212" t="s">
        <v>217</v>
      </c>
      <c r="E565" s="215" t="s">
        <v>1593</v>
      </c>
      <c r="F565" s="107" t="str">
        <f t="shared" si="19"/>
        <v>NA-N</v>
      </c>
      <c r="W565" s="214" t="str">
        <f t="shared" ca="1" si="20"/>
        <v/>
      </c>
      <c r="X565" s="214">
        <v>64</v>
      </c>
      <c r="Y565" s="214" t="str">
        <f t="shared" si="23"/>
        <v/>
      </c>
      <c r="Z565" s="314" t="str" cm="1">
        <f t="array" aca="1" ref="Z565" ca="1">IFERROR(LEFT(Y565, MATCH(FALSE, ISNUMBER(MID(Y565, ROW(INDIRECT("1:"&amp;LEN(Y565)+1)), 1) *1), 0) -1),"")</f>
        <v/>
      </c>
      <c r="AA565" s="214" t="str">
        <f t="shared" ca="1" si="24"/>
        <v/>
      </c>
      <c r="AB565" s="214" t="str">
        <f ca="1">IFERROR(AA565*SUMPRODUCT(Items!A$242:A$254,Items!AQ$242:AQ$254)/SUM(Items!A$242:A$254),"")</f>
        <v/>
      </c>
    </row>
    <row r="566" spans="2:28" ht="17">
      <c r="B566" s="211" t="s">
        <v>1711</v>
      </c>
      <c r="C566" s="212" t="s">
        <v>397</v>
      </c>
      <c r="D566" s="212" t="s">
        <v>217</v>
      </c>
      <c r="E566" s="215" t="s">
        <v>1594</v>
      </c>
      <c r="F566" s="107" t="str">
        <f t="shared" si="19"/>
        <v>NA-O</v>
      </c>
      <c r="W566" s="214" t="str">
        <f t="shared" ca="1" si="20"/>
        <v/>
      </c>
      <c r="X566" s="214">
        <v>65</v>
      </c>
      <c r="Y566" s="214" t="str">
        <f t="shared" si="23"/>
        <v/>
      </c>
      <c r="Z566" s="314" t="str" cm="1">
        <f t="array" aca="1" ref="Z566" ca="1">IFERROR(LEFT(Y566, MATCH(FALSE, ISNUMBER(MID(Y566, ROW(INDIRECT("1:"&amp;LEN(Y566)+1)), 1) *1), 0) -1),"")</f>
        <v/>
      </c>
      <c r="AA566" s="214" t="str">
        <f t="shared" ca="1" si="24"/>
        <v/>
      </c>
      <c r="AB566" s="214" t="str">
        <f ca="1">IFERROR(AA566*SUMPRODUCT(Items!A$242:A$254,Items!AQ$242:AQ$254)/SUM(Items!A$242:A$254),"")</f>
        <v/>
      </c>
    </row>
    <row r="567" spans="2:28" ht="17">
      <c r="B567" s="211" t="s">
        <v>1597</v>
      </c>
      <c r="C567" s="212" t="s">
        <v>36</v>
      </c>
      <c r="D567" s="212" t="s">
        <v>36</v>
      </c>
      <c r="E567" s="215" t="s">
        <v>1595</v>
      </c>
      <c r="F567" s="107" t="str">
        <f t="shared" si="19"/>
        <v>SEL</v>
      </c>
      <c r="G567" s="213" t="s">
        <v>1596</v>
      </c>
      <c r="W567" s="214" t="str">
        <f t="shared" ca="1" si="20"/>
        <v/>
      </c>
      <c r="X567" s="214">
        <v>66</v>
      </c>
      <c r="Y567" s="214" t="str">
        <f t="shared" si="23"/>
        <v/>
      </c>
      <c r="Z567" s="314" t="str" cm="1">
        <f t="array" aca="1" ref="Z567" ca="1">IFERROR(LEFT(Y567, MATCH(FALSE, ISNUMBER(MID(Y567, ROW(INDIRECT("1:"&amp;LEN(Y567)+1)), 1) *1), 0) -1),"")</f>
        <v/>
      </c>
      <c r="AA567" s="214" t="str">
        <f t="shared" ca="1" si="24"/>
        <v/>
      </c>
      <c r="AB567" s="214" t="str">
        <f ca="1">IFERROR(AA567*SUMPRODUCT(Items!A$242:A$254,Items!AQ$242:AQ$254)/SUM(Items!A$242:A$254),"")</f>
        <v/>
      </c>
    </row>
    <row r="568" spans="2:28" ht="17">
      <c r="B568" s="219" t="s">
        <v>1940</v>
      </c>
      <c r="C568" s="220" t="s">
        <v>1941</v>
      </c>
      <c r="D568" s="220" t="s">
        <v>217</v>
      </c>
      <c r="E568" s="221" t="s">
        <v>1595</v>
      </c>
      <c r="F568" s="107" t="str">
        <f t="shared" si="19"/>
        <v>SEL-</v>
      </c>
      <c r="G568" s="223" t="s">
        <v>1596</v>
      </c>
      <c r="W568" s="214" t="str">
        <f t="shared" ca="1" si="20"/>
        <v/>
      </c>
      <c r="X568" s="214">
        <v>67</v>
      </c>
      <c r="Y568" s="214" t="str">
        <f t="shared" si="23"/>
        <v/>
      </c>
      <c r="Z568" s="314" t="str" cm="1">
        <f t="array" aca="1" ref="Z568" ca="1">IFERROR(LEFT(Y568, MATCH(FALSE, ISNUMBER(MID(Y568, ROW(INDIRECT("1:"&amp;LEN(Y568)+1)), 1) *1), 0) -1),"")</f>
        <v/>
      </c>
      <c r="AA568" s="214" t="str">
        <f t="shared" ca="1" si="24"/>
        <v/>
      </c>
      <c r="AB568" s="214" t="str">
        <f ca="1">IFERROR(AA568*SUMPRODUCT(Items!A$242:A$254,Items!AQ$242:AQ$254)/SUM(Items!A$242:A$254),"")</f>
        <v/>
      </c>
    </row>
    <row r="569" spans="2:28" ht="17">
      <c r="B569" s="211" t="s">
        <v>1599</v>
      </c>
      <c r="C569" s="212" t="s">
        <v>275</v>
      </c>
      <c r="D569" s="212" t="s">
        <v>36</v>
      </c>
      <c r="E569" s="215" t="s">
        <v>1600</v>
      </c>
      <c r="F569" s="107" t="str">
        <f t="shared" si="19"/>
        <v>NA</v>
      </c>
      <c r="W569" s="214" t="str">
        <f t="shared" ca="1" si="20"/>
        <v/>
      </c>
      <c r="X569" s="214">
        <v>68</v>
      </c>
      <c r="Y569" s="214" t="str">
        <f t="shared" si="23"/>
        <v/>
      </c>
      <c r="Z569" s="314" t="str" cm="1">
        <f t="array" aca="1" ref="Z569" ca="1">IFERROR(LEFT(Y569, MATCH(FALSE, ISNUMBER(MID(Y569, ROW(INDIRECT("1:"&amp;LEN(Y569)+1)), 1) *1), 0) -1),"")</f>
        <v/>
      </c>
      <c r="AA569" s="214" t="str">
        <f t="shared" ca="1" si="24"/>
        <v/>
      </c>
      <c r="AB569" s="214" t="str">
        <f ca="1">IFERROR(AA569*SUMPRODUCT(Items!A$242:A$254,Items!AQ$242:AQ$254)/SUM(Items!A$242:A$254),"")</f>
        <v/>
      </c>
    </row>
    <row r="570" spans="2:28" ht="17">
      <c r="B570" s="211" t="s">
        <v>1601</v>
      </c>
      <c r="C570" s="212" t="s">
        <v>30</v>
      </c>
      <c r="D570" s="212" t="s">
        <v>1503</v>
      </c>
      <c r="E570" s="215" t="s">
        <v>1602</v>
      </c>
      <c r="F570" s="107" t="str">
        <f t="shared" si="19"/>
        <v>A</v>
      </c>
      <c r="W570" s="214" t="str">
        <f t="shared" ca="1" si="20"/>
        <v/>
      </c>
      <c r="X570" s="214">
        <v>69</v>
      </c>
      <c r="Y570" s="214" t="str">
        <f t="shared" si="23"/>
        <v/>
      </c>
      <c r="Z570" s="314" t="str" cm="1">
        <f t="array" aca="1" ref="Z570" ca="1">IFERROR(LEFT(Y570, MATCH(FALSE, ISNUMBER(MID(Y570, ROW(INDIRECT("1:"&amp;LEN(Y570)+1)), 1) *1), 0) -1),"")</f>
        <v/>
      </c>
      <c r="AA570" s="214" t="str">
        <f t="shared" ca="1" si="24"/>
        <v/>
      </c>
      <c r="AB570" s="214" t="str">
        <f ca="1">IFERROR(AA570*SUMPRODUCT(Items!A$242:A$254,Items!AQ$242:AQ$254)/SUM(Items!A$242:A$254),"")</f>
        <v/>
      </c>
    </row>
    <row r="571" spans="2:28" ht="17">
      <c r="B571" s="211" t="s">
        <v>1603</v>
      </c>
      <c r="C571" s="212" t="s">
        <v>415</v>
      </c>
      <c r="D571" s="212" t="s">
        <v>217</v>
      </c>
      <c r="E571" s="215" t="s">
        <v>1574</v>
      </c>
      <c r="F571" s="107" t="str">
        <f t="shared" si="19"/>
        <v>WL</v>
      </c>
      <c r="W571" s="214" t="str">
        <f t="shared" ca="1" si="20"/>
        <v/>
      </c>
      <c r="X571" s="214">
        <v>70</v>
      </c>
      <c r="Y571" s="214" t="str">
        <f t="shared" si="23"/>
        <v/>
      </c>
      <c r="Z571" s="314" t="str" cm="1">
        <f t="array" aca="1" ref="Z571" ca="1">IFERROR(LEFT(Y571, MATCH(FALSE, ISNUMBER(MID(Y571, ROW(INDIRECT("1:"&amp;LEN(Y571)+1)), 1) *1), 0) -1),"")</f>
        <v/>
      </c>
      <c r="AA571" s="214" t="str">
        <f t="shared" ca="1" si="24"/>
        <v/>
      </c>
      <c r="AB571" s="214" t="str">
        <f ca="1">IFERROR(AA571*SUMPRODUCT(Items!A$242:A$254,Items!AQ$242:AQ$254)/SUM(Items!A$242:A$254),"")</f>
        <v/>
      </c>
    </row>
    <row r="572" spans="2:28" ht="17">
      <c r="B572" s="211" t="s">
        <v>1604</v>
      </c>
      <c r="C572" s="212" t="s">
        <v>121</v>
      </c>
      <c r="D572" s="212" t="s">
        <v>217</v>
      </c>
      <c r="E572" s="215" t="s">
        <v>1574</v>
      </c>
      <c r="F572" s="107" t="str">
        <f t="shared" si="19"/>
        <v>CB</v>
      </c>
      <c r="W572" s="214" t="str">
        <f t="shared" ca="1" si="20"/>
        <v/>
      </c>
      <c r="X572" s="214">
        <v>71</v>
      </c>
      <c r="Y572" s="214" t="str">
        <f t="shared" si="23"/>
        <v/>
      </c>
      <c r="Z572" s="314" t="str" cm="1">
        <f t="array" aca="1" ref="Z572" ca="1">IFERROR(LEFT(Y572, MATCH(FALSE, ISNUMBER(MID(Y572, ROW(INDIRECT("1:"&amp;LEN(Y572)+1)), 1) *1), 0) -1),"")</f>
        <v/>
      </c>
      <c r="AA572" s="214" t="str">
        <f t="shared" ca="1" si="24"/>
        <v/>
      </c>
      <c r="AB572" s="214" t="str">
        <f ca="1">IFERROR(AA572*SUMPRODUCT(Items!A$242:A$254,Items!AQ$242:AQ$254)/SUM(Items!A$242:A$254),"")</f>
        <v/>
      </c>
    </row>
    <row r="573" spans="2:28" ht="17">
      <c r="B573" s="211" t="s">
        <v>1605</v>
      </c>
      <c r="C573" s="212" t="s">
        <v>121</v>
      </c>
      <c r="D573" s="212" t="s">
        <v>217</v>
      </c>
      <c r="E573" s="215" t="s">
        <v>1606</v>
      </c>
      <c r="F573" s="107" t="str">
        <f t="shared" si="19"/>
        <v>DF</v>
      </c>
      <c r="W573" s="214" t="str">
        <f t="shared" ca="1" si="20"/>
        <v/>
      </c>
      <c r="X573" s="214">
        <v>72</v>
      </c>
      <c r="Y573" s="214" t="str">
        <f t="shared" si="23"/>
        <v/>
      </c>
      <c r="Z573" s="314" t="str" cm="1">
        <f t="array" aca="1" ref="Z573" ca="1">IFERROR(LEFT(Y573, MATCH(FALSE, ISNUMBER(MID(Y573, ROW(INDIRECT("1:"&amp;LEN(Y573)+1)), 1) *1), 0) -1),"")</f>
        <v/>
      </c>
      <c r="AA573" s="214" t="str">
        <f t="shared" ca="1" si="24"/>
        <v/>
      </c>
      <c r="AB573" s="214" t="str">
        <f ca="1">IFERROR(AA573*SUMPRODUCT(Items!A$242:A$254,Items!AQ$242:AQ$254)/SUM(Items!A$242:A$254),"")</f>
        <v/>
      </c>
    </row>
    <row r="574" spans="2:28" ht="17">
      <c r="B574" s="211" t="s">
        <v>1607</v>
      </c>
      <c r="C574" s="212" t="s">
        <v>628</v>
      </c>
      <c r="D574" s="212" t="s">
        <v>217</v>
      </c>
      <c r="F574" s="107" t="str">
        <f t="shared" si="19"/>
        <v>SCL</v>
      </c>
      <c r="W574" s="214" t="str">
        <f t="shared" ca="1" si="20"/>
        <v/>
      </c>
      <c r="X574" s="214">
        <v>73</v>
      </c>
      <c r="Y574" s="214" t="str">
        <f t="shared" si="23"/>
        <v/>
      </c>
      <c r="Z574" s="314" t="str" cm="1">
        <f t="array" aca="1" ref="Z574" ca="1">IFERROR(LEFT(Y574, MATCH(FALSE, ISNUMBER(MID(Y574, ROW(INDIRECT("1:"&amp;LEN(Y574)+1)), 1) *1), 0) -1),"")</f>
        <v/>
      </c>
      <c r="AA574" s="214" t="str">
        <f t="shared" ca="1" si="24"/>
        <v/>
      </c>
      <c r="AB574" s="214" t="str">
        <f ca="1">IFERROR(AA574*SUMPRODUCT(Items!A$242:A$254,Items!AQ$242:AQ$254)/SUM(Items!A$242:A$254),"")</f>
        <v/>
      </c>
    </row>
    <row r="575" spans="2:28" ht="34">
      <c r="B575" s="211" t="s">
        <v>1611</v>
      </c>
      <c r="C575" s="212" t="s">
        <v>1609</v>
      </c>
      <c r="D575" s="212" t="s">
        <v>217</v>
      </c>
      <c r="E575" s="215" t="s">
        <v>1612</v>
      </c>
      <c r="F575" s="107" t="str">
        <f t="shared" si="19"/>
        <v>GI-G</v>
      </c>
      <c r="G575" s="213" t="s">
        <v>1610</v>
      </c>
      <c r="W575" s="214" t="str">
        <f t="shared" ca="1" si="20"/>
        <v/>
      </c>
      <c r="X575" s="214">
        <v>74</v>
      </c>
      <c r="Y575" s="214" t="str">
        <f t="shared" si="23"/>
        <v/>
      </c>
      <c r="Z575" s="314" t="str" cm="1">
        <f t="array" aca="1" ref="Z575" ca="1">IFERROR(LEFT(Y575, MATCH(FALSE, ISNUMBER(MID(Y575, ROW(INDIRECT("1:"&amp;LEN(Y575)+1)), 1) *1), 0) -1),"")</f>
        <v/>
      </c>
      <c r="AA575" s="214" t="str">
        <f t="shared" ca="1" si="24"/>
        <v/>
      </c>
      <c r="AB575" s="214" t="str">
        <f ca="1">IFERROR(AA575*SUMPRODUCT(Items!A$242:A$254,Items!AQ$242:AQ$254)/SUM(Items!A$242:A$254),"")</f>
        <v/>
      </c>
    </row>
    <row r="576" spans="2:28" ht="17">
      <c r="B576" s="211" t="s">
        <v>1613</v>
      </c>
      <c r="C576" s="212" t="s">
        <v>1614</v>
      </c>
      <c r="D576" s="212" t="s">
        <v>36</v>
      </c>
      <c r="E576" s="215" t="s">
        <v>1615</v>
      </c>
      <c r="F576" s="107" t="str">
        <f t="shared" si="19"/>
        <v>DTL</v>
      </c>
      <c r="G576" s="213" t="s">
        <v>1617</v>
      </c>
      <c r="W576" s="214" t="str">
        <f t="shared" ca="1" si="20"/>
        <v/>
      </c>
      <c r="X576" s="214">
        <v>75</v>
      </c>
      <c r="Y576" s="214" t="str">
        <f t="shared" si="23"/>
        <v/>
      </c>
      <c r="Z576" s="314" t="str" cm="1">
        <f t="array" aca="1" ref="Z576" ca="1">IFERROR(LEFT(Y576, MATCH(FALSE, ISNUMBER(MID(Y576, ROW(INDIRECT("1:"&amp;LEN(Y576)+1)), 1) *1), 0) -1),"")</f>
        <v/>
      </c>
      <c r="AA576" s="214" t="str">
        <f t="shared" ca="1" si="24"/>
        <v/>
      </c>
      <c r="AB576" s="214" t="str">
        <f ca="1">IFERROR(AA576*SUMPRODUCT(Items!A$242:A$254,Items!AQ$242:AQ$254)/SUM(Items!A$242:A$254),"")</f>
        <v/>
      </c>
    </row>
    <row r="577" spans="2:28" ht="17">
      <c r="B577" s="211" t="s">
        <v>1579</v>
      </c>
      <c r="C577" s="212" t="s">
        <v>217</v>
      </c>
      <c r="D577" s="212" t="s">
        <v>217</v>
      </c>
      <c r="E577" s="215" t="s">
        <v>1618</v>
      </c>
      <c r="F577" s="107" t="str">
        <f t="shared" si="19"/>
        <v>F</v>
      </c>
      <c r="W577" s="214" t="str">
        <f t="shared" ca="1" si="20"/>
        <v/>
      </c>
      <c r="X577" s="214">
        <v>76</v>
      </c>
      <c r="Y577" s="214" t="str">
        <f t="shared" si="23"/>
        <v/>
      </c>
      <c r="Z577" s="314" t="str" cm="1">
        <f t="array" aca="1" ref="Z577" ca="1">IFERROR(LEFT(Y577, MATCH(FALSE, ISNUMBER(MID(Y577, ROW(INDIRECT("1:"&amp;LEN(Y577)+1)), 1) *1), 0) -1),"")</f>
        <v/>
      </c>
      <c r="AA577" s="214" t="str">
        <f t="shared" ca="1" si="24"/>
        <v/>
      </c>
      <c r="AB577" s="214" t="str">
        <f ca="1">IFERROR(AA577*SUMPRODUCT(Items!A$242:A$254,Items!AQ$242:AQ$254)/SUM(Items!A$242:A$254),"")</f>
        <v/>
      </c>
    </row>
    <row r="578" spans="2:28" ht="17">
      <c r="B578" s="211" t="s">
        <v>1621</v>
      </c>
      <c r="C578" s="212" t="s">
        <v>1622</v>
      </c>
      <c r="D578" s="212" t="s">
        <v>1622</v>
      </c>
      <c r="E578" s="215" t="s">
        <v>1623</v>
      </c>
      <c r="F578" s="107" t="str">
        <f t="shared" si="19"/>
        <v>ST</v>
      </c>
      <c r="W578" s="214" t="str">
        <f t="shared" ca="1" si="20"/>
        <v/>
      </c>
      <c r="X578" s="214">
        <v>77</v>
      </c>
      <c r="Y578" s="214" t="str">
        <f t="shared" si="23"/>
        <v/>
      </c>
      <c r="Z578" s="314" t="str" cm="1">
        <f t="array" aca="1" ref="Z578" ca="1">IFERROR(LEFT(Y578, MATCH(FALSE, ISNUMBER(MID(Y578, ROW(INDIRECT("1:"&amp;LEN(Y578)+1)), 1) *1), 0) -1),"")</f>
        <v/>
      </c>
      <c r="AA578" s="214" t="str">
        <f t="shared" ca="1" si="24"/>
        <v/>
      </c>
      <c r="AB578" s="214" t="str">
        <f ca="1">IFERROR(AA578*SUMPRODUCT(Items!A$242:A$254,Items!AQ$242:AQ$254)/SUM(Items!A$242:A$254),"")</f>
        <v/>
      </c>
    </row>
    <row r="579" spans="2:28" ht="17">
      <c r="B579" s="211" t="s">
        <v>1624</v>
      </c>
      <c r="C579" s="212" t="s">
        <v>596</v>
      </c>
      <c r="D579" s="212" t="s">
        <v>217</v>
      </c>
      <c r="E579" s="215" t="s">
        <v>1625</v>
      </c>
      <c r="F579" s="107" t="str">
        <f t="shared" ref="F579:F642" si="25">UPPER(LEFT(B579,1)) &amp; IFERROR(UPPER(LEFT(MID(B579,FIND(" ",B579)+1,LEN(B579)),1)),"") &amp; IFERROR(UPPER(LEFT(MID(B579,FIND(" ",B579,FIND(" ",B579)+1)+1,LEN(B579)),1)),"") &amp; IFERROR(UPPER(LEFT(MID(B579,FIND(" ",B579,FIND(" ",B579,FIND(" ",B579)+1)+1)+1,LEN(B579)),1)),"")</f>
        <v>MC</v>
      </c>
      <c r="W579" s="214" t="str">
        <f t="shared" ca="1" si="20"/>
        <v/>
      </c>
      <c r="X579" s="214">
        <v>78</v>
      </c>
      <c r="Y579" s="214" t="str">
        <f t="shared" si="23"/>
        <v/>
      </c>
      <c r="Z579" s="314" t="str" cm="1">
        <f t="array" aca="1" ref="Z579" ca="1">IFERROR(LEFT(Y579, MATCH(FALSE, ISNUMBER(MID(Y579, ROW(INDIRECT("1:"&amp;LEN(Y579)+1)), 1) *1), 0) -1),"")</f>
        <v/>
      </c>
      <c r="AA579" s="214" t="str">
        <f t="shared" ca="1" si="24"/>
        <v/>
      </c>
      <c r="AB579" s="214" t="str">
        <f ca="1">IFERROR(AA579*SUMPRODUCT(Items!A$242:A$254,Items!AQ$242:AQ$254)/SUM(Items!A$242:A$254),"")</f>
        <v/>
      </c>
    </row>
    <row r="580" spans="2:28" ht="17">
      <c r="B580" s="211" t="s">
        <v>1628</v>
      </c>
      <c r="C580" s="212" t="s">
        <v>306</v>
      </c>
      <c r="D580" s="212" t="s">
        <v>306</v>
      </c>
      <c r="F580" s="107" t="str">
        <f t="shared" si="25"/>
        <v>MS-S</v>
      </c>
      <c r="W580" s="214" t="str">
        <f t="shared" ca="1" si="20"/>
        <v/>
      </c>
      <c r="X580" s="214">
        <v>79</v>
      </c>
      <c r="Y580" s="214" t="str">
        <f t="shared" si="23"/>
        <v/>
      </c>
      <c r="Z580" s="314" t="str" cm="1">
        <f t="array" aca="1" ref="Z580" ca="1">IFERROR(LEFT(Y580, MATCH(FALSE, ISNUMBER(MID(Y580, ROW(INDIRECT("1:"&amp;LEN(Y580)+1)), 1) *1), 0) -1),"")</f>
        <v/>
      </c>
      <c r="AA580" s="214" t="str">
        <f t="shared" ca="1" si="24"/>
        <v/>
      </c>
      <c r="AB580" s="214" t="str">
        <f ca="1">IFERROR(AA580*SUMPRODUCT(Items!A$242:A$254,Items!AQ$242:AQ$254)/SUM(Items!A$242:A$254),"")</f>
        <v/>
      </c>
    </row>
    <row r="581" spans="2:28" ht="17">
      <c r="B581" s="211" t="s">
        <v>1629</v>
      </c>
      <c r="C581" s="212" t="s">
        <v>306</v>
      </c>
      <c r="D581" s="212" t="s">
        <v>306</v>
      </c>
      <c r="F581" s="107" t="str">
        <f t="shared" si="25"/>
        <v>MS-P</v>
      </c>
      <c r="W581" s="214" t="str">
        <f t="shared" ref="W581:W601" ca="1" si="26">IF(AND($AB581&gt;=AB565,$AB581&lt;150),1,IF(AND($AB581&gt;=150,$AB581&lt;250),2,IF(AND($AB581&gt;=250,$AB581&lt;450),3,"")))</f>
        <v/>
      </c>
      <c r="X581" s="214">
        <v>80</v>
      </c>
      <c r="Y581" s="214" t="str">
        <f t="shared" si="23"/>
        <v/>
      </c>
      <c r="Z581" s="314" t="str" cm="1">
        <f t="array" aca="1" ref="Z581" ca="1">IFERROR(LEFT(Y581, MATCH(FALSE, ISNUMBER(MID(Y581, ROW(INDIRECT("1:"&amp;LEN(Y581)+1)), 1) *1), 0) -1),"")</f>
        <v/>
      </c>
      <c r="AA581" s="214" t="str">
        <f t="shared" ca="1" si="24"/>
        <v/>
      </c>
      <c r="AB581" s="214" t="str">
        <f ca="1">IFERROR(AA581*SUMPRODUCT(Items!A$242:A$254,Items!AQ$242:AQ$254)/SUM(Items!A$242:A$254),"")</f>
        <v/>
      </c>
    </row>
    <row r="582" spans="2:28" ht="17">
      <c r="B582" s="211" t="s">
        <v>1630</v>
      </c>
      <c r="C582" s="212" t="s">
        <v>306</v>
      </c>
      <c r="D582" s="212" t="s">
        <v>306</v>
      </c>
      <c r="F582" s="107" t="str">
        <f t="shared" si="25"/>
        <v>MS-L</v>
      </c>
      <c r="W582" s="214" t="str">
        <f t="shared" ca="1" si="26"/>
        <v/>
      </c>
      <c r="X582" s="214">
        <v>81</v>
      </c>
      <c r="Y582" s="214" t="str">
        <f t="shared" si="23"/>
        <v/>
      </c>
      <c r="Z582" s="314" t="str" cm="1">
        <f t="array" aca="1" ref="Z582" ca="1">IFERROR(LEFT(Y582, MATCH(FALSE, ISNUMBER(MID(Y582, ROW(INDIRECT("1:"&amp;LEN(Y582)+1)), 1) *1), 0) -1),"")</f>
        <v/>
      </c>
      <c r="AA582" s="214" t="str">
        <f t="shared" ca="1" si="24"/>
        <v/>
      </c>
      <c r="AB582" s="214" t="str">
        <f ca="1">IFERROR(AA582*SUMPRODUCT(Items!A$242:A$254,Items!AQ$242:AQ$254)/SUM(Items!A$242:A$254),"")</f>
        <v/>
      </c>
    </row>
    <row r="583" spans="2:28" ht="17">
      <c r="B583" s="211" t="s">
        <v>1631</v>
      </c>
      <c r="C583" s="212" t="s">
        <v>306</v>
      </c>
      <c r="D583" s="212" t="s">
        <v>306</v>
      </c>
      <c r="F583" s="107" t="str">
        <f t="shared" si="25"/>
        <v>MS-F</v>
      </c>
      <c r="W583" s="214" t="str">
        <f t="shared" ca="1" si="26"/>
        <v/>
      </c>
      <c r="X583" s="214">
        <v>82</v>
      </c>
      <c r="Y583" s="214" t="str">
        <f t="shared" si="23"/>
        <v/>
      </c>
      <c r="Z583" s="314" t="str" cm="1">
        <f t="array" aca="1" ref="Z583" ca="1">IFERROR(LEFT(Y583, MATCH(FALSE, ISNUMBER(MID(Y583, ROW(INDIRECT("1:"&amp;LEN(Y583)+1)), 1) *1), 0) -1),"")</f>
        <v/>
      </c>
      <c r="AA583" s="214" t="str">
        <f t="shared" ca="1" si="24"/>
        <v/>
      </c>
      <c r="AB583" s="214" t="str">
        <f ca="1">IFERROR(AA583*SUMPRODUCT(Items!A$242:A$254,Items!AQ$242:AQ$254)/SUM(Items!A$242:A$254),"")</f>
        <v/>
      </c>
    </row>
    <row r="584" spans="2:28" ht="17">
      <c r="B584" s="211" t="s">
        <v>1632</v>
      </c>
      <c r="C584" s="212" t="s">
        <v>306</v>
      </c>
      <c r="D584" s="212" t="s">
        <v>306</v>
      </c>
      <c r="F584" s="107" t="str">
        <f t="shared" si="25"/>
        <v>MS-B</v>
      </c>
      <c r="W584" s="214" t="str">
        <f t="shared" ca="1" si="26"/>
        <v/>
      </c>
      <c r="X584" s="214">
        <v>83</v>
      </c>
      <c r="Y584" s="214" t="str">
        <f t="shared" si="23"/>
        <v/>
      </c>
      <c r="Z584" s="314" t="str" cm="1">
        <f t="array" aca="1" ref="Z584" ca="1">IFERROR(LEFT(Y584, MATCH(FALSE, ISNUMBER(MID(Y584, ROW(INDIRECT("1:"&amp;LEN(Y584)+1)), 1) *1), 0) -1),"")</f>
        <v/>
      </c>
      <c r="AA584" s="214" t="str">
        <f t="shared" ca="1" si="24"/>
        <v/>
      </c>
      <c r="AB584" s="214" t="str">
        <f ca="1">IFERROR(AA584*SUMPRODUCT(Items!A$242:A$254,Items!AQ$242:AQ$254)/SUM(Items!A$242:A$254),"")</f>
        <v/>
      </c>
    </row>
    <row r="585" spans="2:28" ht="17">
      <c r="B585" s="211" t="s">
        <v>1633</v>
      </c>
      <c r="C585" s="212" t="s">
        <v>306</v>
      </c>
      <c r="D585" s="212" t="s">
        <v>306</v>
      </c>
      <c r="F585" s="107" t="str">
        <f t="shared" si="25"/>
        <v>MS-B</v>
      </c>
      <c r="W585" s="214" t="str">
        <f t="shared" ca="1" si="26"/>
        <v/>
      </c>
      <c r="X585" s="214">
        <v>84</v>
      </c>
      <c r="Y585" s="214" t="str">
        <f t="shared" si="23"/>
        <v/>
      </c>
      <c r="Z585" s="314" t="str" cm="1">
        <f t="array" aca="1" ref="Z585" ca="1">IFERROR(LEFT(Y585, MATCH(FALSE, ISNUMBER(MID(Y585, ROW(INDIRECT("1:"&amp;LEN(Y585)+1)), 1) *1), 0) -1),"")</f>
        <v/>
      </c>
      <c r="AA585" s="214" t="str">
        <f t="shared" ca="1" si="24"/>
        <v/>
      </c>
      <c r="AB585" s="214" t="str">
        <f ca="1">IFERROR(AA585*SUMPRODUCT(Items!A$242:A$254,Items!AQ$242:AQ$254)/SUM(Items!A$242:A$254),"")</f>
        <v/>
      </c>
    </row>
    <row r="586" spans="2:28" ht="17">
      <c r="B586" s="211" t="s">
        <v>1634</v>
      </c>
      <c r="C586" s="212" t="s">
        <v>306</v>
      </c>
      <c r="D586" s="212" t="s">
        <v>306</v>
      </c>
      <c r="F586" s="107" t="str">
        <f t="shared" si="25"/>
        <v>MS-A</v>
      </c>
      <c r="W586" s="214" t="str">
        <f t="shared" ca="1" si="26"/>
        <v/>
      </c>
      <c r="X586" s="214">
        <v>85</v>
      </c>
      <c r="Y586" s="214" t="str">
        <f t="shared" si="23"/>
        <v/>
      </c>
      <c r="Z586" s="314" t="str" cm="1">
        <f t="array" aca="1" ref="Z586" ca="1">IFERROR(LEFT(Y586, MATCH(FALSE, ISNUMBER(MID(Y586, ROW(INDIRECT("1:"&amp;LEN(Y586)+1)), 1) *1), 0) -1),"")</f>
        <v/>
      </c>
      <c r="AA586" s="214" t="str">
        <f t="shared" ca="1" si="24"/>
        <v/>
      </c>
      <c r="AB586" s="214" t="str">
        <f ca="1">IFERROR(AA586*SUMPRODUCT(Items!A$242:A$254,Items!AQ$242:AQ$254)/SUM(Items!A$242:A$254),"")</f>
        <v/>
      </c>
    </row>
    <row r="587" spans="2:28" ht="17">
      <c r="B587" s="211" t="s">
        <v>1636</v>
      </c>
      <c r="C587" s="212" t="s">
        <v>121</v>
      </c>
      <c r="D587" s="212" t="s">
        <v>217</v>
      </c>
      <c r="F587" s="107" t="str">
        <f t="shared" si="25"/>
        <v>ACI</v>
      </c>
      <c r="W587" s="214" t="str">
        <f t="shared" ca="1" si="26"/>
        <v/>
      </c>
      <c r="X587" s="214">
        <v>86</v>
      </c>
      <c r="Y587" s="214" t="str">
        <f t="shared" si="23"/>
        <v/>
      </c>
      <c r="Z587" s="314" t="str" cm="1">
        <f t="array" aca="1" ref="Z587" ca="1">IFERROR(LEFT(Y587, MATCH(FALSE, ISNUMBER(MID(Y587, ROW(INDIRECT("1:"&amp;LEN(Y587)+1)), 1) *1), 0) -1),"")</f>
        <v/>
      </c>
      <c r="AA587" s="214" t="str">
        <f t="shared" ca="1" si="24"/>
        <v/>
      </c>
      <c r="AB587" s="214" t="str">
        <f ca="1">IFERROR(AA587*SUMPRODUCT(Items!A$242:A$254,Items!AQ$242:AQ$254)/SUM(Items!A$242:A$254),"")</f>
        <v/>
      </c>
    </row>
    <row r="588" spans="2:28" ht="51">
      <c r="B588" s="211" t="s">
        <v>1650</v>
      </c>
      <c r="C588" s="212" t="s">
        <v>1651</v>
      </c>
      <c r="D588" s="212" t="s">
        <v>36</v>
      </c>
      <c r="F588" s="107" t="str">
        <f t="shared" si="25"/>
        <v>RA</v>
      </c>
      <c r="H588" s="224" t="s">
        <v>1652</v>
      </c>
      <c r="W588" s="214" t="str">
        <f t="shared" ca="1" si="26"/>
        <v/>
      </c>
      <c r="X588" s="214">
        <v>87</v>
      </c>
      <c r="Y588" s="214" t="str">
        <f t="shared" si="23"/>
        <v/>
      </c>
      <c r="Z588" s="314" t="str" cm="1">
        <f t="array" aca="1" ref="Z588" ca="1">IFERROR(LEFT(Y588, MATCH(FALSE, ISNUMBER(MID(Y588, ROW(INDIRECT("1:"&amp;LEN(Y588)+1)), 1) *1), 0) -1),"")</f>
        <v/>
      </c>
      <c r="AA588" s="214" t="str">
        <f t="shared" ca="1" si="24"/>
        <v/>
      </c>
      <c r="AB588" s="214" t="str">
        <f ca="1">IFERROR(AA588*SUMPRODUCT(Items!A$242:A$254,Items!AQ$242:AQ$254)/SUM(Items!A$242:A$254),"")</f>
        <v/>
      </c>
    </row>
    <row r="589" spans="2:28" ht="17">
      <c r="B589" s="211" t="s">
        <v>1654</v>
      </c>
      <c r="C589" s="212" t="s">
        <v>1655</v>
      </c>
      <c r="D589" s="212" t="s">
        <v>955</v>
      </c>
      <c r="F589" s="107" t="str">
        <f t="shared" si="25"/>
        <v>MO</v>
      </c>
      <c r="W589" s="214" t="str">
        <f t="shared" ca="1" si="26"/>
        <v/>
      </c>
      <c r="X589" s="214">
        <v>88</v>
      </c>
      <c r="Y589" s="214" t="str">
        <f t="shared" si="23"/>
        <v/>
      </c>
      <c r="Z589" s="314" t="str" cm="1">
        <f t="array" aca="1" ref="Z589" ca="1">IFERROR(LEFT(Y589, MATCH(FALSE, ISNUMBER(MID(Y589, ROW(INDIRECT("1:"&amp;LEN(Y589)+1)), 1) *1), 0) -1),"")</f>
        <v/>
      </c>
      <c r="AA589" s="214" t="str">
        <f t="shared" ca="1" si="24"/>
        <v/>
      </c>
      <c r="AB589" s="214" t="str">
        <f ca="1">IFERROR(AA589*SUMPRODUCT(Items!A$242:A$254,Items!AQ$242:AQ$254)/SUM(Items!A$242:A$254),"")</f>
        <v/>
      </c>
    </row>
    <row r="590" spans="2:28" ht="17">
      <c r="B590" s="211" t="s">
        <v>1560</v>
      </c>
      <c r="C590" s="212" t="s">
        <v>1657</v>
      </c>
      <c r="D590" s="212" t="s">
        <v>36</v>
      </c>
      <c r="E590" s="215" t="s">
        <v>1658</v>
      </c>
      <c r="F590" s="107" t="str">
        <f t="shared" si="25"/>
        <v>GN</v>
      </c>
      <c r="W590" s="214" t="str">
        <f t="shared" ca="1" si="26"/>
        <v/>
      </c>
      <c r="X590" s="214">
        <v>89</v>
      </c>
      <c r="Y590" s="214" t="str">
        <f t="shared" si="23"/>
        <v/>
      </c>
      <c r="Z590" s="314" t="str" cm="1">
        <f t="array" aca="1" ref="Z590" ca="1">IFERROR(LEFT(Y590, MATCH(FALSE, ISNUMBER(MID(Y590, ROW(INDIRECT("1:"&amp;LEN(Y590)+1)), 1) *1), 0) -1),"")</f>
        <v/>
      </c>
      <c r="AA590" s="214" t="str">
        <f t="shared" ca="1" si="24"/>
        <v/>
      </c>
      <c r="AB590" s="214" t="str">
        <f ca="1">IFERROR(AA590*SUMPRODUCT(Items!A$242:A$254,Items!AQ$242:AQ$254)/SUM(Items!A$242:A$254),"")</f>
        <v/>
      </c>
    </row>
    <row r="591" spans="2:28" ht="17">
      <c r="B591" s="211" t="s">
        <v>1667</v>
      </c>
      <c r="C591" s="212" t="s">
        <v>771</v>
      </c>
      <c r="D591" s="212" t="s">
        <v>36</v>
      </c>
      <c r="E591" s="215" t="s">
        <v>1668</v>
      </c>
      <c r="F591" s="107" t="str">
        <f t="shared" si="25"/>
        <v>GA</v>
      </c>
      <c r="W591" s="214" t="str">
        <f t="shared" ca="1" si="26"/>
        <v/>
      </c>
      <c r="X591" s="214">
        <v>90</v>
      </c>
      <c r="Y591" s="214" t="str">
        <f t="shared" si="23"/>
        <v/>
      </c>
      <c r="Z591" s="314" t="str" cm="1">
        <f t="array" aca="1" ref="Z591" ca="1">IFERROR(LEFT(Y591, MATCH(FALSE, ISNUMBER(MID(Y591, ROW(INDIRECT("1:"&amp;LEN(Y591)+1)), 1) *1), 0) -1),"")</f>
        <v/>
      </c>
      <c r="AA591" s="214" t="str">
        <f t="shared" ca="1" si="24"/>
        <v/>
      </c>
      <c r="AB591" s="214" t="str">
        <f ca="1">IFERROR(AA591*SUMPRODUCT(Items!A$242:A$254,Items!AQ$242:AQ$254)/SUM(Items!A$242:A$254),"")</f>
        <v/>
      </c>
    </row>
    <row r="592" spans="2:28" ht="34">
      <c r="B592" s="211" t="s">
        <v>1669</v>
      </c>
      <c r="C592" s="212" t="s">
        <v>1670</v>
      </c>
      <c r="D592" s="212" t="s">
        <v>217</v>
      </c>
      <c r="E592" s="215" t="s">
        <v>1671</v>
      </c>
      <c r="F592" s="107" t="str">
        <f t="shared" si="25"/>
        <v>A</v>
      </c>
      <c r="W592" s="214" t="str">
        <f t="shared" ca="1" si="26"/>
        <v/>
      </c>
      <c r="X592" s="214">
        <v>91</v>
      </c>
      <c r="Y592" s="214" t="str">
        <f t="shared" si="23"/>
        <v/>
      </c>
      <c r="Z592" s="314" t="str" cm="1">
        <f t="array" aca="1" ref="Z592" ca="1">IFERROR(LEFT(Y592, MATCH(FALSE, ISNUMBER(MID(Y592, ROW(INDIRECT("1:"&amp;LEN(Y592)+1)), 1) *1), 0) -1),"")</f>
        <v/>
      </c>
      <c r="AA592" s="214" t="str">
        <f t="shared" ca="1" si="24"/>
        <v/>
      </c>
      <c r="AB592" s="214" t="str">
        <f ca="1">IFERROR(AA592*SUMPRODUCT(Items!A$242:A$254,Items!AQ$242:AQ$254)/SUM(Items!A$242:A$254),"")</f>
        <v/>
      </c>
    </row>
    <row r="593" spans="2:28" ht="17">
      <c r="B593" s="211" t="s">
        <v>1672</v>
      </c>
      <c r="C593" s="212" t="s">
        <v>1673</v>
      </c>
      <c r="D593" s="212" t="s">
        <v>36</v>
      </c>
      <c r="E593" s="215" t="s">
        <v>1674</v>
      </c>
      <c r="F593" s="107" t="str">
        <f t="shared" si="25"/>
        <v>VSL</v>
      </c>
      <c r="W593" s="214" t="str">
        <f t="shared" ca="1" si="26"/>
        <v/>
      </c>
      <c r="X593" s="214">
        <v>92</v>
      </c>
      <c r="Y593" s="214" t="str">
        <f t="shared" si="23"/>
        <v/>
      </c>
      <c r="Z593" s="314" t="str" cm="1">
        <f t="array" aca="1" ref="Z593" ca="1">IFERROR(LEFT(Y593, MATCH(FALSE, ISNUMBER(MID(Y593, ROW(INDIRECT("1:"&amp;LEN(Y593)+1)), 1) *1), 0) -1),"")</f>
        <v/>
      </c>
      <c r="AA593" s="214" t="str">
        <f t="shared" ca="1" si="24"/>
        <v/>
      </c>
      <c r="AB593" s="214" t="str">
        <f ca="1">IFERROR(AA593*SUMPRODUCT(Items!A$242:A$254,Items!AQ$242:AQ$254)/SUM(Items!A$242:A$254),"")</f>
        <v/>
      </c>
    </row>
    <row r="594" spans="2:28" ht="17">
      <c r="B594" s="211" t="s">
        <v>1675</v>
      </c>
      <c r="C594" s="212" t="s">
        <v>121</v>
      </c>
      <c r="D594" s="212" t="s">
        <v>217</v>
      </c>
      <c r="E594" s="215" t="s">
        <v>1677</v>
      </c>
      <c r="F594" s="107" t="str">
        <f t="shared" si="25"/>
        <v>IVPG</v>
      </c>
      <c r="G594" s="222" t="s">
        <v>1676</v>
      </c>
      <c r="W594" s="214" t="str">
        <f t="shared" ca="1" si="26"/>
        <v/>
      </c>
      <c r="X594" s="214">
        <v>93</v>
      </c>
      <c r="Y594" s="214" t="str">
        <f t="shared" si="23"/>
        <v/>
      </c>
      <c r="Z594" s="314" t="str" cm="1">
        <f t="array" aca="1" ref="Z594" ca="1">IFERROR(LEFT(Y594, MATCH(FALSE, ISNUMBER(MID(Y594, ROW(INDIRECT("1:"&amp;LEN(Y594)+1)), 1) *1), 0) -1),"")</f>
        <v/>
      </c>
      <c r="AA594" s="214" t="str">
        <f t="shared" ca="1" si="24"/>
        <v/>
      </c>
      <c r="AB594" s="214" t="str">
        <f ca="1">IFERROR(AA594*SUMPRODUCT(Items!A$242:A$254,Items!AQ$242:AQ$254)/SUM(Items!A$242:A$254),"")</f>
        <v/>
      </c>
    </row>
    <row r="595" spans="2:28" ht="17">
      <c r="B595" s="211" t="s">
        <v>663</v>
      </c>
      <c r="C595" s="212" t="s">
        <v>1678</v>
      </c>
      <c r="D595" s="212" t="s">
        <v>955</v>
      </c>
      <c r="E595" s="215" t="s">
        <v>664</v>
      </c>
      <c r="F595" s="107" t="str">
        <f t="shared" si="25"/>
        <v>APS</v>
      </c>
      <c r="W595" s="214" t="str">
        <f t="shared" ca="1" si="26"/>
        <v/>
      </c>
      <c r="X595" s="214">
        <v>94</v>
      </c>
      <c r="Y595" s="214" t="str">
        <f t="shared" si="23"/>
        <v/>
      </c>
      <c r="Z595" s="314" t="str" cm="1">
        <f t="array" aca="1" ref="Z595" ca="1">IFERROR(LEFT(Y595, MATCH(FALSE, ISNUMBER(MID(Y595, ROW(INDIRECT("1:"&amp;LEN(Y595)+1)), 1) *1), 0) -1),"")</f>
        <v/>
      </c>
      <c r="AA595" s="214" t="str">
        <f t="shared" ca="1" si="24"/>
        <v/>
      </c>
      <c r="AB595" s="214" t="str">
        <f ca="1">IFERROR(AA595*SUMPRODUCT(Items!A$242:A$254,Items!AQ$242:AQ$254)/SUM(Items!A$242:A$254),"")</f>
        <v/>
      </c>
    </row>
    <row r="596" spans="2:28" ht="17">
      <c r="B596" s="211" t="s">
        <v>1681</v>
      </c>
      <c r="C596" s="212" t="s">
        <v>1682</v>
      </c>
      <c r="D596" s="212" t="s">
        <v>217</v>
      </c>
      <c r="E596" s="215" t="s">
        <v>1683</v>
      </c>
      <c r="F596" s="107" t="str">
        <f t="shared" si="25"/>
        <v>A-JP</v>
      </c>
      <c r="W596" s="214" t="str">
        <f t="shared" ca="1" si="26"/>
        <v/>
      </c>
      <c r="X596" s="214">
        <v>95</v>
      </c>
      <c r="Y596" s="214" t="str">
        <f t="shared" si="23"/>
        <v/>
      </c>
      <c r="Z596" s="314" t="str" cm="1">
        <f t="array" aca="1" ref="Z596" ca="1">IFERROR(LEFT(Y596, MATCH(FALSE, ISNUMBER(MID(Y596, ROW(INDIRECT("1:"&amp;LEN(Y596)+1)), 1) *1), 0) -1),"")</f>
        <v/>
      </c>
      <c r="AA596" s="214" t="str">
        <f t="shared" ca="1" si="24"/>
        <v/>
      </c>
      <c r="AB596" s="214" t="str">
        <f ca="1">IFERROR(AA596*SUMPRODUCT(Items!A$242:A$254,Items!AQ$242:AQ$254)/SUM(Items!A$242:A$254),"")</f>
        <v/>
      </c>
    </row>
    <row r="597" spans="2:28" ht="17">
      <c r="B597" s="211" t="s">
        <v>1684</v>
      </c>
      <c r="C597" s="212" t="s">
        <v>33</v>
      </c>
      <c r="D597" s="212" t="s">
        <v>217</v>
      </c>
      <c r="E597" s="215" t="s">
        <v>1686</v>
      </c>
      <c r="F597" s="107" t="str">
        <f t="shared" si="25"/>
        <v>O&amp;A</v>
      </c>
      <c r="G597" s="222" t="s">
        <v>1685</v>
      </c>
      <c r="W597" s="214" t="str">
        <f t="shared" ca="1" si="26"/>
        <v/>
      </c>
      <c r="X597" s="214">
        <v>96</v>
      </c>
      <c r="Y597" s="214" t="str">
        <f t="shared" si="23"/>
        <v/>
      </c>
      <c r="Z597" s="314" t="str" cm="1">
        <f t="array" aca="1" ref="Z597" ca="1">IFERROR(LEFT(Y597, MATCH(FALSE, ISNUMBER(MID(Y597, ROW(INDIRECT("1:"&amp;LEN(Y597)+1)), 1) *1), 0) -1),"")</f>
        <v/>
      </c>
      <c r="AA597" s="214" t="str">
        <f t="shared" ca="1" si="24"/>
        <v/>
      </c>
      <c r="AB597" s="214" t="str">
        <f ca="1">IFERROR(AA597*SUMPRODUCT(Items!A$242:A$254,Items!AQ$242:AQ$254)/SUM(Items!A$242:A$254),"")</f>
        <v/>
      </c>
    </row>
    <row r="598" spans="2:28" ht="17">
      <c r="B598" s="211" t="s">
        <v>1687</v>
      </c>
      <c r="C598" s="212" t="s">
        <v>217</v>
      </c>
      <c r="D598" s="212" t="s">
        <v>217</v>
      </c>
      <c r="E598" s="215" t="s">
        <v>1688</v>
      </c>
      <c r="F598" s="107" t="str">
        <f t="shared" si="25"/>
        <v>EAQ</v>
      </c>
      <c r="W598" s="214" t="str">
        <f t="shared" ca="1" si="26"/>
        <v/>
      </c>
      <c r="X598" s="214">
        <v>97</v>
      </c>
      <c r="Y598" s="214" t="str">
        <f t="shared" si="23"/>
        <v/>
      </c>
      <c r="Z598" s="314" t="str" cm="1">
        <f t="array" aca="1" ref="Z598" ca="1">IFERROR(LEFT(Y598, MATCH(FALSE, ISNUMBER(MID(Y598, ROW(INDIRECT("1:"&amp;LEN(Y598)+1)), 1) *1), 0) -1),"")</f>
        <v/>
      </c>
      <c r="AA598" s="214" t="str">
        <f t="shared" ca="1" si="24"/>
        <v/>
      </c>
      <c r="AB598" s="214" t="str">
        <f ca="1">IFERROR(AA598*SUMPRODUCT(Items!A$242:A$254,Items!AQ$242:AQ$254)/SUM(Items!A$242:A$254),"")</f>
        <v/>
      </c>
    </row>
    <row r="599" spans="2:28" ht="17">
      <c r="B599" s="211" t="s">
        <v>1689</v>
      </c>
      <c r="C599" s="212" t="s">
        <v>217</v>
      </c>
      <c r="D599" s="212" t="s">
        <v>217</v>
      </c>
      <c r="F599" s="107" t="str">
        <f t="shared" si="25"/>
        <v>A</v>
      </c>
      <c r="W599" s="214" t="str">
        <f t="shared" ca="1" si="26"/>
        <v/>
      </c>
      <c r="X599" s="214">
        <v>98</v>
      </c>
      <c r="Y599" s="214" t="str">
        <f t="shared" si="23"/>
        <v/>
      </c>
      <c r="Z599" s="314" t="str" cm="1">
        <f t="array" aca="1" ref="Z599" ca="1">IFERROR(LEFT(Y599, MATCH(FALSE, ISNUMBER(MID(Y599, ROW(INDIRECT("1:"&amp;LEN(Y599)+1)), 1) *1), 0) -1),"")</f>
        <v/>
      </c>
      <c r="AA599" s="214" t="str">
        <f t="shared" ca="1" si="24"/>
        <v/>
      </c>
      <c r="AB599" s="214" t="str">
        <f ca="1">IFERROR(AA599*SUMPRODUCT(Items!A$242:A$254,Items!AQ$242:AQ$254)/SUM(Items!A$242:A$254),"")</f>
        <v/>
      </c>
    </row>
    <row r="600" spans="2:28" ht="17">
      <c r="B600" s="211" t="s">
        <v>1693</v>
      </c>
      <c r="C600" s="212" t="s">
        <v>439</v>
      </c>
      <c r="D600" s="212" t="s">
        <v>217</v>
      </c>
      <c r="E600" s="215" t="s">
        <v>1692</v>
      </c>
      <c r="F600" s="107" t="str">
        <f t="shared" si="25"/>
        <v>A-T</v>
      </c>
      <c r="W600" s="214" t="str">
        <f t="shared" ca="1" si="26"/>
        <v/>
      </c>
      <c r="X600" s="214">
        <v>99</v>
      </c>
      <c r="Y600" s="214" t="str">
        <f t="shared" si="23"/>
        <v/>
      </c>
      <c r="Z600" s="314" t="str" cm="1">
        <f t="array" aca="1" ref="Z600" ca="1">IFERROR(LEFT(Y600, MATCH(FALSE, ISNUMBER(MID(Y600, ROW(INDIRECT("1:"&amp;LEN(Y600)+1)), 1) *1), 0) -1),"")</f>
        <v/>
      </c>
      <c r="AA600" s="214" t="str">
        <f t="shared" ca="1" si="24"/>
        <v/>
      </c>
      <c r="AB600" s="214" t="str">
        <f ca="1">IFERROR(AA600*SUMPRODUCT(Items!A$242:A$254,Items!AQ$242:AQ$254)/SUM(Items!A$242:A$254),"")</f>
        <v/>
      </c>
    </row>
    <row r="601" spans="2:28" ht="17">
      <c r="B601" s="211" t="s">
        <v>1694</v>
      </c>
      <c r="C601" s="212" t="s">
        <v>33</v>
      </c>
      <c r="D601" s="212" t="s">
        <v>217</v>
      </c>
      <c r="E601" s="215" t="s">
        <v>1695</v>
      </c>
      <c r="F601" s="107" t="str">
        <f t="shared" si="25"/>
        <v>AL</v>
      </c>
      <c r="W601" s="214" t="str">
        <f t="shared" ca="1" si="26"/>
        <v/>
      </c>
      <c r="X601" s="214">
        <v>100</v>
      </c>
      <c r="Y601" s="214" t="str">
        <f t="shared" si="23"/>
        <v/>
      </c>
      <c r="Z601" s="314" t="str" cm="1">
        <f t="array" aca="1" ref="Z601" ca="1">IFERROR(LEFT(Y601, MATCH(FALSE, ISNUMBER(MID(Y601, ROW(INDIRECT("1:"&amp;LEN(Y601)+1)), 1) *1), 0) -1),"")</f>
        <v/>
      </c>
      <c r="AA601" s="214" t="str">
        <f t="shared" ca="1" si="24"/>
        <v/>
      </c>
      <c r="AB601" s="214" t="str">
        <f ca="1">IFERROR(AA601*SUMPRODUCT(Items!A$242:A$254,Items!AQ$242:AQ$254)/SUM(Items!A$242:A$254),"")</f>
        <v/>
      </c>
    </row>
    <row r="602" spans="2:28" ht="17">
      <c r="B602" s="211" t="s">
        <v>1698</v>
      </c>
      <c r="C602" s="212" t="s">
        <v>39</v>
      </c>
      <c r="D602" s="212" t="s">
        <v>217</v>
      </c>
      <c r="E602" s="215" t="s">
        <v>1697</v>
      </c>
      <c r="F602" s="107" t="str">
        <f t="shared" si="25"/>
        <v>A</v>
      </c>
      <c r="Z602" s="314"/>
    </row>
    <row r="603" spans="2:28" ht="17">
      <c r="B603" s="211" t="s">
        <v>1701</v>
      </c>
      <c r="C603" s="212" t="s">
        <v>447</v>
      </c>
      <c r="D603" s="212" t="s">
        <v>36</v>
      </c>
      <c r="E603" s="215" t="s">
        <v>1702</v>
      </c>
      <c r="F603" s="107" t="str">
        <f t="shared" si="25"/>
        <v>DA</v>
      </c>
    </row>
    <row r="604" spans="2:28" ht="17">
      <c r="B604" s="211" t="s">
        <v>1703</v>
      </c>
      <c r="C604" s="212" t="s">
        <v>1622</v>
      </c>
      <c r="D604" s="212" t="s">
        <v>1622</v>
      </c>
      <c r="E604" s="215" t="s">
        <v>1704</v>
      </c>
      <c r="F604" s="107" t="str">
        <f t="shared" si="25"/>
        <v>AP</v>
      </c>
    </row>
    <row r="605" spans="2:28" ht="17">
      <c r="B605" s="211" t="s">
        <v>1705</v>
      </c>
      <c r="C605" s="212" t="s">
        <v>439</v>
      </c>
      <c r="D605" s="212" t="s">
        <v>217</v>
      </c>
      <c r="E605" s="215" t="s">
        <v>1706</v>
      </c>
      <c r="F605" s="107" t="str">
        <f t="shared" si="25"/>
        <v>S</v>
      </c>
      <c r="G605" s="213" t="s">
        <v>1707</v>
      </c>
    </row>
    <row r="606" spans="2:28" ht="17">
      <c r="B606" s="211" t="s">
        <v>1713</v>
      </c>
      <c r="C606" s="212" t="s">
        <v>343</v>
      </c>
      <c r="D606" s="212" t="s">
        <v>343</v>
      </c>
      <c r="E606" s="215" t="s">
        <v>1714</v>
      </c>
      <c r="F606" s="107" t="str">
        <f t="shared" si="25"/>
        <v>T-T</v>
      </c>
    </row>
    <row r="607" spans="2:28" ht="17">
      <c r="B607" s="211" t="s">
        <v>1715</v>
      </c>
      <c r="C607" s="212" t="s">
        <v>439</v>
      </c>
      <c r="D607" s="212" t="s">
        <v>217</v>
      </c>
      <c r="E607" s="215" t="s">
        <v>1716</v>
      </c>
      <c r="F607" s="107" t="str">
        <f t="shared" si="25"/>
        <v>MR</v>
      </c>
    </row>
    <row r="608" spans="2:28" ht="17">
      <c r="B608" s="211" t="s">
        <v>1717</v>
      </c>
      <c r="C608" s="212" t="s">
        <v>1720</v>
      </c>
      <c r="D608" s="212" t="s">
        <v>217</v>
      </c>
      <c r="E608" s="215" t="s">
        <v>1718</v>
      </c>
      <c r="F608" s="107" t="str">
        <f t="shared" si="25"/>
        <v>QIC</v>
      </c>
      <c r="G608" s="213" t="s">
        <v>1719</v>
      </c>
    </row>
    <row r="609" spans="2:8" ht="17">
      <c r="B609" s="211" t="s">
        <v>1721</v>
      </c>
      <c r="C609" s="212" t="s">
        <v>193</v>
      </c>
      <c r="D609" s="212" t="s">
        <v>217</v>
      </c>
      <c r="E609" s="215" t="s">
        <v>1722</v>
      </c>
      <c r="F609" s="107" t="str">
        <f t="shared" si="25"/>
        <v>T</v>
      </c>
    </row>
    <row r="610" spans="2:8" ht="17">
      <c r="B610" s="211" t="s">
        <v>1723</v>
      </c>
      <c r="C610" s="212" t="s">
        <v>343</v>
      </c>
      <c r="D610" s="212" t="s">
        <v>343</v>
      </c>
      <c r="E610" s="215" t="s">
        <v>1724</v>
      </c>
      <c r="F610" s="107" t="str">
        <f t="shared" si="25"/>
        <v>A</v>
      </c>
    </row>
    <row r="611" spans="2:8" ht="17">
      <c r="B611" s="211" t="s">
        <v>1725</v>
      </c>
      <c r="C611" s="212" t="s">
        <v>1726</v>
      </c>
      <c r="D611" s="212" t="s">
        <v>217</v>
      </c>
      <c r="F611" s="107" t="str">
        <f t="shared" si="25"/>
        <v>AK</v>
      </c>
    </row>
    <row r="612" spans="2:8" ht="17">
      <c r="B612" s="211" t="s">
        <v>1727</v>
      </c>
      <c r="C612" s="212" t="s">
        <v>183</v>
      </c>
      <c r="D612" s="212" t="s">
        <v>217</v>
      </c>
      <c r="E612" s="215" t="s">
        <v>1728</v>
      </c>
      <c r="F612" s="107" t="str">
        <f t="shared" si="25"/>
        <v>SE</v>
      </c>
      <c r="G612" s="213" t="s">
        <v>1729</v>
      </c>
      <c r="H612" s="224" t="s">
        <v>1731</v>
      </c>
    </row>
    <row r="613" spans="2:8" ht="17">
      <c r="B613" s="211" t="s">
        <v>1732</v>
      </c>
      <c r="C613" s="212" t="s">
        <v>217</v>
      </c>
      <c r="D613" s="212" t="s">
        <v>217</v>
      </c>
      <c r="E613" s="215" t="s">
        <v>1733</v>
      </c>
      <c r="F613" s="107" t="str">
        <f t="shared" si="25"/>
        <v>JA</v>
      </c>
    </row>
    <row r="614" spans="2:8" ht="17">
      <c r="B614" s="211" t="s">
        <v>1734</v>
      </c>
      <c r="C614" s="212" t="s">
        <v>972</v>
      </c>
      <c r="D614" s="212" t="s">
        <v>217</v>
      </c>
      <c r="E614" s="215" t="s">
        <v>1735</v>
      </c>
      <c r="F614" s="107" t="str">
        <f t="shared" si="25"/>
        <v>BS</v>
      </c>
    </row>
    <row r="615" spans="2:8" ht="17">
      <c r="B615" s="211" t="s">
        <v>1738</v>
      </c>
      <c r="C615" s="212" t="s">
        <v>1736</v>
      </c>
      <c r="D615" s="212" t="s">
        <v>958</v>
      </c>
      <c r="E615" s="215" t="s">
        <v>1737</v>
      </c>
      <c r="F615" s="107" t="str">
        <f t="shared" si="25"/>
        <v>E-E</v>
      </c>
    </row>
    <row r="616" spans="2:8" ht="34">
      <c r="B616" s="211" t="s">
        <v>1741</v>
      </c>
      <c r="C616" s="212" t="s">
        <v>1739</v>
      </c>
      <c r="D616" s="212" t="s">
        <v>217</v>
      </c>
      <c r="E616" s="215" t="s">
        <v>1740</v>
      </c>
      <c r="F616" s="107" t="str">
        <f t="shared" si="25"/>
        <v>MS</v>
      </c>
    </row>
    <row r="617" spans="2:8" ht="17">
      <c r="B617" s="211" t="s">
        <v>1744</v>
      </c>
      <c r="C617" s="212" t="s">
        <v>427</v>
      </c>
      <c r="D617" s="212" t="s">
        <v>217</v>
      </c>
      <c r="F617" s="107" t="str">
        <f t="shared" si="25"/>
        <v>AIS</v>
      </c>
    </row>
    <row r="618" spans="2:8" ht="34">
      <c r="B618" s="211" t="s">
        <v>1760</v>
      </c>
      <c r="C618" s="212" t="s">
        <v>36</v>
      </c>
      <c r="D618" s="212" t="s">
        <v>36</v>
      </c>
      <c r="E618" s="215" t="s">
        <v>1761</v>
      </c>
      <c r="F618" s="107" t="str">
        <f t="shared" si="25"/>
        <v>CWL</v>
      </c>
      <c r="G618" s="213" t="s">
        <v>1762</v>
      </c>
    </row>
    <row r="619" spans="2:8" ht="17">
      <c r="B619" s="211" t="s">
        <v>1763</v>
      </c>
      <c r="C619" s="212" t="s">
        <v>217</v>
      </c>
      <c r="D619" s="212" t="s">
        <v>217</v>
      </c>
      <c r="E619" s="215" t="s">
        <v>1764</v>
      </c>
      <c r="F619" s="107" t="str">
        <f t="shared" si="25"/>
        <v>R</v>
      </c>
    </row>
    <row r="620" spans="2:8" ht="17">
      <c r="B620" s="211" t="s">
        <v>1765</v>
      </c>
      <c r="C620" s="212" t="s">
        <v>217</v>
      </c>
      <c r="D620" s="212" t="s">
        <v>217</v>
      </c>
      <c r="E620" s="215" t="s">
        <v>1766</v>
      </c>
      <c r="F620" s="107" t="str">
        <f t="shared" si="25"/>
        <v>PA</v>
      </c>
    </row>
    <row r="621" spans="2:8" ht="17">
      <c r="B621" s="211" t="s">
        <v>2842</v>
      </c>
      <c r="C621" s="212" t="s">
        <v>217</v>
      </c>
      <c r="D621" s="212" t="s">
        <v>217</v>
      </c>
      <c r="E621" s="215" t="s">
        <v>1767</v>
      </c>
      <c r="F621" s="107" t="str">
        <f t="shared" si="25"/>
        <v>J-EC</v>
      </c>
    </row>
    <row r="622" spans="2:8" ht="17">
      <c r="B622" s="211" t="s">
        <v>1768</v>
      </c>
      <c r="C622" s="212" t="s">
        <v>804</v>
      </c>
      <c r="D622" s="212" t="s">
        <v>217</v>
      </c>
      <c r="E622" s="215" t="s">
        <v>1769</v>
      </c>
      <c r="F622" s="107" t="str">
        <f t="shared" si="25"/>
        <v>GA</v>
      </c>
    </row>
    <row r="623" spans="2:8" ht="17">
      <c r="B623" s="211" t="s">
        <v>1770</v>
      </c>
      <c r="C623" s="212" t="s">
        <v>1179</v>
      </c>
      <c r="D623" s="212" t="s">
        <v>217</v>
      </c>
      <c r="E623" s="215" t="s">
        <v>1771</v>
      </c>
      <c r="F623" s="107" t="str">
        <f t="shared" si="25"/>
        <v>LB</v>
      </c>
    </row>
    <row r="624" spans="2:8" ht="17">
      <c r="B624" s="211" t="s">
        <v>1773</v>
      </c>
      <c r="C624" s="212" t="s">
        <v>217</v>
      </c>
      <c r="D624" s="212" t="s">
        <v>217</v>
      </c>
      <c r="F624" s="107" t="str">
        <f t="shared" si="25"/>
        <v>KA</v>
      </c>
    </row>
    <row r="625" spans="2:7" ht="17">
      <c r="B625" s="211" t="s">
        <v>1775</v>
      </c>
      <c r="C625" s="212" t="s">
        <v>306</v>
      </c>
      <c r="D625" s="212" t="s">
        <v>306</v>
      </c>
      <c r="F625" s="107" t="str">
        <f t="shared" si="25"/>
        <v>H9LP</v>
      </c>
    </row>
    <row r="626" spans="2:7" ht="17">
      <c r="B626" s="211" t="s">
        <v>1777</v>
      </c>
      <c r="C626" s="212" t="s">
        <v>183</v>
      </c>
      <c r="D626" s="212" t="s">
        <v>217</v>
      </c>
      <c r="F626" s="107" t="str">
        <f t="shared" si="25"/>
        <v>SJTE</v>
      </c>
    </row>
    <row r="627" spans="2:7" ht="17">
      <c r="B627" s="211" t="s">
        <v>1782</v>
      </c>
      <c r="C627" s="212" t="s">
        <v>217</v>
      </c>
      <c r="D627" s="212" t="s">
        <v>217</v>
      </c>
      <c r="F627" s="107" t="str">
        <f t="shared" si="25"/>
        <v>IL</v>
      </c>
    </row>
    <row r="628" spans="2:7" ht="17">
      <c r="B628" s="211" t="s">
        <v>1783</v>
      </c>
      <c r="C628" s="212" t="s">
        <v>121</v>
      </c>
      <c r="D628" s="212" t="s">
        <v>217</v>
      </c>
      <c r="E628" s="215" t="s">
        <v>1784</v>
      </c>
      <c r="F628" s="107" t="str">
        <f t="shared" si="25"/>
        <v>E</v>
      </c>
    </row>
    <row r="629" spans="2:7" ht="17">
      <c r="B629" s="211" t="s">
        <v>1785</v>
      </c>
      <c r="C629" s="212" t="s">
        <v>343</v>
      </c>
      <c r="D629" s="212" t="s">
        <v>343</v>
      </c>
      <c r="E629" s="215" t="s">
        <v>1786</v>
      </c>
      <c r="F629" s="107" t="str">
        <f t="shared" si="25"/>
        <v>L</v>
      </c>
    </row>
    <row r="630" spans="2:7" ht="17">
      <c r="B630" s="211" t="s">
        <v>1787</v>
      </c>
      <c r="C630" s="212" t="s">
        <v>857</v>
      </c>
      <c r="D630" s="212" t="s">
        <v>857</v>
      </c>
      <c r="E630" s="215" t="s">
        <v>1788</v>
      </c>
      <c r="F630" s="107" t="str">
        <f t="shared" si="25"/>
        <v>UOEA</v>
      </c>
      <c r="G630" s="213" t="s">
        <v>1789</v>
      </c>
    </row>
    <row r="631" spans="2:7" ht="34">
      <c r="B631" s="211" t="s">
        <v>1790</v>
      </c>
      <c r="C631" s="212" t="s">
        <v>1791</v>
      </c>
      <c r="D631" s="212" t="s">
        <v>217</v>
      </c>
      <c r="F631" s="107" t="str">
        <f t="shared" si="25"/>
        <v>R</v>
      </c>
    </row>
    <row r="632" spans="2:7" ht="17">
      <c r="B632" s="211" t="s">
        <v>1792</v>
      </c>
      <c r="C632" s="212" t="s">
        <v>217</v>
      </c>
      <c r="D632" s="212" t="s">
        <v>217</v>
      </c>
      <c r="E632" s="215" t="s">
        <v>1</v>
      </c>
      <c r="F632" s="107" t="str">
        <f t="shared" si="25"/>
        <v>PC</v>
      </c>
    </row>
    <row r="633" spans="2:7" ht="17">
      <c r="B633" s="211" t="s">
        <v>1793</v>
      </c>
      <c r="C633" s="212" t="s">
        <v>30</v>
      </c>
      <c r="D633" s="212" t="s">
        <v>956</v>
      </c>
      <c r="E633" s="215" t="s">
        <v>1794</v>
      </c>
      <c r="F633" s="107" t="str">
        <f t="shared" si="25"/>
        <v>P</v>
      </c>
    </row>
    <row r="634" spans="2:7" ht="17">
      <c r="B634" s="211" t="s">
        <v>1795</v>
      </c>
      <c r="C634" s="212" t="s">
        <v>1580</v>
      </c>
      <c r="D634" s="212" t="s">
        <v>36</v>
      </c>
      <c r="E634" s="215" t="s">
        <v>1796</v>
      </c>
      <c r="F634" s="107" t="str">
        <f t="shared" si="25"/>
        <v>MMOG</v>
      </c>
      <c r="G634" s="213" t="s">
        <v>1797</v>
      </c>
    </row>
    <row r="635" spans="2:7" ht="34">
      <c r="B635" s="211" t="s">
        <v>1798</v>
      </c>
      <c r="C635" s="212" t="s">
        <v>1799</v>
      </c>
      <c r="D635" s="212" t="s">
        <v>36</v>
      </c>
      <c r="E635" s="215" t="s">
        <v>1796</v>
      </c>
      <c r="F635" s="107" t="str">
        <f t="shared" si="25"/>
        <v>CA</v>
      </c>
    </row>
    <row r="636" spans="2:7" ht="17">
      <c r="B636" s="211" t="s">
        <v>1801</v>
      </c>
      <c r="C636" s="212" t="s">
        <v>555</v>
      </c>
      <c r="D636" s="212" t="s">
        <v>217</v>
      </c>
      <c r="F636" s="107" t="str">
        <f t="shared" si="25"/>
        <v>D</v>
      </c>
    </row>
    <row r="637" spans="2:7" ht="17">
      <c r="B637" s="211" t="s">
        <v>1802</v>
      </c>
      <c r="C637" s="212" t="s">
        <v>1803</v>
      </c>
      <c r="D637" s="212" t="s">
        <v>217</v>
      </c>
      <c r="E637" s="215" t="s">
        <v>1804</v>
      </c>
      <c r="F637" s="107" t="str">
        <f t="shared" si="25"/>
        <v>R-SH</v>
      </c>
    </row>
    <row r="638" spans="2:7" ht="51">
      <c r="B638" s="211" t="s">
        <v>1814</v>
      </c>
      <c r="C638" s="212" t="s">
        <v>1815</v>
      </c>
      <c r="D638" s="212" t="s">
        <v>50</v>
      </c>
      <c r="E638" s="215" t="s">
        <v>1817</v>
      </c>
      <c r="F638" s="107" t="str">
        <f t="shared" si="25"/>
        <v>NL</v>
      </c>
      <c r="G638" s="213" t="s">
        <v>1816</v>
      </c>
    </row>
    <row r="639" spans="2:7" ht="17">
      <c r="B639" s="211" t="s">
        <v>1842</v>
      </c>
      <c r="C639" s="212" t="s">
        <v>1843</v>
      </c>
      <c r="D639" s="212" t="s">
        <v>217</v>
      </c>
      <c r="F639" s="107" t="str">
        <f t="shared" si="25"/>
        <v>RY</v>
      </c>
    </row>
    <row r="640" spans="2:7" ht="17">
      <c r="B640" s="211" t="s">
        <v>1858</v>
      </c>
      <c r="C640" s="212" t="s">
        <v>251</v>
      </c>
      <c r="D640" s="212" t="s">
        <v>217</v>
      </c>
      <c r="F640" s="107" t="str">
        <f t="shared" si="25"/>
        <v>MB</v>
      </c>
    </row>
    <row r="641" spans="2:7" ht="17">
      <c r="B641" s="211" t="s">
        <v>1860</v>
      </c>
      <c r="C641" s="212" t="s">
        <v>217</v>
      </c>
      <c r="D641" s="212" t="s">
        <v>217</v>
      </c>
      <c r="E641" s="215" t="s">
        <v>1861</v>
      </c>
      <c r="F641" s="107" t="str">
        <f t="shared" si="25"/>
        <v>PJ</v>
      </c>
    </row>
    <row r="642" spans="2:7" ht="17">
      <c r="B642" s="211" t="s">
        <v>1862</v>
      </c>
      <c r="C642" s="212" t="s">
        <v>1258</v>
      </c>
      <c r="D642" s="212" t="s">
        <v>1258</v>
      </c>
      <c r="E642" s="215" t="s">
        <v>1863</v>
      </c>
      <c r="F642" s="107" t="str">
        <f t="shared" si="25"/>
        <v>IKK</v>
      </c>
    </row>
    <row r="643" spans="2:7" ht="17">
      <c r="B643" s="211" t="s">
        <v>1867</v>
      </c>
      <c r="C643" s="212" t="s">
        <v>393</v>
      </c>
      <c r="D643" s="212" t="s">
        <v>217</v>
      </c>
      <c r="E643" s="215" t="s">
        <v>1866</v>
      </c>
      <c r="F643" s="107" t="str">
        <f t="shared" ref="F643:F706" si="27">UPPER(LEFT(B643,1)) &amp; IFERROR(UPPER(LEFT(MID(B643,FIND(" ",B643)+1,LEN(B643)),1)),"") &amp; IFERROR(UPPER(LEFT(MID(B643,FIND(" ",B643,FIND(" ",B643)+1)+1,LEN(B643)),1)),"") &amp; IFERROR(UPPER(LEFT(MID(B643,FIND(" ",B643,FIND(" ",B643,FIND(" ",B643)+1)+1)+1,LEN(B643)),1)),"")</f>
        <v>N-D</v>
      </c>
    </row>
    <row r="644" spans="2:7" ht="17">
      <c r="B644" s="211" t="s">
        <v>1868</v>
      </c>
      <c r="C644" s="212" t="s">
        <v>1179</v>
      </c>
      <c r="D644" s="212" t="s">
        <v>217</v>
      </c>
      <c r="E644" s="215" t="s">
        <v>1869</v>
      </c>
      <c r="F644" s="107" t="str">
        <f t="shared" si="27"/>
        <v>SRB</v>
      </c>
      <c r="G644" s="213" t="s">
        <v>1870</v>
      </c>
    </row>
    <row r="645" spans="2:7" ht="17">
      <c r="B645" s="211" t="s">
        <v>1871</v>
      </c>
      <c r="C645" s="212" t="s">
        <v>1872</v>
      </c>
      <c r="D645" s="212" t="s">
        <v>1872</v>
      </c>
      <c r="E645" s="215" t="s">
        <v>1873</v>
      </c>
      <c r="F645" s="107" t="str">
        <f t="shared" si="27"/>
        <v>LMZ</v>
      </c>
    </row>
    <row r="646" spans="2:7" ht="17">
      <c r="B646" s="211" t="s">
        <v>1875</v>
      </c>
      <c r="C646" s="212" t="s">
        <v>217</v>
      </c>
      <c r="D646" s="212" t="s">
        <v>217</v>
      </c>
      <c r="F646" s="107" t="str">
        <f t="shared" si="27"/>
        <v>KTH</v>
      </c>
    </row>
    <row r="647" spans="2:7" ht="17">
      <c r="B647" s="211" t="s">
        <v>1876</v>
      </c>
      <c r="C647" s="212" t="s">
        <v>467</v>
      </c>
      <c r="D647" s="212" t="s">
        <v>955</v>
      </c>
      <c r="F647" s="107" t="str">
        <f t="shared" si="27"/>
        <v>BS</v>
      </c>
    </row>
    <row r="648" spans="2:7" ht="17">
      <c r="B648" s="211" t="s">
        <v>1877</v>
      </c>
      <c r="C648" s="212" t="s">
        <v>275</v>
      </c>
      <c r="D648" s="212" t="s">
        <v>217</v>
      </c>
      <c r="E648" s="215" t="s">
        <v>1878</v>
      </c>
      <c r="F648" s="107" t="str">
        <f t="shared" si="27"/>
        <v>JA-J</v>
      </c>
    </row>
    <row r="649" spans="2:7" ht="17">
      <c r="B649" s="211" t="s">
        <v>1879</v>
      </c>
      <c r="C649" s="212" t="s">
        <v>1880</v>
      </c>
      <c r="D649" s="212" t="s">
        <v>217</v>
      </c>
      <c r="F649" s="107" t="str">
        <f t="shared" si="27"/>
        <v>ABG</v>
      </c>
      <c r="G649" s="213" t="s">
        <v>1185</v>
      </c>
    </row>
    <row r="650" spans="2:7" ht="17">
      <c r="B650" s="211" t="s">
        <v>1882</v>
      </c>
      <c r="C650" s="212" t="s">
        <v>217</v>
      </c>
      <c r="D650" s="212" t="s">
        <v>217</v>
      </c>
      <c r="E650" s="215" t="s">
        <v>1883</v>
      </c>
      <c r="F650" s="107" t="str">
        <f t="shared" si="27"/>
        <v>KICA</v>
      </c>
      <c r="G650" s="213" t="s">
        <v>1884</v>
      </c>
    </row>
    <row r="651" spans="2:7" ht="17">
      <c r="B651" s="211" t="s">
        <v>1885</v>
      </c>
      <c r="C651" s="212" t="s">
        <v>217</v>
      </c>
      <c r="D651" s="212" t="s">
        <v>217</v>
      </c>
      <c r="E651" s="215" t="s">
        <v>1886</v>
      </c>
      <c r="F651" s="107" t="str">
        <f t="shared" si="27"/>
        <v>KA</v>
      </c>
    </row>
    <row r="652" spans="2:7" ht="17">
      <c r="B652" s="211" t="s">
        <v>1887</v>
      </c>
      <c r="C652" s="212" t="s">
        <v>1888</v>
      </c>
      <c r="D652" s="212" t="s">
        <v>217</v>
      </c>
      <c r="F652" s="107" t="str">
        <f t="shared" si="27"/>
        <v>MA</v>
      </c>
    </row>
    <row r="653" spans="2:7" ht="17">
      <c r="B653" s="211" t="s">
        <v>1889</v>
      </c>
      <c r="C653" s="212" t="s">
        <v>118</v>
      </c>
      <c r="D653" s="212" t="s">
        <v>217</v>
      </c>
      <c r="E653" s="215" t="s">
        <v>1890</v>
      </c>
      <c r="F653" s="107" t="str">
        <f t="shared" si="27"/>
        <v>WD</v>
      </c>
    </row>
    <row r="654" spans="2:7" ht="17">
      <c r="B654" s="211" t="s">
        <v>1891</v>
      </c>
      <c r="C654" s="212" t="s">
        <v>1400</v>
      </c>
      <c r="D654" s="212" t="s">
        <v>217</v>
      </c>
      <c r="E654" s="215" t="s">
        <v>1892</v>
      </c>
      <c r="F654" s="107" t="str">
        <f t="shared" si="27"/>
        <v>PO</v>
      </c>
    </row>
    <row r="655" spans="2:7" ht="17">
      <c r="B655" s="211" t="s">
        <v>1893</v>
      </c>
      <c r="C655" s="212" t="s">
        <v>217</v>
      </c>
      <c r="D655" s="212" t="s">
        <v>217</v>
      </c>
      <c r="E655" s="212" t="s">
        <v>1894</v>
      </c>
      <c r="F655" s="107" t="str">
        <f t="shared" si="27"/>
        <v>D</v>
      </c>
    </row>
    <row r="656" spans="2:7" ht="17">
      <c r="B656" s="211" t="s">
        <v>1896</v>
      </c>
      <c r="C656" s="212" t="s">
        <v>217</v>
      </c>
      <c r="D656" s="212" t="s">
        <v>217</v>
      </c>
      <c r="E656" s="215" t="s">
        <v>1897</v>
      </c>
      <c r="F656" s="107" t="str">
        <f t="shared" si="27"/>
        <v>M</v>
      </c>
    </row>
    <row r="657" spans="2:8" ht="17">
      <c r="B657" s="211" t="s">
        <v>2453</v>
      </c>
      <c r="C657" s="212" t="s">
        <v>577</v>
      </c>
      <c r="D657" s="212" t="s">
        <v>1083</v>
      </c>
      <c r="E657" s="215" t="s">
        <v>1897</v>
      </c>
      <c r="F657" s="107" t="str">
        <f t="shared" si="27"/>
        <v>M-N</v>
      </c>
    </row>
    <row r="658" spans="2:8" ht="17">
      <c r="B658" s="211" t="s">
        <v>1916</v>
      </c>
      <c r="C658" s="212" t="s">
        <v>217</v>
      </c>
      <c r="D658" s="212" t="s">
        <v>217</v>
      </c>
      <c r="E658" s="215" t="s">
        <v>1917</v>
      </c>
      <c r="F658" s="107" t="str">
        <f t="shared" si="27"/>
        <v>I</v>
      </c>
      <c r="G658" s="213" t="s">
        <v>1918</v>
      </c>
    </row>
    <row r="659" spans="2:8" ht="17">
      <c r="B659" s="211" t="s">
        <v>1920</v>
      </c>
      <c r="C659" s="212" t="s">
        <v>1921</v>
      </c>
      <c r="D659" s="212" t="s">
        <v>36</v>
      </c>
      <c r="E659" s="225" t="s">
        <v>1922</v>
      </c>
      <c r="F659" s="107" t="str">
        <f t="shared" si="27"/>
        <v>GGC</v>
      </c>
      <c r="G659" s="213" t="s">
        <v>1919</v>
      </c>
    </row>
    <row r="660" spans="2:8" ht="17">
      <c r="B660" s="211" t="s">
        <v>1926</v>
      </c>
      <c r="C660" s="212" t="s">
        <v>58</v>
      </c>
      <c r="D660" s="212" t="s">
        <v>955</v>
      </c>
      <c r="F660" s="107" t="str">
        <f t="shared" si="27"/>
        <v>GM</v>
      </c>
    </row>
    <row r="661" spans="2:8" ht="17">
      <c r="B661" s="211" t="s">
        <v>1944</v>
      </c>
      <c r="C661" s="212" t="s">
        <v>217</v>
      </c>
      <c r="D661" s="212" t="s">
        <v>217</v>
      </c>
      <c r="E661" s="215" t="s">
        <v>1942</v>
      </c>
      <c r="F661" s="107" t="str">
        <f t="shared" si="27"/>
        <v>TO</v>
      </c>
      <c r="H661" s="224" t="s">
        <v>1943</v>
      </c>
    </row>
    <row r="662" spans="2:8" ht="17">
      <c r="B662" s="211" t="s">
        <v>1945</v>
      </c>
      <c r="C662" s="212" t="s">
        <v>439</v>
      </c>
      <c r="D662" s="212" t="s">
        <v>217</v>
      </c>
      <c r="E662" s="215" t="s">
        <v>2209</v>
      </c>
      <c r="F662" s="107" t="str">
        <f t="shared" si="27"/>
        <v>CS</v>
      </c>
    </row>
    <row r="663" spans="2:8" ht="17">
      <c r="B663" s="211" t="s">
        <v>1955</v>
      </c>
      <c r="C663" s="212" t="s">
        <v>1956</v>
      </c>
      <c r="D663" s="212" t="s">
        <v>217</v>
      </c>
      <c r="E663" s="215" t="s">
        <v>1957</v>
      </c>
      <c r="F663" s="107" t="str">
        <f t="shared" si="27"/>
        <v>JK</v>
      </c>
    </row>
    <row r="664" spans="2:8" ht="17">
      <c r="B664" s="211" t="s">
        <v>1959</v>
      </c>
      <c r="C664" s="212" t="s">
        <v>296</v>
      </c>
      <c r="D664" s="212" t="s">
        <v>296</v>
      </c>
      <c r="E664" s="215" t="s">
        <v>1960</v>
      </c>
      <c r="F664" s="107" t="str">
        <f t="shared" si="27"/>
        <v>A</v>
      </c>
    </row>
    <row r="665" spans="2:8" ht="17">
      <c r="B665" s="211" t="s">
        <v>2205</v>
      </c>
      <c r="C665" s="212" t="s">
        <v>2206</v>
      </c>
      <c r="D665" s="212" t="s">
        <v>217</v>
      </c>
      <c r="E665" s="215" t="s">
        <v>2207</v>
      </c>
      <c r="F665" s="107" t="str">
        <f t="shared" si="27"/>
        <v>PT</v>
      </c>
      <c r="H665" s="224" t="s">
        <v>2208</v>
      </c>
    </row>
    <row r="666" spans="2:8" ht="17">
      <c r="B666" s="211" t="s">
        <v>2335</v>
      </c>
      <c r="C666" s="212" t="s">
        <v>275</v>
      </c>
      <c r="D666" s="212" t="s">
        <v>217</v>
      </c>
      <c r="E666" s="215" t="s">
        <v>2336</v>
      </c>
      <c r="F666" s="107" t="str">
        <f t="shared" si="27"/>
        <v>EA</v>
      </c>
      <c r="H666" s="224" t="s">
        <v>2337</v>
      </c>
    </row>
    <row r="667" spans="2:8" ht="34">
      <c r="B667" s="211" t="s">
        <v>2338</v>
      </c>
      <c r="C667" s="212" t="s">
        <v>2339</v>
      </c>
      <c r="D667" s="212" t="s">
        <v>217</v>
      </c>
      <c r="E667" s="215" t="s">
        <v>2340</v>
      </c>
      <c r="F667" s="107" t="str">
        <f t="shared" si="27"/>
        <v>T</v>
      </c>
    </row>
    <row r="668" spans="2:8" ht="17">
      <c r="B668" s="211" t="s">
        <v>2341</v>
      </c>
      <c r="C668" s="212" t="s">
        <v>1537</v>
      </c>
      <c r="D668" s="212" t="s">
        <v>217</v>
      </c>
      <c r="E668" s="215" t="s">
        <v>1728</v>
      </c>
      <c r="F668" s="107" t="str">
        <f t="shared" si="27"/>
        <v>SICC</v>
      </c>
    </row>
    <row r="669" spans="2:8" ht="17">
      <c r="B669" s="211" t="s">
        <v>2342</v>
      </c>
      <c r="C669" s="212" t="s">
        <v>1537</v>
      </c>
      <c r="D669" s="212" t="s">
        <v>217</v>
      </c>
      <c r="E669" s="215" t="s">
        <v>1728</v>
      </c>
      <c r="F669" s="107" t="str">
        <f t="shared" si="27"/>
        <v>SICC</v>
      </c>
    </row>
    <row r="670" spans="2:8" ht="17">
      <c r="B670" s="211" t="s">
        <v>2344</v>
      </c>
      <c r="C670" s="212" t="s">
        <v>217</v>
      </c>
      <c r="D670" s="212" t="s">
        <v>217</v>
      </c>
      <c r="E670" s="215" t="s">
        <v>2345</v>
      </c>
      <c r="F670" s="107" t="str">
        <f t="shared" si="27"/>
        <v>B</v>
      </c>
    </row>
    <row r="671" spans="2:8" ht="17">
      <c r="B671" s="211" t="s">
        <v>2346</v>
      </c>
      <c r="C671" s="212" t="s">
        <v>802</v>
      </c>
      <c r="D671" s="212" t="s">
        <v>955</v>
      </c>
      <c r="F671" s="107" t="str">
        <f t="shared" si="27"/>
        <v>AK-A</v>
      </c>
    </row>
    <row r="672" spans="2:8" ht="17">
      <c r="B672" s="211" t="s">
        <v>2347</v>
      </c>
      <c r="C672" s="212" t="s">
        <v>613</v>
      </c>
      <c r="D672" s="212" t="s">
        <v>217</v>
      </c>
      <c r="E672" s="215" t="s">
        <v>2348</v>
      </c>
      <c r="F672" s="107" t="str">
        <f t="shared" si="27"/>
        <v>CA</v>
      </c>
    </row>
    <row r="673" spans="2:8" ht="17">
      <c r="B673" s="211" t="s">
        <v>2349</v>
      </c>
      <c r="C673" s="212" t="s">
        <v>2350</v>
      </c>
      <c r="D673" s="212" t="s">
        <v>956</v>
      </c>
      <c r="E673" s="215" t="s">
        <v>2351</v>
      </c>
      <c r="F673" s="107" t="str">
        <f t="shared" si="27"/>
        <v>MB</v>
      </c>
      <c r="H673" s="224" t="s">
        <v>2352</v>
      </c>
    </row>
    <row r="674" spans="2:8" ht="17">
      <c r="B674" s="211" t="s">
        <v>2369</v>
      </c>
      <c r="C674" s="212" t="s">
        <v>217</v>
      </c>
      <c r="D674" s="212" t="s">
        <v>217</v>
      </c>
      <c r="F674" s="107" t="str">
        <f t="shared" si="27"/>
        <v>AG</v>
      </c>
    </row>
    <row r="675" spans="2:8" ht="17">
      <c r="B675" s="211" t="s">
        <v>2370</v>
      </c>
      <c r="C675" s="212" t="s">
        <v>2371</v>
      </c>
      <c r="D675" s="212" t="s">
        <v>955</v>
      </c>
      <c r="E675" s="215" t="s">
        <v>2372</v>
      </c>
      <c r="F675" s="107" t="str">
        <f t="shared" si="27"/>
        <v>M</v>
      </c>
    </row>
    <row r="676" spans="2:8" ht="17">
      <c r="B676" s="211" t="s">
        <v>2373</v>
      </c>
      <c r="C676" s="212" t="s">
        <v>996</v>
      </c>
      <c r="D676" s="212" t="s">
        <v>956</v>
      </c>
      <c r="E676" s="215" t="s">
        <v>2374</v>
      </c>
      <c r="F676" s="107" t="str">
        <f t="shared" si="27"/>
        <v>EA</v>
      </c>
    </row>
    <row r="677" spans="2:8" ht="17">
      <c r="B677" s="211" t="s">
        <v>2375</v>
      </c>
      <c r="C677" s="212" t="s">
        <v>2376</v>
      </c>
      <c r="D677" s="212" t="s">
        <v>955</v>
      </c>
      <c r="E677" s="215" t="s">
        <v>2377</v>
      </c>
      <c r="F677" s="107" t="str">
        <f t="shared" si="27"/>
        <v>AB</v>
      </c>
    </row>
    <row r="678" spans="2:8" ht="51">
      <c r="B678" s="211" t="s">
        <v>2378</v>
      </c>
      <c r="C678" s="212" t="s">
        <v>2380</v>
      </c>
      <c r="D678" s="212" t="s">
        <v>217</v>
      </c>
      <c r="E678" s="215" t="s">
        <v>2379</v>
      </c>
      <c r="F678" s="107" t="str">
        <f t="shared" si="27"/>
        <v>EGAO</v>
      </c>
    </row>
    <row r="679" spans="2:8" ht="17">
      <c r="B679" s="211" t="s">
        <v>2381</v>
      </c>
      <c r="C679" s="212" t="s">
        <v>217</v>
      </c>
      <c r="D679" s="212" t="s">
        <v>217</v>
      </c>
      <c r="E679" s="215" t="s">
        <v>2382</v>
      </c>
      <c r="F679" s="107" t="str">
        <f t="shared" si="27"/>
        <v>J</v>
      </c>
    </row>
    <row r="680" spans="2:8" ht="34">
      <c r="B680" s="211" t="s">
        <v>2383</v>
      </c>
      <c r="C680" s="212" t="s">
        <v>2384</v>
      </c>
      <c r="D680" s="212" t="s">
        <v>217</v>
      </c>
      <c r="E680" s="215" t="s">
        <v>2385</v>
      </c>
      <c r="F680" s="107" t="str">
        <f t="shared" si="27"/>
        <v>DBA</v>
      </c>
    </row>
    <row r="681" spans="2:8" ht="17">
      <c r="B681" s="211" t="s">
        <v>2386</v>
      </c>
      <c r="C681" s="212" t="s">
        <v>217</v>
      </c>
      <c r="D681" s="212" t="s">
        <v>217</v>
      </c>
      <c r="F681" s="107" t="str">
        <f t="shared" si="27"/>
        <v>RB</v>
      </c>
    </row>
    <row r="682" spans="2:8" ht="17">
      <c r="B682" s="211" t="s">
        <v>2387</v>
      </c>
      <c r="C682" s="212" t="s">
        <v>217</v>
      </c>
      <c r="D682" s="212" t="s">
        <v>217</v>
      </c>
      <c r="E682" s="215" t="s">
        <v>2388</v>
      </c>
      <c r="F682" s="107" t="str">
        <f t="shared" si="27"/>
        <v>TO</v>
      </c>
    </row>
    <row r="683" spans="2:8" ht="17">
      <c r="B683" s="211" t="s">
        <v>2390</v>
      </c>
      <c r="C683" s="212" t="s">
        <v>2391</v>
      </c>
      <c r="D683" s="212" t="s">
        <v>52</v>
      </c>
      <c r="E683" s="215" t="s">
        <v>2392</v>
      </c>
      <c r="F683" s="107" t="str">
        <f t="shared" si="27"/>
        <v>PV</v>
      </c>
      <c r="G683" s="213" t="s">
        <v>2389</v>
      </c>
    </row>
    <row r="684" spans="2:8" ht="17">
      <c r="B684" s="211" t="s">
        <v>2393</v>
      </c>
      <c r="C684" s="212" t="s">
        <v>217</v>
      </c>
      <c r="D684" s="212" t="s">
        <v>217</v>
      </c>
      <c r="F684" s="107" t="str">
        <f t="shared" si="27"/>
        <v>T</v>
      </c>
    </row>
    <row r="685" spans="2:8" ht="17">
      <c r="B685" s="211" t="s">
        <v>2394</v>
      </c>
      <c r="C685" s="212" t="s">
        <v>50</v>
      </c>
      <c r="D685" s="212" t="s">
        <v>50</v>
      </c>
      <c r="F685" s="107" t="str">
        <f t="shared" si="27"/>
        <v>CB</v>
      </c>
    </row>
    <row r="686" spans="2:8" ht="17">
      <c r="B686" s="211" t="s">
        <v>2401</v>
      </c>
      <c r="C686" s="212" t="s">
        <v>217</v>
      </c>
      <c r="D686" s="212" t="s">
        <v>217</v>
      </c>
      <c r="E686" s="215" t="s">
        <v>2402</v>
      </c>
      <c r="F686" s="107" t="str">
        <f t="shared" si="27"/>
        <v>K</v>
      </c>
    </row>
    <row r="687" spans="2:8" ht="17">
      <c r="B687" s="211" t="s">
        <v>2403</v>
      </c>
      <c r="C687" s="212" t="s">
        <v>217</v>
      </c>
      <c r="D687" s="212" t="s">
        <v>217</v>
      </c>
      <c r="F687" s="107" t="str">
        <f t="shared" si="27"/>
        <v>AT</v>
      </c>
    </row>
    <row r="688" spans="2:8" ht="51">
      <c r="B688" s="211" t="s">
        <v>2404</v>
      </c>
      <c r="C688" s="212" t="s">
        <v>2405</v>
      </c>
      <c r="D688" s="212" t="s">
        <v>217</v>
      </c>
      <c r="E688" s="215" t="s">
        <v>681</v>
      </c>
      <c r="F688" s="107" t="str">
        <f t="shared" si="27"/>
        <v>KAGL</v>
      </c>
    </row>
    <row r="689" spans="2:6" ht="17">
      <c r="B689" s="211" t="s">
        <v>2406</v>
      </c>
      <c r="C689" s="212" t="s">
        <v>36</v>
      </c>
      <c r="D689" s="212" t="s">
        <v>217</v>
      </c>
      <c r="F689" s="107" t="str">
        <f t="shared" si="27"/>
        <v>ES</v>
      </c>
    </row>
    <row r="690" spans="2:6" ht="17">
      <c r="B690" s="211" t="s">
        <v>2407</v>
      </c>
      <c r="C690" s="212" t="s">
        <v>217</v>
      </c>
      <c r="D690" s="212" t="s">
        <v>217</v>
      </c>
      <c r="E690" s="215" t="s">
        <v>2408</v>
      </c>
      <c r="F690" s="107" t="str">
        <f t="shared" si="27"/>
        <v>KA</v>
      </c>
    </row>
    <row r="691" spans="2:6" ht="17">
      <c r="B691" s="211" t="s">
        <v>2409</v>
      </c>
      <c r="C691" s="212" t="s">
        <v>217</v>
      </c>
      <c r="D691" s="212" t="s">
        <v>217</v>
      </c>
      <c r="E691" s="215" t="s">
        <v>2410</v>
      </c>
      <c r="F691" s="107" t="str">
        <f t="shared" si="27"/>
        <v>IIKB</v>
      </c>
    </row>
    <row r="692" spans="2:6" ht="17">
      <c r="B692" s="211" t="s">
        <v>2411</v>
      </c>
      <c r="C692" s="212" t="s">
        <v>81</v>
      </c>
      <c r="D692" s="212" t="s">
        <v>217</v>
      </c>
      <c r="E692" s="215" t="s">
        <v>2412</v>
      </c>
      <c r="F692" s="107" t="str">
        <f t="shared" si="27"/>
        <v>PA</v>
      </c>
    </row>
    <row r="693" spans="2:6" ht="17">
      <c r="B693" s="211" t="s">
        <v>2413</v>
      </c>
      <c r="C693" s="212" t="s">
        <v>353</v>
      </c>
      <c r="D693" s="212" t="s">
        <v>217</v>
      </c>
      <c r="E693" s="215" t="s">
        <v>2414</v>
      </c>
      <c r="F693" s="107" t="str">
        <f t="shared" si="27"/>
        <v>ME</v>
      </c>
    </row>
    <row r="694" spans="2:6" ht="17">
      <c r="B694" s="211" t="s">
        <v>2415</v>
      </c>
      <c r="C694" s="212" t="s">
        <v>272</v>
      </c>
      <c r="D694" s="212" t="s">
        <v>217</v>
      </c>
      <c r="E694" s="215" t="s">
        <v>2416</v>
      </c>
      <c r="F694" s="107" t="str">
        <f t="shared" si="27"/>
        <v>KSA</v>
      </c>
    </row>
    <row r="695" spans="2:6" ht="17">
      <c r="B695" s="211" t="s">
        <v>2422</v>
      </c>
      <c r="C695" s="212" t="s">
        <v>39</v>
      </c>
      <c r="D695" s="212" t="s">
        <v>217</v>
      </c>
      <c r="E695" s="215" t="s">
        <v>2423</v>
      </c>
      <c r="F695" s="107" t="str">
        <f t="shared" si="27"/>
        <v>AAY</v>
      </c>
    </row>
    <row r="696" spans="2:6" ht="17">
      <c r="B696" s="211" t="s">
        <v>2424</v>
      </c>
      <c r="C696" s="212" t="s">
        <v>70</v>
      </c>
      <c r="D696" s="212" t="s">
        <v>217</v>
      </c>
      <c r="E696" s="212" t="s">
        <v>2425</v>
      </c>
      <c r="F696" s="107" t="str">
        <f t="shared" si="27"/>
        <v>E-K</v>
      </c>
    </row>
    <row r="697" spans="2:6" ht="17">
      <c r="B697" s="211" t="s">
        <v>1554</v>
      </c>
      <c r="C697" s="212" t="s">
        <v>47</v>
      </c>
      <c r="D697" s="212" t="s">
        <v>217</v>
      </c>
      <c r="F697" s="107" t="str">
        <f t="shared" si="27"/>
        <v>I</v>
      </c>
    </row>
    <row r="698" spans="2:6" ht="17">
      <c r="B698" s="211" t="s">
        <v>2426</v>
      </c>
      <c r="C698" s="212" t="s">
        <v>30</v>
      </c>
      <c r="D698" s="212" t="s">
        <v>217</v>
      </c>
      <c r="E698" s="215" t="s">
        <v>2427</v>
      </c>
      <c r="F698" s="107" t="str">
        <f t="shared" si="27"/>
        <v>EBY</v>
      </c>
    </row>
    <row r="699" spans="2:6" ht="17">
      <c r="B699" s="211" t="s">
        <v>2428</v>
      </c>
      <c r="C699" s="212" t="s">
        <v>217</v>
      </c>
      <c r="D699" s="212" t="s">
        <v>217</v>
      </c>
      <c r="E699" s="212" t="s">
        <v>2429</v>
      </c>
      <c r="F699" s="107" t="str">
        <f t="shared" si="27"/>
        <v>EP</v>
      </c>
    </row>
    <row r="700" spans="2:6" ht="17">
      <c r="B700" s="211" t="s">
        <v>2430</v>
      </c>
      <c r="C700" s="212" t="s">
        <v>30</v>
      </c>
      <c r="D700" s="212" t="s">
        <v>217</v>
      </c>
      <c r="E700" s="215" t="s">
        <v>2431</v>
      </c>
      <c r="F700" s="107" t="str">
        <f t="shared" si="27"/>
        <v>K</v>
      </c>
    </row>
    <row r="701" spans="2:6" ht="17">
      <c r="B701" s="211" t="s">
        <v>2434</v>
      </c>
      <c r="C701" s="212" t="s">
        <v>217</v>
      </c>
      <c r="D701" s="212" t="s">
        <v>217</v>
      </c>
      <c r="E701" s="215" t="s">
        <v>2435</v>
      </c>
      <c r="F701" s="107" t="str">
        <f t="shared" si="27"/>
        <v>H</v>
      </c>
    </row>
    <row r="702" spans="2:6" ht="17">
      <c r="B702" s="211" t="s">
        <v>2436</v>
      </c>
      <c r="C702" s="212" t="s">
        <v>1082</v>
      </c>
      <c r="D702" s="212" t="s">
        <v>1082</v>
      </c>
      <c r="E702" s="215" t="s">
        <v>2437</v>
      </c>
      <c r="F702" s="107" t="str">
        <f t="shared" si="27"/>
        <v>DJA</v>
      </c>
    </row>
    <row r="703" spans="2:6" ht="17">
      <c r="B703" s="211" t="s">
        <v>2438</v>
      </c>
      <c r="C703" s="212" t="s">
        <v>217</v>
      </c>
      <c r="D703" s="212" t="s">
        <v>217</v>
      </c>
      <c r="E703" s="215" t="s">
        <v>2439</v>
      </c>
      <c r="F703" s="107" t="str">
        <f t="shared" si="27"/>
        <v>PM</v>
      </c>
    </row>
    <row r="704" spans="2:6" ht="17">
      <c r="B704" s="211" t="s">
        <v>2441</v>
      </c>
      <c r="C704" s="212" t="s">
        <v>217</v>
      </c>
      <c r="D704" s="212" t="s">
        <v>217</v>
      </c>
      <c r="E704" s="215" t="s">
        <v>2440</v>
      </c>
      <c r="F704" s="107" t="str">
        <f t="shared" si="27"/>
        <v>T-V</v>
      </c>
    </row>
    <row r="705" spans="2:7" ht="17">
      <c r="B705" s="211" t="s">
        <v>1579</v>
      </c>
      <c r="C705" s="212" t="s">
        <v>217</v>
      </c>
      <c r="D705" s="212" t="s">
        <v>217</v>
      </c>
      <c r="E705" s="215" t="s">
        <v>1618</v>
      </c>
      <c r="F705" s="107" t="str">
        <f t="shared" si="27"/>
        <v>F</v>
      </c>
    </row>
    <row r="706" spans="2:7" ht="17">
      <c r="B706" s="211" t="s">
        <v>1362</v>
      </c>
      <c r="C706" s="212" t="s">
        <v>217</v>
      </c>
      <c r="D706" s="212" t="s">
        <v>217</v>
      </c>
      <c r="E706" s="215" t="s">
        <v>2443</v>
      </c>
      <c r="F706" s="107" t="str">
        <f t="shared" si="27"/>
        <v>JC</v>
      </c>
    </row>
    <row r="707" spans="2:7" ht="17">
      <c r="B707" s="211" t="s">
        <v>2444</v>
      </c>
      <c r="C707" s="212" t="s">
        <v>217</v>
      </c>
      <c r="D707" s="212" t="s">
        <v>217</v>
      </c>
      <c r="E707" s="215" t="s">
        <v>2445</v>
      </c>
      <c r="F707" s="107" t="str">
        <f t="shared" ref="F707:F770" si="28">UPPER(LEFT(B707,1)) &amp; IFERROR(UPPER(LEFT(MID(B707,FIND(" ",B707)+1,LEN(B707)),1)),"") &amp; IFERROR(UPPER(LEFT(MID(B707,FIND(" ",B707,FIND(" ",B707)+1)+1,LEN(B707)),1)),"") &amp; IFERROR(UPPER(LEFT(MID(B707,FIND(" ",B707,FIND(" ",B707,FIND(" ",B707)+1)+1)+1,LEN(B707)),1)),"")</f>
        <v>BN</v>
      </c>
    </row>
    <row r="708" spans="2:7" ht="17">
      <c r="B708" s="211" t="s">
        <v>2446</v>
      </c>
      <c r="C708" s="212" t="s">
        <v>217</v>
      </c>
      <c r="D708" s="212" t="s">
        <v>217</v>
      </c>
      <c r="F708" s="107" t="str">
        <f t="shared" si="28"/>
        <v>SE/P</v>
      </c>
    </row>
    <row r="709" spans="2:7" ht="17">
      <c r="B709" s="211" t="s">
        <v>2447</v>
      </c>
      <c r="C709" s="212" t="s">
        <v>859</v>
      </c>
      <c r="D709" s="212" t="s">
        <v>859</v>
      </c>
      <c r="E709" s="215" t="s">
        <v>2448</v>
      </c>
      <c r="F709" s="107" t="str">
        <f t="shared" si="28"/>
        <v>S</v>
      </c>
    </row>
    <row r="710" spans="2:7" ht="17">
      <c r="B710" s="211" t="s">
        <v>2449</v>
      </c>
      <c r="C710" s="212" t="s">
        <v>390</v>
      </c>
      <c r="D710" s="212" t="s">
        <v>955</v>
      </c>
      <c r="F710" s="107" t="str">
        <f t="shared" si="28"/>
        <v>PRH</v>
      </c>
      <c r="G710" s="213" t="s">
        <v>2450</v>
      </c>
    </row>
    <row r="711" spans="2:7" ht="17">
      <c r="B711" s="211" t="s">
        <v>2452</v>
      </c>
      <c r="C711" s="212" t="s">
        <v>217</v>
      </c>
      <c r="D711" s="212" t="s">
        <v>217</v>
      </c>
      <c r="E711" s="215" t="s">
        <v>2451</v>
      </c>
      <c r="F711" s="107" t="str">
        <f t="shared" si="28"/>
        <v>E-</v>
      </c>
    </row>
    <row r="712" spans="2:7" ht="17">
      <c r="B712" s="211" t="s">
        <v>2454</v>
      </c>
      <c r="C712" s="212" t="s">
        <v>857</v>
      </c>
      <c r="D712" s="212" t="s">
        <v>857</v>
      </c>
      <c r="E712" s="215" t="s">
        <v>2455</v>
      </c>
      <c r="F712" s="107" t="str">
        <f t="shared" si="28"/>
        <v>MA</v>
      </c>
    </row>
    <row r="713" spans="2:7" ht="17">
      <c r="B713" s="211" t="s">
        <v>2456</v>
      </c>
      <c r="C713" s="212" t="s">
        <v>94</v>
      </c>
      <c r="D713" s="212" t="s">
        <v>217</v>
      </c>
      <c r="E713" s="215" t="s">
        <v>2457</v>
      </c>
      <c r="F713" s="107" t="str">
        <f t="shared" si="28"/>
        <v>K</v>
      </c>
    </row>
    <row r="714" spans="2:7" ht="17">
      <c r="B714" s="211" t="s">
        <v>2458</v>
      </c>
      <c r="C714" s="212" t="s">
        <v>217</v>
      </c>
      <c r="D714" s="212" t="s">
        <v>217</v>
      </c>
      <c r="E714" s="215" t="s">
        <v>2459</v>
      </c>
      <c r="F714" s="107" t="str">
        <f t="shared" si="28"/>
        <v>MJ</v>
      </c>
    </row>
    <row r="715" spans="2:7" ht="17">
      <c r="B715" s="211" t="s">
        <v>2460</v>
      </c>
      <c r="C715" s="212" t="s">
        <v>33</v>
      </c>
      <c r="D715" s="212" t="s">
        <v>217</v>
      </c>
      <c r="E715" s="215" t="s">
        <v>2461</v>
      </c>
      <c r="F715" s="107" t="str">
        <f t="shared" si="28"/>
        <v>AY</v>
      </c>
    </row>
    <row r="716" spans="2:7" ht="17">
      <c r="B716" s="211" t="s">
        <v>2462</v>
      </c>
      <c r="C716" s="212" t="s">
        <v>410</v>
      </c>
      <c r="D716" s="212" t="s">
        <v>217</v>
      </c>
      <c r="E716" s="215" t="s">
        <v>2463</v>
      </c>
      <c r="F716" s="107" t="str">
        <f t="shared" si="28"/>
        <v>MF</v>
      </c>
    </row>
    <row r="717" spans="2:7" ht="17">
      <c r="B717" s="211" t="s">
        <v>2464</v>
      </c>
      <c r="C717" s="212" t="s">
        <v>2467</v>
      </c>
      <c r="D717" s="212" t="s">
        <v>217</v>
      </c>
      <c r="E717" s="215" t="s">
        <v>2466</v>
      </c>
      <c r="F717" s="107" t="str">
        <f t="shared" si="28"/>
        <v>SMMC</v>
      </c>
      <c r="G717" s="213" t="s">
        <v>2465</v>
      </c>
    </row>
    <row r="718" spans="2:7" ht="17">
      <c r="B718" s="211" t="s">
        <v>2469</v>
      </c>
      <c r="C718" s="212" t="s">
        <v>306</v>
      </c>
      <c r="D718" s="212" t="s">
        <v>956</v>
      </c>
      <c r="E718" s="215" t="s">
        <v>2468</v>
      </c>
      <c r="F718" s="107" t="str">
        <f t="shared" si="28"/>
        <v>PAB</v>
      </c>
    </row>
    <row r="719" spans="2:7" ht="34">
      <c r="B719" s="211" t="s">
        <v>2470</v>
      </c>
      <c r="C719" s="212" t="s">
        <v>629</v>
      </c>
      <c r="D719" s="212" t="s">
        <v>217</v>
      </c>
      <c r="E719" s="215" t="s">
        <v>2471</v>
      </c>
      <c r="F719" s="107" t="str">
        <f t="shared" si="28"/>
        <v>C</v>
      </c>
    </row>
    <row r="720" spans="2:7" ht="17">
      <c r="B720" s="211" t="s">
        <v>2496</v>
      </c>
      <c r="C720" s="212" t="s">
        <v>217</v>
      </c>
      <c r="D720" s="212" t="s">
        <v>217</v>
      </c>
      <c r="F720" s="107" t="str">
        <f t="shared" si="28"/>
        <v>SA</v>
      </c>
    </row>
    <row r="721" spans="2:8" ht="34">
      <c r="B721" s="211" t="s">
        <v>2497</v>
      </c>
      <c r="C721" s="212" t="s">
        <v>2498</v>
      </c>
      <c r="D721" s="212" t="s">
        <v>217</v>
      </c>
      <c r="F721" s="107" t="str">
        <f t="shared" si="28"/>
        <v>MFA</v>
      </c>
    </row>
    <row r="722" spans="2:8" ht="17">
      <c r="B722" s="211" t="s">
        <v>2499</v>
      </c>
      <c r="C722" s="212" t="s">
        <v>30</v>
      </c>
      <c r="D722" s="212" t="s">
        <v>217</v>
      </c>
      <c r="F722" s="107" t="str">
        <f t="shared" si="28"/>
        <v>GNCU</v>
      </c>
    </row>
    <row r="723" spans="2:8" ht="17">
      <c r="B723" s="211" t="s">
        <v>2503</v>
      </c>
      <c r="C723" s="212" t="s">
        <v>94</v>
      </c>
      <c r="D723" s="212" t="s">
        <v>217</v>
      </c>
      <c r="E723" s="215" t="s">
        <v>2504</v>
      </c>
      <c r="F723" s="107" t="str">
        <f t="shared" si="28"/>
        <v>MG</v>
      </c>
    </row>
    <row r="724" spans="2:8" ht="17">
      <c r="B724" s="211" t="s">
        <v>2512</v>
      </c>
      <c r="C724" s="212" t="s">
        <v>629</v>
      </c>
      <c r="D724" s="212" t="s">
        <v>217</v>
      </c>
      <c r="E724" s="215" t="s">
        <v>2513</v>
      </c>
      <c r="F724" s="107" t="str">
        <f t="shared" si="28"/>
        <v>V</v>
      </c>
    </row>
    <row r="725" spans="2:8" ht="17">
      <c r="B725" s="211" t="s">
        <v>2527</v>
      </c>
      <c r="C725" s="212" t="s">
        <v>220</v>
      </c>
      <c r="D725" s="212" t="s">
        <v>217</v>
      </c>
      <c r="E725" s="215" t="s">
        <v>2526</v>
      </c>
      <c r="F725" s="107" t="str">
        <f t="shared" si="28"/>
        <v>SO</v>
      </c>
      <c r="G725" s="216"/>
      <c r="H725" s="216" t="s">
        <v>2525</v>
      </c>
    </row>
    <row r="726" spans="2:8" ht="17">
      <c r="B726" s="211" t="s">
        <v>2528</v>
      </c>
      <c r="C726" s="212" t="s">
        <v>217</v>
      </c>
      <c r="D726" s="212" t="s">
        <v>217</v>
      </c>
      <c r="E726" s="215" t="s">
        <v>2529</v>
      </c>
      <c r="F726" s="107" t="str">
        <f t="shared" si="28"/>
        <v>MS</v>
      </c>
    </row>
    <row r="727" spans="2:8" ht="17">
      <c r="B727" s="211" t="s">
        <v>2530</v>
      </c>
      <c r="C727" s="212" t="s">
        <v>217</v>
      </c>
      <c r="D727" s="212" t="s">
        <v>217</v>
      </c>
      <c r="E727" s="215" t="s">
        <v>2532</v>
      </c>
      <c r="F727" s="107" t="str">
        <f t="shared" si="28"/>
        <v>E</v>
      </c>
      <c r="G727" s="213" t="s">
        <v>2531</v>
      </c>
    </row>
    <row r="728" spans="2:8" ht="15">
      <c r="B728" s="226" t="s">
        <v>2533</v>
      </c>
      <c r="C728" s="227" t="s">
        <v>217</v>
      </c>
      <c r="D728" s="227" t="s">
        <v>217</v>
      </c>
      <c r="E728" s="228" t="s">
        <v>1504</v>
      </c>
      <c r="F728" s="107" t="str">
        <f t="shared" si="28"/>
        <v>JA</v>
      </c>
    </row>
    <row r="729" spans="2:8" ht="15">
      <c r="B729" s="226" t="s">
        <v>2534</v>
      </c>
      <c r="C729" s="227" t="s">
        <v>217</v>
      </c>
      <c r="D729" s="227" t="s">
        <v>217</v>
      </c>
      <c r="E729" s="228" t="s">
        <v>2535</v>
      </c>
      <c r="F729" s="107" t="str">
        <f t="shared" si="28"/>
        <v>MT</v>
      </c>
      <c r="H729" s="224" t="s">
        <v>2539</v>
      </c>
    </row>
    <row r="730" spans="2:8" ht="15">
      <c r="B730" s="226" t="s">
        <v>2536</v>
      </c>
      <c r="C730" s="227" t="s">
        <v>2537</v>
      </c>
      <c r="D730" s="227" t="s">
        <v>217</v>
      </c>
      <c r="E730" s="228" t="s">
        <v>2538</v>
      </c>
      <c r="F730" s="107" t="str">
        <f t="shared" si="28"/>
        <v>MFE</v>
      </c>
    </row>
    <row r="731" spans="2:8" ht="15">
      <c r="B731" s="226" t="s">
        <v>2540</v>
      </c>
      <c r="C731" s="227" t="s">
        <v>393</v>
      </c>
      <c r="D731" s="227" t="s">
        <v>217</v>
      </c>
      <c r="E731" s="228" t="s">
        <v>2541</v>
      </c>
      <c r="F731" s="107" t="str">
        <f t="shared" si="28"/>
        <v>F</v>
      </c>
    </row>
    <row r="732" spans="2:8" ht="15">
      <c r="B732" s="226" t="s">
        <v>2542</v>
      </c>
      <c r="C732" s="228" t="s">
        <v>217</v>
      </c>
      <c r="D732" s="227" t="s">
        <v>217</v>
      </c>
      <c r="E732" s="228" t="s">
        <v>2543</v>
      </c>
      <c r="F732" s="107" t="str">
        <f t="shared" si="28"/>
        <v>MK</v>
      </c>
    </row>
    <row r="733" spans="2:8" ht="15">
      <c r="B733" s="226" t="s">
        <v>2544</v>
      </c>
      <c r="C733" s="227" t="s">
        <v>314</v>
      </c>
      <c r="D733" s="227" t="s">
        <v>217</v>
      </c>
      <c r="E733" s="228" t="s">
        <v>2545</v>
      </c>
      <c r="F733" s="107" t="str">
        <f t="shared" si="28"/>
        <v>E</v>
      </c>
    </row>
    <row r="734" spans="2:8" ht="17">
      <c r="B734" s="211" t="s">
        <v>2546</v>
      </c>
      <c r="C734" s="212" t="s">
        <v>36</v>
      </c>
      <c r="D734" s="212" t="s">
        <v>217</v>
      </c>
      <c r="E734" s="215" t="s">
        <v>2547</v>
      </c>
      <c r="F734" s="107" t="str">
        <f t="shared" si="28"/>
        <v>TGL</v>
      </c>
      <c r="G734" s="213" t="s">
        <v>2548</v>
      </c>
    </row>
    <row r="735" spans="2:8" ht="17">
      <c r="B735" s="211" t="s">
        <v>2550</v>
      </c>
      <c r="C735" s="212" t="s">
        <v>171</v>
      </c>
      <c r="D735" s="212" t="s">
        <v>217</v>
      </c>
      <c r="E735" s="215" t="s">
        <v>2549</v>
      </c>
      <c r="F735" s="107" t="str">
        <f t="shared" si="28"/>
        <v>MC</v>
      </c>
    </row>
    <row r="736" spans="2:8" ht="17">
      <c r="B736" s="211" t="s">
        <v>2551</v>
      </c>
      <c r="C736" s="212" t="s">
        <v>30</v>
      </c>
      <c r="D736" s="212" t="s">
        <v>217</v>
      </c>
      <c r="F736" s="107" t="str">
        <f t="shared" si="28"/>
        <v>MAS/</v>
      </c>
    </row>
    <row r="737" spans="2:8" ht="17">
      <c r="B737" s="211" t="s">
        <v>2552</v>
      </c>
      <c r="C737" s="212" t="s">
        <v>118</v>
      </c>
      <c r="D737" s="212" t="s">
        <v>217</v>
      </c>
      <c r="E737" s="215" t="s">
        <v>2553</v>
      </c>
      <c r="F737" s="107" t="str">
        <f t="shared" si="28"/>
        <v>ML</v>
      </c>
    </row>
    <row r="738" spans="2:8" ht="17">
      <c r="B738" s="211" t="s">
        <v>2554</v>
      </c>
      <c r="C738" s="212" t="s">
        <v>183</v>
      </c>
      <c r="D738" s="212" t="s">
        <v>217</v>
      </c>
      <c r="E738" s="215" t="s">
        <v>2555</v>
      </c>
      <c r="F738" s="107" t="str">
        <f t="shared" si="28"/>
        <v>OA</v>
      </c>
    </row>
    <row r="739" spans="2:8" ht="17">
      <c r="B739" s="211" t="s">
        <v>2556</v>
      </c>
      <c r="C739" s="212" t="s">
        <v>393</v>
      </c>
      <c r="D739" s="212" t="s">
        <v>217</v>
      </c>
      <c r="E739" s="215" t="s">
        <v>2557</v>
      </c>
      <c r="F739" s="107" t="str">
        <f t="shared" si="28"/>
        <v>MB</v>
      </c>
    </row>
    <row r="740" spans="2:8" ht="17">
      <c r="B740" s="211" t="s">
        <v>1250</v>
      </c>
      <c r="C740" s="212" t="s">
        <v>589</v>
      </c>
      <c r="D740" s="212" t="s">
        <v>217</v>
      </c>
      <c r="E740" s="215" t="s">
        <v>2558</v>
      </c>
      <c r="F740" s="107" t="str">
        <f t="shared" si="28"/>
        <v>D</v>
      </c>
    </row>
    <row r="741" spans="2:8" ht="34">
      <c r="B741" s="211" t="s">
        <v>2559</v>
      </c>
      <c r="C741" s="212" t="s">
        <v>2560</v>
      </c>
      <c r="D741" s="212" t="s">
        <v>217</v>
      </c>
      <c r="E741" s="215" t="s">
        <v>2562</v>
      </c>
      <c r="F741" s="107" t="str">
        <f t="shared" si="28"/>
        <v>AA</v>
      </c>
      <c r="H741" s="224" t="s">
        <v>2561</v>
      </c>
    </row>
    <row r="742" spans="2:8" ht="17">
      <c r="B742" s="214" t="s">
        <v>2563</v>
      </c>
      <c r="C742" s="212" t="s">
        <v>2566</v>
      </c>
      <c r="D742" s="212" t="s">
        <v>217</v>
      </c>
      <c r="E742" s="215" t="s">
        <v>2564</v>
      </c>
      <c r="F742" s="107" t="str">
        <f t="shared" si="28"/>
        <v>HA</v>
      </c>
      <c r="H742" s="224" t="s">
        <v>2565</v>
      </c>
    </row>
    <row r="743" spans="2:8" ht="17">
      <c r="B743" s="211" t="s">
        <v>2567</v>
      </c>
      <c r="C743" s="212" t="s">
        <v>1580</v>
      </c>
      <c r="D743" s="212" t="s">
        <v>217</v>
      </c>
      <c r="E743" s="215" t="s">
        <v>2569</v>
      </c>
      <c r="F743" s="107" t="str">
        <f t="shared" si="28"/>
        <v>GA</v>
      </c>
      <c r="H743" s="224" t="s">
        <v>2568</v>
      </c>
    </row>
    <row r="744" spans="2:8" ht="17">
      <c r="B744" s="211" t="s">
        <v>2570</v>
      </c>
      <c r="C744" s="212" t="s">
        <v>2573</v>
      </c>
      <c r="D744" s="212" t="s">
        <v>217</v>
      </c>
      <c r="E744" s="215" t="s">
        <v>2571</v>
      </c>
      <c r="F744" s="107" t="str">
        <f t="shared" si="28"/>
        <v>SA</v>
      </c>
      <c r="H744" s="224" t="s">
        <v>2572</v>
      </c>
    </row>
    <row r="745" spans="2:8" ht="17">
      <c r="B745" s="211" t="s">
        <v>2574</v>
      </c>
      <c r="C745" s="212" t="s">
        <v>217</v>
      </c>
      <c r="D745" s="212" t="s">
        <v>217</v>
      </c>
      <c r="E745" s="215" t="s">
        <v>2575</v>
      </c>
      <c r="F745" s="107" t="str">
        <f t="shared" si="28"/>
        <v>HI</v>
      </c>
    </row>
    <row r="746" spans="2:8" ht="17">
      <c r="B746" s="211" t="s">
        <v>2576</v>
      </c>
      <c r="C746" s="212" t="s">
        <v>30</v>
      </c>
      <c r="D746" s="212" t="s">
        <v>217</v>
      </c>
      <c r="E746" s="215" t="s">
        <v>2577</v>
      </c>
      <c r="F746" s="107" t="str">
        <f t="shared" si="28"/>
        <v>WG</v>
      </c>
    </row>
    <row r="747" spans="2:8" ht="17">
      <c r="B747" s="211" t="s">
        <v>2578</v>
      </c>
      <c r="C747" s="212" t="s">
        <v>1580</v>
      </c>
      <c r="D747" s="212" t="s">
        <v>217</v>
      </c>
      <c r="E747" s="215" t="s">
        <v>2579</v>
      </c>
      <c r="F747" s="107" t="str">
        <f t="shared" si="28"/>
        <v>C</v>
      </c>
    </row>
    <row r="748" spans="2:8" ht="17">
      <c r="B748" s="211" t="s">
        <v>2580</v>
      </c>
      <c r="C748" s="212" t="s">
        <v>217</v>
      </c>
      <c r="D748" s="212" t="s">
        <v>217</v>
      </c>
      <c r="F748" s="107" t="str">
        <f t="shared" si="28"/>
        <v>EB</v>
      </c>
    </row>
    <row r="749" spans="2:8" ht="17">
      <c r="B749" s="211" t="s">
        <v>2581</v>
      </c>
      <c r="C749" s="212" t="s">
        <v>217</v>
      </c>
      <c r="D749" s="212" t="s">
        <v>217</v>
      </c>
      <c r="E749" s="215" t="s">
        <v>2582</v>
      </c>
      <c r="F749" s="107" t="str">
        <f t="shared" si="28"/>
        <v>DO</v>
      </c>
    </row>
    <row r="750" spans="2:8" ht="17">
      <c r="B750" s="211" t="s">
        <v>2583</v>
      </c>
      <c r="C750" s="212" t="s">
        <v>217</v>
      </c>
      <c r="D750" s="212" t="s">
        <v>217</v>
      </c>
      <c r="E750" s="215" t="s">
        <v>2584</v>
      </c>
      <c r="F750" s="107" t="str">
        <f t="shared" si="28"/>
        <v>MA</v>
      </c>
    </row>
    <row r="751" spans="2:8" ht="17">
      <c r="B751" s="211" t="s">
        <v>2585</v>
      </c>
      <c r="C751" s="212" t="s">
        <v>340</v>
      </c>
      <c r="D751" s="212" t="s">
        <v>217</v>
      </c>
      <c r="E751" s="215" t="s">
        <v>2586</v>
      </c>
      <c r="F751" s="107" t="str">
        <f t="shared" si="28"/>
        <v>MJ</v>
      </c>
    </row>
    <row r="752" spans="2:8" ht="17">
      <c r="B752" s="211" t="s">
        <v>2587</v>
      </c>
      <c r="C752" s="212" t="s">
        <v>52</v>
      </c>
      <c r="D752" s="212" t="s">
        <v>52</v>
      </c>
      <c r="F752" s="107" t="str">
        <f t="shared" si="28"/>
        <v>WPC</v>
      </c>
    </row>
    <row r="753" spans="2:8" ht="17">
      <c r="B753" s="211" t="s">
        <v>2588</v>
      </c>
      <c r="C753" s="212" t="s">
        <v>338</v>
      </c>
      <c r="D753" s="212" t="s">
        <v>217</v>
      </c>
      <c r="E753" s="215" t="s">
        <v>2589</v>
      </c>
      <c r="F753" s="107" t="str">
        <f t="shared" si="28"/>
        <v>MKF</v>
      </c>
    </row>
    <row r="754" spans="2:8" ht="17">
      <c r="B754" s="211" t="s">
        <v>2590</v>
      </c>
      <c r="C754" s="212" t="s">
        <v>390</v>
      </c>
      <c r="D754" s="212" t="s">
        <v>390</v>
      </c>
      <c r="F754" s="107" t="str">
        <f t="shared" si="28"/>
        <v>KZG-</v>
      </c>
    </row>
    <row r="755" spans="2:8" ht="17">
      <c r="B755" s="211" t="s">
        <v>2591</v>
      </c>
      <c r="C755" s="212" t="s">
        <v>2592</v>
      </c>
      <c r="D755" s="212" t="s">
        <v>217</v>
      </c>
      <c r="E755" s="215" t="s">
        <v>2593</v>
      </c>
      <c r="F755" s="107" t="str">
        <f t="shared" si="28"/>
        <v>RA</v>
      </c>
    </row>
    <row r="756" spans="2:8" ht="17">
      <c r="B756" s="211" t="s">
        <v>2594</v>
      </c>
      <c r="C756" s="212" t="s">
        <v>306</v>
      </c>
      <c r="D756" s="212" t="s">
        <v>306</v>
      </c>
      <c r="E756" s="215" t="s">
        <v>2595</v>
      </c>
      <c r="F756" s="107" t="str">
        <f t="shared" si="28"/>
        <v>MK</v>
      </c>
    </row>
    <row r="757" spans="2:8" ht="17">
      <c r="B757" s="211" t="s">
        <v>2604</v>
      </c>
      <c r="C757" s="212" t="s">
        <v>2602</v>
      </c>
      <c r="D757" s="212" t="s">
        <v>217</v>
      </c>
      <c r="E757" s="215" t="s">
        <v>2603</v>
      </c>
      <c r="F757" s="107" t="str">
        <f t="shared" si="28"/>
        <v>SD</v>
      </c>
      <c r="H757" s="224" t="s">
        <v>2605</v>
      </c>
    </row>
    <row r="758" spans="2:8" ht="17">
      <c r="B758" s="211" t="s">
        <v>2613</v>
      </c>
      <c r="C758" s="212" t="s">
        <v>70</v>
      </c>
      <c r="D758" s="212" t="s">
        <v>217</v>
      </c>
      <c r="F758" s="107" t="str">
        <f t="shared" si="28"/>
        <v>HAAA</v>
      </c>
    </row>
    <row r="759" spans="2:8" ht="17">
      <c r="B759" s="211" t="s">
        <v>2614</v>
      </c>
      <c r="C759" s="212" t="s">
        <v>70</v>
      </c>
      <c r="D759" s="212" t="s">
        <v>217</v>
      </c>
      <c r="F759" s="107" t="str">
        <f t="shared" si="28"/>
        <v>AA</v>
      </c>
    </row>
    <row r="760" spans="2:8" ht="17">
      <c r="B760" s="211" t="s">
        <v>2624</v>
      </c>
      <c r="C760" s="212" t="s">
        <v>2622</v>
      </c>
      <c r="D760" s="212" t="s">
        <v>217</v>
      </c>
      <c r="E760" s="215" t="s">
        <v>2623</v>
      </c>
      <c r="F760" s="107" t="str">
        <f t="shared" si="28"/>
        <v>AR</v>
      </c>
      <c r="H760" s="224" t="s">
        <v>2621</v>
      </c>
    </row>
    <row r="761" spans="2:8" ht="17">
      <c r="B761" s="211" t="s">
        <v>2625</v>
      </c>
      <c r="C761" s="212" t="s">
        <v>70</v>
      </c>
      <c r="D761" s="212" t="s">
        <v>217</v>
      </c>
      <c r="E761" s="215" t="s">
        <v>2626</v>
      </c>
      <c r="F761" s="107" t="str">
        <f t="shared" si="28"/>
        <v>SOS</v>
      </c>
      <c r="H761" s="224" t="s">
        <v>2627</v>
      </c>
    </row>
    <row r="762" spans="2:8" ht="17">
      <c r="B762" s="211" t="s">
        <v>2630</v>
      </c>
      <c r="C762" s="212" t="s">
        <v>1682</v>
      </c>
      <c r="D762" s="212" t="s">
        <v>217</v>
      </c>
      <c r="E762" s="215" t="s">
        <v>2631</v>
      </c>
      <c r="F762" s="107" t="str">
        <f t="shared" si="28"/>
        <v>MA</v>
      </c>
    </row>
    <row r="763" spans="2:8" ht="17">
      <c r="B763" s="211" t="s">
        <v>2633</v>
      </c>
      <c r="C763" s="212" t="s">
        <v>217</v>
      </c>
      <c r="D763" s="212" t="s">
        <v>217</v>
      </c>
      <c r="E763" s="215" t="s">
        <v>2634</v>
      </c>
      <c r="F763" s="107" t="str">
        <f t="shared" si="28"/>
        <v>MJ</v>
      </c>
    </row>
    <row r="764" spans="2:8" ht="17">
      <c r="B764" s="211" t="s">
        <v>2635</v>
      </c>
      <c r="C764" s="212" t="s">
        <v>217</v>
      </c>
      <c r="D764" s="212" t="s">
        <v>217</v>
      </c>
      <c r="E764" s="215" t="s">
        <v>2636</v>
      </c>
      <c r="F764" s="107" t="str">
        <f t="shared" si="28"/>
        <v>DEL</v>
      </c>
      <c r="G764" s="213" t="s">
        <v>2638</v>
      </c>
      <c r="H764" s="214" t="s">
        <v>2637</v>
      </c>
    </row>
    <row r="765" spans="2:8" ht="17">
      <c r="B765" s="211" t="s">
        <v>2640</v>
      </c>
      <c r="C765" s="212" t="s">
        <v>217</v>
      </c>
      <c r="D765" s="212" t="s">
        <v>217</v>
      </c>
      <c r="E765" s="215" t="s">
        <v>2641</v>
      </c>
      <c r="F765" s="107" t="str">
        <f t="shared" si="28"/>
        <v>PB</v>
      </c>
    </row>
    <row r="766" spans="2:8" ht="17">
      <c r="B766" s="211" t="s">
        <v>2642</v>
      </c>
      <c r="C766" s="212" t="s">
        <v>217</v>
      </c>
      <c r="D766" s="212" t="s">
        <v>217</v>
      </c>
      <c r="F766" s="107" t="str">
        <f t="shared" si="28"/>
        <v>FD</v>
      </c>
    </row>
    <row r="767" spans="2:8" ht="17">
      <c r="B767" s="211" t="s">
        <v>2643</v>
      </c>
      <c r="C767" s="212" t="s">
        <v>217</v>
      </c>
      <c r="D767" s="212" t="s">
        <v>217</v>
      </c>
      <c r="E767" s="215" t="s">
        <v>2644</v>
      </c>
      <c r="F767" s="107" t="str">
        <f t="shared" si="28"/>
        <v>J</v>
      </c>
    </row>
    <row r="768" spans="2:8" ht="17">
      <c r="B768" s="211" t="s">
        <v>1557</v>
      </c>
      <c r="C768" s="212" t="s">
        <v>217</v>
      </c>
      <c r="D768" s="212" t="s">
        <v>217</v>
      </c>
      <c r="F768" s="107" t="str">
        <f t="shared" si="28"/>
        <v>C</v>
      </c>
    </row>
    <row r="769" spans="2:7" ht="17">
      <c r="B769" s="211" t="s">
        <v>2645</v>
      </c>
      <c r="C769" s="212" t="s">
        <v>2646</v>
      </c>
      <c r="D769" s="212" t="s">
        <v>956</v>
      </c>
      <c r="E769" s="215" t="s">
        <v>2647</v>
      </c>
      <c r="F769" s="107" t="str">
        <f t="shared" si="28"/>
        <v>MBH</v>
      </c>
    </row>
    <row r="770" spans="2:7" ht="17">
      <c r="B770" s="211" t="s">
        <v>2648</v>
      </c>
      <c r="C770" s="212" t="s">
        <v>635</v>
      </c>
      <c r="D770" s="212" t="s">
        <v>959</v>
      </c>
      <c r="E770" s="215" t="s">
        <v>2649</v>
      </c>
      <c r="F770" s="107" t="str">
        <f t="shared" si="28"/>
        <v>SE</v>
      </c>
    </row>
    <row r="771" spans="2:7" ht="17">
      <c r="B771" s="211" t="s">
        <v>2650</v>
      </c>
      <c r="C771" s="212" t="s">
        <v>415</v>
      </c>
      <c r="D771" s="212" t="s">
        <v>217</v>
      </c>
      <c r="E771" s="215" t="s">
        <v>2651</v>
      </c>
      <c r="F771" s="107" t="str">
        <f t="shared" ref="F771:F834" si="29">UPPER(LEFT(B771,1)) &amp; IFERROR(UPPER(LEFT(MID(B771,FIND(" ",B771)+1,LEN(B771)),1)),"") &amp; IFERROR(UPPER(LEFT(MID(B771,FIND(" ",B771,FIND(" ",B771)+1)+1,LEN(B771)),1)),"") &amp; IFERROR(UPPER(LEFT(MID(B771,FIND(" ",B771,FIND(" ",B771,FIND(" ",B771)+1)+1)+1,LEN(B771)),1)),"")</f>
        <v>DDO</v>
      </c>
    </row>
    <row r="772" spans="2:7" ht="17">
      <c r="B772" s="211" t="s">
        <v>2652</v>
      </c>
      <c r="C772" s="212" t="s">
        <v>217</v>
      </c>
      <c r="D772" s="212" t="s">
        <v>217</v>
      </c>
      <c r="F772" s="107" t="str">
        <f t="shared" si="29"/>
        <v>E</v>
      </c>
    </row>
    <row r="773" spans="2:7" ht="17">
      <c r="B773" s="211" t="s">
        <v>2653</v>
      </c>
      <c r="C773" s="215" t="s">
        <v>217</v>
      </c>
      <c r="D773" s="212" t="s">
        <v>217</v>
      </c>
      <c r="E773" s="215" t="s">
        <v>2654</v>
      </c>
      <c r="F773" s="107" t="str">
        <f t="shared" si="29"/>
        <v>MY</v>
      </c>
    </row>
    <row r="774" spans="2:7" ht="17">
      <c r="B774" s="211" t="s">
        <v>2656</v>
      </c>
      <c r="C774" s="212" t="s">
        <v>217</v>
      </c>
      <c r="D774" s="212" t="s">
        <v>217</v>
      </c>
      <c r="F774" s="107" t="str">
        <f t="shared" si="29"/>
        <v>MEA</v>
      </c>
    </row>
    <row r="775" spans="2:7" ht="17">
      <c r="B775" s="211" t="s">
        <v>2657</v>
      </c>
      <c r="C775" s="212" t="s">
        <v>217</v>
      </c>
      <c r="D775" s="212" t="s">
        <v>217</v>
      </c>
      <c r="E775" s="215" t="s">
        <v>2658</v>
      </c>
      <c r="F775" s="107" t="str">
        <f t="shared" si="29"/>
        <v>F</v>
      </c>
    </row>
    <row r="776" spans="2:7" ht="17">
      <c r="B776" s="211" t="s">
        <v>2659</v>
      </c>
      <c r="C776" s="212" t="s">
        <v>217</v>
      </c>
      <c r="D776" s="212" t="s">
        <v>217</v>
      </c>
      <c r="E776" s="215" t="s">
        <v>2660</v>
      </c>
      <c r="F776" s="107" t="str">
        <f t="shared" si="29"/>
        <v>DY</v>
      </c>
    </row>
    <row r="777" spans="2:7" ht="34">
      <c r="B777" s="211" t="s">
        <v>2661</v>
      </c>
      <c r="C777" s="212" t="s">
        <v>217</v>
      </c>
      <c r="D777" s="212" t="s">
        <v>217</v>
      </c>
      <c r="E777" s="215" t="s">
        <v>2662</v>
      </c>
      <c r="F777" s="107" t="str">
        <f t="shared" si="29"/>
        <v>G</v>
      </c>
    </row>
    <row r="778" spans="2:7" ht="17">
      <c r="B778" s="211" t="s">
        <v>2663</v>
      </c>
      <c r="C778" s="212" t="s">
        <v>217</v>
      </c>
      <c r="D778" s="212" t="s">
        <v>217</v>
      </c>
      <c r="E778" s="215" t="s">
        <v>2664</v>
      </c>
      <c r="F778" s="107" t="str">
        <f t="shared" si="29"/>
        <v>N</v>
      </c>
    </row>
    <row r="779" spans="2:7" ht="17">
      <c r="B779" s="211" t="s">
        <v>2667</v>
      </c>
      <c r="C779" s="212" t="s">
        <v>415</v>
      </c>
      <c r="D779" s="212" t="s">
        <v>217</v>
      </c>
      <c r="F779" s="107" t="str">
        <f t="shared" si="29"/>
        <v>KIS-</v>
      </c>
    </row>
    <row r="780" spans="2:7" ht="34">
      <c r="B780" s="211" t="s">
        <v>2669</v>
      </c>
      <c r="C780" s="212" t="s">
        <v>217</v>
      </c>
      <c r="D780" s="212" t="s">
        <v>217</v>
      </c>
      <c r="E780" s="215" t="s">
        <v>2670</v>
      </c>
      <c r="F780" s="107" t="str">
        <f t="shared" si="29"/>
        <v>KOA</v>
      </c>
    </row>
    <row r="781" spans="2:7" ht="34">
      <c r="B781" s="211" t="s">
        <v>2672</v>
      </c>
      <c r="C781" s="212" t="s">
        <v>217</v>
      </c>
      <c r="D781" s="212" t="s">
        <v>217</v>
      </c>
      <c r="E781" s="215" t="s">
        <v>2673</v>
      </c>
      <c r="F781" s="107" t="str">
        <f t="shared" si="29"/>
        <v>CK</v>
      </c>
    </row>
    <row r="782" spans="2:7" ht="17">
      <c r="B782" s="211" t="s">
        <v>2674</v>
      </c>
      <c r="C782" s="212" t="s">
        <v>217</v>
      </c>
      <c r="D782" s="212" t="s">
        <v>217</v>
      </c>
      <c r="E782" s="215" t="s">
        <v>2675</v>
      </c>
      <c r="F782" s="107" t="str">
        <f t="shared" si="29"/>
        <v>KS</v>
      </c>
    </row>
    <row r="783" spans="2:7" ht="17">
      <c r="B783" s="211" t="s">
        <v>2680</v>
      </c>
      <c r="C783" s="212" t="s">
        <v>353</v>
      </c>
      <c r="D783" s="212" t="s">
        <v>217</v>
      </c>
      <c r="E783" s="215" t="s">
        <v>2681</v>
      </c>
      <c r="F783" s="107" t="str">
        <f t="shared" si="29"/>
        <v>DA</v>
      </c>
      <c r="G783" s="213" t="s">
        <v>2682</v>
      </c>
    </row>
    <row r="784" spans="2:7" ht="17">
      <c r="B784" s="211" t="s">
        <v>2688</v>
      </c>
      <c r="C784" s="212" t="s">
        <v>158</v>
      </c>
      <c r="D784" s="212" t="s">
        <v>217</v>
      </c>
      <c r="E784" s="215" t="s">
        <v>2689</v>
      </c>
      <c r="F784" s="107" t="str">
        <f t="shared" si="29"/>
        <v>PI</v>
      </c>
      <c r="G784" s="213" t="s">
        <v>2687</v>
      </c>
    </row>
    <row r="785" spans="2:8" ht="34">
      <c r="B785" s="211" t="s">
        <v>2690</v>
      </c>
      <c r="C785" s="212" t="s">
        <v>2691</v>
      </c>
      <c r="D785" s="212" t="s">
        <v>217</v>
      </c>
      <c r="E785" s="215" t="s">
        <v>2689</v>
      </c>
      <c r="F785" s="107" t="str">
        <f t="shared" si="29"/>
        <v>EGA</v>
      </c>
    </row>
    <row r="786" spans="2:8" ht="17">
      <c r="B786" s="211" t="s">
        <v>2692</v>
      </c>
      <c r="C786" s="212" t="s">
        <v>771</v>
      </c>
      <c r="D786" s="212" t="s">
        <v>217</v>
      </c>
      <c r="F786" s="107" t="str">
        <f t="shared" si="29"/>
        <v>F</v>
      </c>
    </row>
    <row r="787" spans="2:8" ht="17">
      <c r="B787" s="211" t="s">
        <v>2717</v>
      </c>
      <c r="C787" s="212" t="s">
        <v>217</v>
      </c>
      <c r="D787" s="212" t="s">
        <v>217</v>
      </c>
      <c r="E787" s="215" t="s">
        <v>2718</v>
      </c>
      <c r="F787" s="107" t="str">
        <f t="shared" si="29"/>
        <v>R</v>
      </c>
    </row>
    <row r="788" spans="2:8" ht="17">
      <c r="B788" s="211" t="s">
        <v>2719</v>
      </c>
      <c r="C788" s="212" t="s">
        <v>629</v>
      </c>
      <c r="D788" s="212" t="s">
        <v>217</v>
      </c>
      <c r="F788" s="107" t="str">
        <f t="shared" si="29"/>
        <v>MP</v>
      </c>
    </row>
    <row r="789" spans="2:8" ht="17">
      <c r="B789" s="211" t="s">
        <v>2720</v>
      </c>
      <c r="C789" s="212" t="s">
        <v>94</v>
      </c>
      <c r="D789" s="212" t="s">
        <v>217</v>
      </c>
      <c r="F789" s="107" t="str">
        <f t="shared" si="29"/>
        <v>MJ</v>
      </c>
    </row>
    <row r="790" spans="2:8" ht="17">
      <c r="B790" s="211" t="s">
        <v>2721</v>
      </c>
      <c r="C790" s="212" t="s">
        <v>2722</v>
      </c>
      <c r="D790" s="212" t="s">
        <v>217</v>
      </c>
      <c r="F790" s="107" t="str">
        <f t="shared" si="29"/>
        <v>MD</v>
      </c>
      <c r="G790" s="213" t="s">
        <v>2721</v>
      </c>
    </row>
    <row r="791" spans="2:8" ht="17">
      <c r="B791" s="211" t="s">
        <v>2723</v>
      </c>
      <c r="C791" s="212" t="s">
        <v>217</v>
      </c>
      <c r="D791" s="212" t="s">
        <v>217</v>
      </c>
      <c r="F791" s="107" t="str">
        <f t="shared" si="29"/>
        <v>MC</v>
      </c>
    </row>
    <row r="792" spans="2:8" ht="17">
      <c r="B792" s="211" t="s">
        <v>2781</v>
      </c>
      <c r="C792" s="212" t="s">
        <v>33</v>
      </c>
      <c r="D792" s="212" t="s">
        <v>217</v>
      </c>
      <c r="F792" s="107" t="str">
        <f t="shared" si="29"/>
        <v>MM</v>
      </c>
    </row>
    <row r="793" spans="2:8" ht="17">
      <c r="B793" s="211" t="s">
        <v>2782</v>
      </c>
      <c r="C793" s="212" t="s">
        <v>217</v>
      </c>
      <c r="D793" s="212" t="s">
        <v>217</v>
      </c>
      <c r="E793" s="215" t="s">
        <v>2784</v>
      </c>
      <c r="F793" s="107" t="str">
        <f t="shared" si="29"/>
        <v>AE</v>
      </c>
      <c r="G793" s="213" t="s">
        <v>2783</v>
      </c>
    </row>
    <row r="794" spans="2:8" ht="17">
      <c r="B794" s="211" t="s">
        <v>2790</v>
      </c>
      <c r="C794" s="212" t="s">
        <v>217</v>
      </c>
      <c r="D794" s="212" t="s">
        <v>217</v>
      </c>
      <c r="E794" s="215" t="s">
        <v>2791</v>
      </c>
      <c r="F794" s="107" t="str">
        <f t="shared" si="29"/>
        <v>ML</v>
      </c>
    </row>
    <row r="795" spans="2:8" ht="17">
      <c r="B795" s="211" t="s">
        <v>2794</v>
      </c>
      <c r="C795" s="212" t="s">
        <v>467</v>
      </c>
      <c r="D795" s="212" t="s">
        <v>955</v>
      </c>
      <c r="E795" s="215" t="s">
        <v>2795</v>
      </c>
      <c r="F795" s="107" t="str">
        <f t="shared" si="29"/>
        <v>JM</v>
      </c>
    </row>
    <row r="796" spans="2:8" ht="17">
      <c r="B796" s="211" t="s">
        <v>2796</v>
      </c>
      <c r="C796" s="212" t="s">
        <v>2797</v>
      </c>
      <c r="D796" s="212" t="s">
        <v>2798</v>
      </c>
      <c r="F796" s="107" t="str">
        <f t="shared" si="29"/>
        <v>SPGH</v>
      </c>
    </row>
    <row r="797" spans="2:8" ht="17">
      <c r="B797" s="211" t="s">
        <v>2799</v>
      </c>
      <c r="C797" s="212" t="s">
        <v>857</v>
      </c>
      <c r="D797" s="212" t="s">
        <v>857</v>
      </c>
      <c r="E797" s="215" t="s">
        <v>2800</v>
      </c>
      <c r="F797" s="107" t="str">
        <f t="shared" si="29"/>
        <v>E-ST</v>
      </c>
    </row>
    <row r="798" spans="2:8" ht="17">
      <c r="B798" s="211" t="s">
        <v>2801</v>
      </c>
      <c r="C798" s="212" t="s">
        <v>43</v>
      </c>
      <c r="D798" s="212" t="s">
        <v>1503</v>
      </c>
      <c r="E798" s="215" t="s">
        <v>2802</v>
      </c>
      <c r="F798" s="107" t="str">
        <f t="shared" si="29"/>
        <v>PS</v>
      </c>
    </row>
    <row r="799" spans="2:8" ht="17">
      <c r="B799" s="211" t="s">
        <v>2803</v>
      </c>
      <c r="C799" s="212" t="s">
        <v>217</v>
      </c>
      <c r="D799" s="212" t="s">
        <v>217</v>
      </c>
      <c r="E799" s="215" t="s">
        <v>2804</v>
      </c>
      <c r="F799" s="107" t="str">
        <f t="shared" si="29"/>
        <v>BE</v>
      </c>
      <c r="G799" s="213" t="s">
        <v>2805</v>
      </c>
      <c r="H799" s="224" t="s">
        <v>2806</v>
      </c>
    </row>
    <row r="800" spans="2:8" ht="34">
      <c r="B800" s="211" t="s">
        <v>2807</v>
      </c>
      <c r="C800" s="212" t="s">
        <v>2808</v>
      </c>
      <c r="D800" s="212" t="s">
        <v>36</v>
      </c>
      <c r="E800" s="215" t="s">
        <v>2809</v>
      </c>
      <c r="F800" s="107" t="str">
        <f t="shared" si="29"/>
        <v>PGL</v>
      </c>
      <c r="G800" s="213" t="s">
        <v>2810</v>
      </c>
    </row>
    <row r="801" spans="2:7" ht="17">
      <c r="B801" s="211" t="s">
        <v>2813</v>
      </c>
      <c r="C801" s="212" t="s">
        <v>743</v>
      </c>
      <c r="D801" s="212" t="s">
        <v>217</v>
      </c>
      <c r="E801" s="215" t="s">
        <v>2814</v>
      </c>
      <c r="F801" s="107" t="str">
        <f t="shared" si="29"/>
        <v>A</v>
      </c>
    </row>
    <row r="802" spans="2:7" ht="17">
      <c r="B802" s="211" t="s">
        <v>2815</v>
      </c>
      <c r="C802" s="212" t="s">
        <v>2816</v>
      </c>
      <c r="D802" s="212" t="s">
        <v>956</v>
      </c>
      <c r="E802" s="215" t="s">
        <v>2817</v>
      </c>
      <c r="F802" s="107" t="str">
        <f t="shared" si="29"/>
        <v>PEL</v>
      </c>
    </row>
    <row r="803" spans="2:7" ht="17">
      <c r="B803" s="211" t="s">
        <v>2818</v>
      </c>
      <c r="C803" s="212" t="s">
        <v>193</v>
      </c>
      <c r="D803" s="212" t="s">
        <v>217</v>
      </c>
      <c r="E803" s="215" t="s">
        <v>2819</v>
      </c>
      <c r="F803" s="107" t="str">
        <f t="shared" si="29"/>
        <v>S</v>
      </c>
    </row>
    <row r="804" spans="2:7" ht="17">
      <c r="B804" s="211" t="s">
        <v>2820</v>
      </c>
      <c r="C804" s="212" t="s">
        <v>217</v>
      </c>
      <c r="D804" s="212" t="s">
        <v>217</v>
      </c>
      <c r="E804" s="215" t="s">
        <v>2821</v>
      </c>
      <c r="F804" s="107" t="str">
        <f t="shared" si="29"/>
        <v>F-DB</v>
      </c>
    </row>
    <row r="805" spans="2:7" ht="17">
      <c r="B805" s="211" t="s">
        <v>2822</v>
      </c>
      <c r="C805" s="212" t="s">
        <v>857</v>
      </c>
      <c r="D805" s="212" t="s">
        <v>857</v>
      </c>
      <c r="F805" s="107" t="str">
        <f t="shared" si="29"/>
        <v>MB</v>
      </c>
    </row>
    <row r="806" spans="2:7" ht="17">
      <c r="B806" s="211" t="s">
        <v>2823</v>
      </c>
      <c r="C806" s="212" t="s">
        <v>806</v>
      </c>
      <c r="D806" s="212" t="s">
        <v>217</v>
      </c>
      <c r="E806" s="215" t="s">
        <v>2824</v>
      </c>
      <c r="F806" s="107" t="str">
        <f t="shared" si="29"/>
        <v>MN</v>
      </c>
    </row>
    <row r="807" spans="2:7" ht="17">
      <c r="B807" s="211" t="s">
        <v>2825</v>
      </c>
      <c r="C807" s="212" t="s">
        <v>343</v>
      </c>
      <c r="D807" s="212" t="s">
        <v>343</v>
      </c>
      <c r="E807" s="215" t="s">
        <v>1098</v>
      </c>
      <c r="F807" s="107" t="str">
        <f t="shared" si="29"/>
        <v>AB-T</v>
      </c>
    </row>
    <row r="808" spans="2:7" ht="17">
      <c r="B808" s="211" t="s">
        <v>2826</v>
      </c>
      <c r="C808" s="212" t="s">
        <v>30</v>
      </c>
      <c r="D808" s="212" t="s">
        <v>217</v>
      </c>
      <c r="E808" s="215" t="s">
        <v>2827</v>
      </c>
      <c r="F808" s="107" t="str">
        <f t="shared" si="29"/>
        <v>MR</v>
      </c>
    </row>
    <row r="809" spans="2:7" ht="17">
      <c r="B809" s="211" t="s">
        <v>2828</v>
      </c>
      <c r="C809" s="212" t="s">
        <v>2829</v>
      </c>
      <c r="D809" s="212" t="s">
        <v>52</v>
      </c>
      <c r="E809" s="215" t="s">
        <v>2830</v>
      </c>
      <c r="F809" s="107" t="str">
        <f t="shared" si="29"/>
        <v>AV</v>
      </c>
    </row>
    <row r="810" spans="2:7" ht="17">
      <c r="B810" s="211" t="s">
        <v>2831</v>
      </c>
      <c r="C810" s="212" t="s">
        <v>52</v>
      </c>
      <c r="D810" s="212" t="s">
        <v>52</v>
      </c>
      <c r="F810" s="107" t="str">
        <f t="shared" si="29"/>
        <v>PMC</v>
      </c>
      <c r="G810" s="213" t="s">
        <v>2832</v>
      </c>
    </row>
    <row r="811" spans="2:7" ht="17">
      <c r="B811" s="211" t="s">
        <v>2833</v>
      </c>
      <c r="C811" s="212" t="s">
        <v>217</v>
      </c>
      <c r="D811" s="212" t="s">
        <v>217</v>
      </c>
      <c r="E811" s="215" t="s">
        <v>2834</v>
      </c>
      <c r="F811" s="107" t="str">
        <f t="shared" si="29"/>
        <v>AA</v>
      </c>
    </row>
    <row r="812" spans="2:7" ht="34">
      <c r="B812" s="211" t="s">
        <v>2835</v>
      </c>
      <c r="C812" s="212" t="s">
        <v>2691</v>
      </c>
      <c r="D812" s="212" t="s">
        <v>217</v>
      </c>
      <c r="E812" s="215" t="s">
        <v>2836</v>
      </c>
      <c r="F812" s="107" t="str">
        <f t="shared" si="29"/>
        <v>JB</v>
      </c>
    </row>
    <row r="813" spans="2:7" ht="17">
      <c r="B813" s="211" t="s">
        <v>2837</v>
      </c>
      <c r="C813" s="212" t="s">
        <v>2838</v>
      </c>
      <c r="D813" s="212" t="s">
        <v>955</v>
      </c>
      <c r="E813" s="215" t="s">
        <v>2839</v>
      </c>
      <c r="F813" s="107" t="str">
        <f t="shared" si="29"/>
        <v>A</v>
      </c>
    </row>
    <row r="814" spans="2:7" ht="17">
      <c r="B814" s="211" t="s">
        <v>2840</v>
      </c>
      <c r="C814" s="212" t="s">
        <v>628</v>
      </c>
      <c r="D814" s="212" t="s">
        <v>217</v>
      </c>
      <c r="E814" s="215" t="s">
        <v>2841</v>
      </c>
      <c r="F814" s="107" t="str">
        <f t="shared" si="29"/>
        <v>DI</v>
      </c>
    </row>
    <row r="815" spans="2:7" ht="17">
      <c r="B815" s="211" t="s">
        <v>2843</v>
      </c>
      <c r="C815" s="212" t="s">
        <v>567</v>
      </c>
      <c r="D815" s="212" t="s">
        <v>217</v>
      </c>
      <c r="F815" s="107" t="str">
        <f t="shared" si="29"/>
        <v>R-A</v>
      </c>
    </row>
    <row r="816" spans="2:7" ht="17">
      <c r="B816" s="211" t="s">
        <v>2140</v>
      </c>
      <c r="C816" s="212" t="s">
        <v>217</v>
      </c>
      <c r="D816" s="212" t="s">
        <v>217</v>
      </c>
      <c r="F816" s="107" t="str">
        <f t="shared" si="29"/>
        <v>A</v>
      </c>
    </row>
    <row r="817" spans="2:6" ht="17">
      <c r="B817" s="211" t="s">
        <v>2845</v>
      </c>
      <c r="C817" s="212" t="s">
        <v>75</v>
      </c>
      <c r="D817" s="212" t="s">
        <v>217</v>
      </c>
      <c r="F817" s="107" t="str">
        <f t="shared" si="29"/>
        <v>A</v>
      </c>
    </row>
    <row r="818" spans="2:6">
      <c r="F818" s="107" t="str">
        <f t="shared" si="29"/>
        <v/>
      </c>
    </row>
    <row r="819" spans="2:6">
      <c r="F819" s="107" t="str">
        <f t="shared" si="29"/>
        <v/>
      </c>
    </row>
    <row r="820" spans="2:6">
      <c r="F820" s="107" t="str">
        <f t="shared" si="29"/>
        <v/>
      </c>
    </row>
    <row r="821" spans="2:6">
      <c r="F821" s="107" t="str">
        <f t="shared" si="29"/>
        <v/>
      </c>
    </row>
    <row r="822" spans="2:6">
      <c r="F822" s="107" t="str">
        <f t="shared" si="29"/>
        <v/>
      </c>
    </row>
    <row r="823" spans="2:6">
      <c r="F823" s="107" t="str">
        <f t="shared" si="29"/>
        <v/>
      </c>
    </row>
    <row r="824" spans="2:6">
      <c r="F824" s="107" t="str">
        <f t="shared" si="29"/>
        <v/>
      </c>
    </row>
    <row r="825" spans="2:6">
      <c r="F825" s="107" t="str">
        <f t="shared" si="29"/>
        <v/>
      </c>
    </row>
    <row r="826" spans="2:6">
      <c r="F826" s="107" t="str">
        <f t="shared" si="29"/>
        <v/>
      </c>
    </row>
    <row r="827" spans="2:6">
      <c r="F827" s="107" t="str">
        <f t="shared" si="29"/>
        <v/>
      </c>
    </row>
    <row r="828" spans="2:6">
      <c r="F828" s="107" t="str">
        <f t="shared" si="29"/>
        <v/>
      </c>
    </row>
    <row r="829" spans="2:6">
      <c r="F829" s="107" t="str">
        <f t="shared" si="29"/>
        <v/>
      </c>
    </row>
    <row r="830" spans="2:6">
      <c r="F830" s="107" t="str">
        <f t="shared" si="29"/>
        <v/>
      </c>
    </row>
    <row r="831" spans="2:6">
      <c r="F831" s="107" t="str">
        <f t="shared" si="29"/>
        <v/>
      </c>
    </row>
    <row r="832" spans="2:6">
      <c r="F832" s="107" t="str">
        <f t="shared" si="29"/>
        <v/>
      </c>
    </row>
    <row r="833" spans="6:6">
      <c r="F833" s="107" t="str">
        <f t="shared" si="29"/>
        <v/>
      </c>
    </row>
    <row r="834" spans="6:6">
      <c r="F834" s="107" t="str">
        <f t="shared" si="29"/>
        <v/>
      </c>
    </row>
    <row r="835" spans="6:6">
      <c r="F835" s="107" t="str">
        <f t="shared" ref="F835:F898" si="30">UPPER(LEFT(B835,1)) &amp; IFERROR(UPPER(LEFT(MID(B835,FIND(" ",B835)+1,LEN(B835)),1)),"") &amp; IFERROR(UPPER(LEFT(MID(B835,FIND(" ",B835,FIND(" ",B835)+1)+1,LEN(B835)),1)),"") &amp; IFERROR(UPPER(LEFT(MID(B835,FIND(" ",B835,FIND(" ",B835,FIND(" ",B835)+1)+1)+1,LEN(B835)),1)),"")</f>
        <v/>
      </c>
    </row>
    <row r="836" spans="6:6">
      <c r="F836" s="107" t="str">
        <f t="shared" si="30"/>
        <v/>
      </c>
    </row>
    <row r="837" spans="6:6">
      <c r="F837" s="107" t="str">
        <f t="shared" si="30"/>
        <v/>
      </c>
    </row>
    <row r="838" spans="6:6">
      <c r="F838" s="107" t="str">
        <f t="shared" si="30"/>
        <v/>
      </c>
    </row>
    <row r="839" spans="6:6">
      <c r="F839" s="107" t="str">
        <f t="shared" si="30"/>
        <v/>
      </c>
    </row>
    <row r="840" spans="6:6">
      <c r="F840" s="107" t="str">
        <f t="shared" si="30"/>
        <v/>
      </c>
    </row>
    <row r="841" spans="6:6">
      <c r="F841" s="107" t="str">
        <f t="shared" si="30"/>
        <v/>
      </c>
    </row>
    <row r="842" spans="6:6">
      <c r="F842" s="107" t="str">
        <f t="shared" si="30"/>
        <v/>
      </c>
    </row>
    <row r="843" spans="6:6">
      <c r="F843" s="107" t="str">
        <f t="shared" si="30"/>
        <v/>
      </c>
    </row>
    <row r="844" spans="6:6">
      <c r="F844" s="107" t="str">
        <f t="shared" si="30"/>
        <v/>
      </c>
    </row>
    <row r="845" spans="6:6">
      <c r="F845" s="107" t="str">
        <f t="shared" si="30"/>
        <v/>
      </c>
    </row>
    <row r="846" spans="6:6">
      <c r="F846" s="107" t="str">
        <f t="shared" si="30"/>
        <v/>
      </c>
    </row>
    <row r="847" spans="6:6">
      <c r="F847" s="107" t="str">
        <f t="shared" si="30"/>
        <v/>
      </c>
    </row>
    <row r="848" spans="6:6">
      <c r="F848" s="107" t="str">
        <f t="shared" si="30"/>
        <v/>
      </c>
    </row>
    <row r="849" spans="6:6">
      <c r="F849" s="107" t="str">
        <f t="shared" si="30"/>
        <v/>
      </c>
    </row>
    <row r="850" spans="6:6">
      <c r="F850" s="107" t="str">
        <f t="shared" si="30"/>
        <v/>
      </c>
    </row>
    <row r="851" spans="6:6">
      <c r="F851" s="107" t="str">
        <f t="shared" si="30"/>
        <v/>
      </c>
    </row>
    <row r="852" spans="6:6">
      <c r="F852" s="107" t="str">
        <f t="shared" si="30"/>
        <v/>
      </c>
    </row>
    <row r="853" spans="6:6">
      <c r="F853" s="107" t="str">
        <f t="shared" si="30"/>
        <v/>
      </c>
    </row>
    <row r="854" spans="6:6">
      <c r="F854" s="107" t="str">
        <f t="shared" si="30"/>
        <v/>
      </c>
    </row>
    <row r="855" spans="6:6">
      <c r="F855" s="107" t="str">
        <f t="shared" si="30"/>
        <v/>
      </c>
    </row>
    <row r="856" spans="6:6">
      <c r="F856" s="107" t="str">
        <f t="shared" si="30"/>
        <v/>
      </c>
    </row>
    <row r="857" spans="6:6">
      <c r="F857" s="107" t="str">
        <f t="shared" si="30"/>
        <v/>
      </c>
    </row>
    <row r="858" spans="6:6">
      <c r="F858" s="107" t="str">
        <f t="shared" si="30"/>
        <v/>
      </c>
    </row>
    <row r="859" spans="6:6">
      <c r="F859" s="107" t="str">
        <f t="shared" si="30"/>
        <v/>
      </c>
    </row>
    <row r="860" spans="6:6">
      <c r="F860" s="107" t="str">
        <f t="shared" si="30"/>
        <v/>
      </c>
    </row>
    <row r="861" spans="6:6">
      <c r="F861" s="107" t="str">
        <f t="shared" si="30"/>
        <v/>
      </c>
    </row>
    <row r="862" spans="6:6">
      <c r="F862" s="107" t="str">
        <f t="shared" si="30"/>
        <v/>
      </c>
    </row>
    <row r="863" spans="6:6">
      <c r="F863" s="107" t="str">
        <f t="shared" si="30"/>
        <v/>
      </c>
    </row>
    <row r="864" spans="6:6">
      <c r="F864" s="107" t="str">
        <f t="shared" si="30"/>
        <v/>
      </c>
    </row>
    <row r="865" spans="6:6">
      <c r="F865" s="107" t="str">
        <f t="shared" si="30"/>
        <v/>
      </c>
    </row>
    <row r="866" spans="6:6">
      <c r="F866" s="107" t="str">
        <f t="shared" si="30"/>
        <v/>
      </c>
    </row>
    <row r="867" spans="6:6">
      <c r="F867" s="107" t="str">
        <f t="shared" si="30"/>
        <v/>
      </c>
    </row>
    <row r="868" spans="6:6">
      <c r="F868" s="107" t="str">
        <f t="shared" si="30"/>
        <v/>
      </c>
    </row>
    <row r="869" spans="6:6">
      <c r="F869" s="107" t="str">
        <f t="shared" si="30"/>
        <v/>
      </c>
    </row>
    <row r="870" spans="6:6">
      <c r="F870" s="107" t="str">
        <f t="shared" si="30"/>
        <v/>
      </c>
    </row>
    <row r="871" spans="6:6">
      <c r="F871" s="107" t="str">
        <f t="shared" si="30"/>
        <v/>
      </c>
    </row>
    <row r="872" spans="6:6">
      <c r="F872" s="107" t="str">
        <f t="shared" si="30"/>
        <v/>
      </c>
    </row>
    <row r="873" spans="6:6">
      <c r="F873" s="107" t="str">
        <f t="shared" si="30"/>
        <v/>
      </c>
    </row>
    <row r="874" spans="6:6">
      <c r="F874" s="107" t="str">
        <f t="shared" si="30"/>
        <v/>
      </c>
    </row>
    <row r="875" spans="6:6">
      <c r="F875" s="107" t="str">
        <f t="shared" si="30"/>
        <v/>
      </c>
    </row>
    <row r="876" spans="6:6">
      <c r="F876" s="107" t="str">
        <f t="shared" si="30"/>
        <v/>
      </c>
    </row>
    <row r="877" spans="6:6">
      <c r="F877" s="107" t="str">
        <f t="shared" si="30"/>
        <v/>
      </c>
    </row>
    <row r="878" spans="6:6">
      <c r="F878" s="107" t="str">
        <f t="shared" si="30"/>
        <v/>
      </c>
    </row>
    <row r="879" spans="6:6">
      <c r="F879" s="107" t="str">
        <f t="shared" si="30"/>
        <v/>
      </c>
    </row>
    <row r="880" spans="6:6">
      <c r="F880" s="107" t="str">
        <f t="shared" si="30"/>
        <v/>
      </c>
    </row>
    <row r="881" spans="6:6">
      <c r="F881" s="107" t="str">
        <f t="shared" si="30"/>
        <v/>
      </c>
    </row>
    <row r="882" spans="6:6">
      <c r="F882" s="107" t="str">
        <f t="shared" si="30"/>
        <v/>
      </c>
    </row>
    <row r="883" spans="6:6">
      <c r="F883" s="107" t="str">
        <f t="shared" si="30"/>
        <v/>
      </c>
    </row>
    <row r="884" spans="6:6">
      <c r="F884" s="107" t="str">
        <f t="shared" si="30"/>
        <v/>
      </c>
    </row>
    <row r="885" spans="6:6">
      <c r="F885" s="107" t="str">
        <f t="shared" si="30"/>
        <v/>
      </c>
    </row>
    <row r="886" spans="6:6">
      <c r="F886" s="107" t="str">
        <f t="shared" si="30"/>
        <v/>
      </c>
    </row>
    <row r="887" spans="6:6">
      <c r="F887" s="107" t="str">
        <f t="shared" si="30"/>
        <v/>
      </c>
    </row>
    <row r="888" spans="6:6">
      <c r="F888" s="107" t="str">
        <f t="shared" si="30"/>
        <v/>
      </c>
    </row>
    <row r="889" spans="6:6">
      <c r="F889" s="107" t="str">
        <f t="shared" si="30"/>
        <v/>
      </c>
    </row>
    <row r="890" spans="6:6">
      <c r="F890" s="107" t="str">
        <f t="shared" si="30"/>
        <v/>
      </c>
    </row>
    <row r="891" spans="6:6">
      <c r="F891" s="107" t="str">
        <f t="shared" si="30"/>
        <v/>
      </c>
    </row>
    <row r="892" spans="6:6">
      <c r="F892" s="107" t="str">
        <f t="shared" si="30"/>
        <v/>
      </c>
    </row>
    <row r="893" spans="6:6">
      <c r="F893" s="107" t="str">
        <f t="shared" si="30"/>
        <v/>
      </c>
    </row>
    <row r="894" spans="6:6">
      <c r="F894" s="107" t="str">
        <f t="shared" si="30"/>
        <v/>
      </c>
    </row>
    <row r="895" spans="6:6">
      <c r="F895" s="107" t="str">
        <f t="shared" si="30"/>
        <v/>
      </c>
    </row>
    <row r="896" spans="6:6">
      <c r="F896" s="107" t="str">
        <f t="shared" si="30"/>
        <v/>
      </c>
    </row>
    <row r="897" spans="6:6">
      <c r="F897" s="107" t="str">
        <f t="shared" si="30"/>
        <v/>
      </c>
    </row>
    <row r="898" spans="6:6">
      <c r="F898" s="107" t="str">
        <f t="shared" si="30"/>
        <v/>
      </c>
    </row>
    <row r="899" spans="6:6">
      <c r="F899" s="107" t="str">
        <f t="shared" ref="F899:F962" si="31">UPPER(LEFT(B899,1)) &amp; IFERROR(UPPER(LEFT(MID(B899,FIND(" ",B899)+1,LEN(B899)),1)),"") &amp; IFERROR(UPPER(LEFT(MID(B899,FIND(" ",B899,FIND(" ",B899)+1)+1,LEN(B899)),1)),"") &amp; IFERROR(UPPER(LEFT(MID(B899,FIND(" ",B899,FIND(" ",B899,FIND(" ",B899)+1)+1)+1,LEN(B899)),1)),"")</f>
        <v/>
      </c>
    </row>
    <row r="900" spans="6:6">
      <c r="F900" s="107" t="str">
        <f t="shared" si="31"/>
        <v/>
      </c>
    </row>
    <row r="901" spans="6:6">
      <c r="F901" s="107" t="str">
        <f t="shared" si="31"/>
        <v/>
      </c>
    </row>
    <row r="902" spans="6:6">
      <c r="F902" s="107" t="str">
        <f t="shared" si="31"/>
        <v/>
      </c>
    </row>
    <row r="903" spans="6:6">
      <c r="F903" s="107" t="str">
        <f t="shared" si="31"/>
        <v/>
      </c>
    </row>
    <row r="904" spans="6:6">
      <c r="F904" s="107" t="str">
        <f t="shared" si="31"/>
        <v/>
      </c>
    </row>
    <row r="905" spans="6:6">
      <c r="F905" s="107" t="str">
        <f t="shared" si="31"/>
        <v/>
      </c>
    </row>
    <row r="906" spans="6:6">
      <c r="F906" s="107" t="str">
        <f t="shared" si="31"/>
        <v/>
      </c>
    </row>
    <row r="907" spans="6:6">
      <c r="F907" s="107" t="str">
        <f t="shared" si="31"/>
        <v/>
      </c>
    </row>
    <row r="908" spans="6:6">
      <c r="F908" s="107" t="str">
        <f t="shared" si="31"/>
        <v/>
      </c>
    </row>
    <row r="909" spans="6:6">
      <c r="F909" s="107" t="str">
        <f t="shared" si="31"/>
        <v/>
      </c>
    </row>
    <row r="910" spans="6:6">
      <c r="F910" s="107" t="str">
        <f t="shared" si="31"/>
        <v/>
      </c>
    </row>
    <row r="911" spans="6:6">
      <c r="F911" s="107" t="str">
        <f t="shared" si="31"/>
        <v/>
      </c>
    </row>
    <row r="912" spans="6:6">
      <c r="F912" s="107" t="str">
        <f t="shared" si="31"/>
        <v/>
      </c>
    </row>
    <row r="913" spans="6:6">
      <c r="F913" s="107" t="str">
        <f t="shared" si="31"/>
        <v/>
      </c>
    </row>
    <row r="914" spans="6:6">
      <c r="F914" s="107" t="str">
        <f t="shared" si="31"/>
        <v/>
      </c>
    </row>
    <row r="915" spans="6:6">
      <c r="F915" s="107" t="str">
        <f t="shared" si="31"/>
        <v/>
      </c>
    </row>
    <row r="916" spans="6:6">
      <c r="F916" s="107" t="str">
        <f t="shared" si="31"/>
        <v/>
      </c>
    </row>
    <row r="917" spans="6:6">
      <c r="F917" s="107" t="str">
        <f t="shared" si="31"/>
        <v/>
      </c>
    </row>
    <row r="918" spans="6:6">
      <c r="F918" s="107" t="str">
        <f t="shared" si="31"/>
        <v/>
      </c>
    </row>
    <row r="919" spans="6:6">
      <c r="F919" s="107" t="str">
        <f t="shared" si="31"/>
        <v/>
      </c>
    </row>
    <row r="920" spans="6:6">
      <c r="F920" s="107" t="str">
        <f t="shared" si="31"/>
        <v/>
      </c>
    </row>
    <row r="921" spans="6:6">
      <c r="F921" s="107" t="str">
        <f t="shared" si="31"/>
        <v/>
      </c>
    </row>
    <row r="922" spans="6:6">
      <c r="F922" s="107" t="str">
        <f t="shared" si="31"/>
        <v/>
      </c>
    </row>
    <row r="923" spans="6:6">
      <c r="F923" s="107" t="str">
        <f t="shared" si="31"/>
        <v/>
      </c>
    </row>
    <row r="924" spans="6:6">
      <c r="F924" s="107" t="str">
        <f t="shared" si="31"/>
        <v/>
      </c>
    </row>
    <row r="925" spans="6:6">
      <c r="F925" s="107" t="str">
        <f t="shared" si="31"/>
        <v/>
      </c>
    </row>
    <row r="926" spans="6:6">
      <c r="F926" s="107" t="str">
        <f t="shared" si="31"/>
        <v/>
      </c>
    </row>
    <row r="927" spans="6:6">
      <c r="F927" s="107" t="str">
        <f t="shared" si="31"/>
        <v/>
      </c>
    </row>
    <row r="928" spans="6:6">
      <c r="F928" s="107" t="str">
        <f t="shared" si="31"/>
        <v/>
      </c>
    </row>
    <row r="929" spans="6:6">
      <c r="F929" s="107" t="str">
        <f t="shared" si="31"/>
        <v/>
      </c>
    </row>
    <row r="930" spans="6:6">
      <c r="F930" s="107" t="str">
        <f t="shared" si="31"/>
        <v/>
      </c>
    </row>
    <row r="931" spans="6:6">
      <c r="F931" s="107" t="str">
        <f t="shared" si="31"/>
        <v/>
      </c>
    </row>
    <row r="932" spans="6:6">
      <c r="F932" s="107" t="str">
        <f t="shared" si="31"/>
        <v/>
      </c>
    </row>
    <row r="933" spans="6:6">
      <c r="F933" s="107" t="str">
        <f t="shared" si="31"/>
        <v/>
      </c>
    </row>
    <row r="934" spans="6:6">
      <c r="F934" s="107" t="str">
        <f t="shared" si="31"/>
        <v/>
      </c>
    </row>
    <row r="935" spans="6:6">
      <c r="F935" s="107" t="str">
        <f t="shared" si="31"/>
        <v/>
      </c>
    </row>
    <row r="936" spans="6:6">
      <c r="F936" s="107" t="str">
        <f t="shared" si="31"/>
        <v/>
      </c>
    </row>
    <row r="937" spans="6:6">
      <c r="F937" s="107" t="str">
        <f t="shared" si="31"/>
        <v/>
      </c>
    </row>
    <row r="938" spans="6:6">
      <c r="F938" s="107" t="str">
        <f t="shared" si="31"/>
        <v/>
      </c>
    </row>
    <row r="939" spans="6:6">
      <c r="F939" s="107" t="str">
        <f t="shared" si="31"/>
        <v/>
      </c>
    </row>
    <row r="940" spans="6:6">
      <c r="F940" s="107" t="str">
        <f t="shared" si="31"/>
        <v/>
      </c>
    </row>
    <row r="941" spans="6:6">
      <c r="F941" s="107" t="str">
        <f t="shared" si="31"/>
        <v/>
      </c>
    </row>
    <row r="942" spans="6:6">
      <c r="F942" s="107" t="str">
        <f t="shared" si="31"/>
        <v/>
      </c>
    </row>
    <row r="943" spans="6:6">
      <c r="F943" s="107" t="str">
        <f t="shared" si="31"/>
        <v/>
      </c>
    </row>
    <row r="944" spans="6:6">
      <c r="F944" s="107" t="str">
        <f t="shared" si="31"/>
        <v/>
      </c>
    </row>
    <row r="945" spans="6:6">
      <c r="F945" s="107" t="str">
        <f t="shared" si="31"/>
        <v/>
      </c>
    </row>
    <row r="946" spans="6:6">
      <c r="F946" s="107" t="str">
        <f t="shared" si="31"/>
        <v/>
      </c>
    </row>
    <row r="947" spans="6:6">
      <c r="F947" s="107" t="str">
        <f t="shared" si="31"/>
        <v/>
      </c>
    </row>
    <row r="948" spans="6:6">
      <c r="F948" s="107" t="str">
        <f t="shared" si="31"/>
        <v/>
      </c>
    </row>
    <row r="949" spans="6:6">
      <c r="F949" s="107" t="str">
        <f t="shared" si="31"/>
        <v/>
      </c>
    </row>
    <row r="950" spans="6:6">
      <c r="F950" s="107" t="str">
        <f t="shared" si="31"/>
        <v/>
      </c>
    </row>
    <row r="951" spans="6:6">
      <c r="F951" s="107" t="str">
        <f t="shared" si="31"/>
        <v/>
      </c>
    </row>
    <row r="952" spans="6:6">
      <c r="F952" s="107" t="str">
        <f t="shared" si="31"/>
        <v/>
      </c>
    </row>
    <row r="953" spans="6:6">
      <c r="F953" s="107" t="str">
        <f t="shared" si="31"/>
        <v/>
      </c>
    </row>
    <row r="954" spans="6:6">
      <c r="F954" s="107" t="str">
        <f t="shared" si="31"/>
        <v/>
      </c>
    </row>
    <row r="955" spans="6:6">
      <c r="F955" s="107" t="str">
        <f t="shared" si="31"/>
        <v/>
      </c>
    </row>
    <row r="956" spans="6:6">
      <c r="F956" s="107" t="str">
        <f t="shared" si="31"/>
        <v/>
      </c>
    </row>
    <row r="957" spans="6:6">
      <c r="F957" s="107" t="str">
        <f t="shared" si="31"/>
        <v/>
      </c>
    </row>
    <row r="958" spans="6:6">
      <c r="F958" s="107" t="str">
        <f t="shared" si="31"/>
        <v/>
      </c>
    </row>
    <row r="959" spans="6:6">
      <c r="F959" s="107" t="str">
        <f t="shared" si="31"/>
        <v/>
      </c>
    </row>
    <row r="960" spans="6:6">
      <c r="F960" s="107" t="str">
        <f t="shared" si="31"/>
        <v/>
      </c>
    </row>
    <row r="961" spans="6:6">
      <c r="F961" s="107" t="str">
        <f t="shared" si="31"/>
        <v/>
      </c>
    </row>
    <row r="962" spans="6:6">
      <c r="F962" s="107" t="str">
        <f t="shared" si="31"/>
        <v/>
      </c>
    </row>
    <row r="963" spans="6:6">
      <c r="F963" s="107" t="str">
        <f t="shared" ref="F963:F1026" si="32">UPPER(LEFT(B963,1)) &amp; IFERROR(UPPER(LEFT(MID(B963,FIND(" ",B963)+1,LEN(B963)),1)),"") &amp; IFERROR(UPPER(LEFT(MID(B963,FIND(" ",B963,FIND(" ",B963)+1)+1,LEN(B963)),1)),"") &amp; IFERROR(UPPER(LEFT(MID(B963,FIND(" ",B963,FIND(" ",B963,FIND(" ",B963)+1)+1)+1,LEN(B963)),1)),"")</f>
        <v/>
      </c>
    </row>
    <row r="964" spans="6:6">
      <c r="F964" s="107" t="str">
        <f t="shared" si="32"/>
        <v/>
      </c>
    </row>
    <row r="965" spans="6:6">
      <c r="F965" s="107" t="str">
        <f t="shared" si="32"/>
        <v/>
      </c>
    </row>
    <row r="966" spans="6:6">
      <c r="F966" s="107" t="str">
        <f t="shared" si="32"/>
        <v/>
      </c>
    </row>
    <row r="967" spans="6:6">
      <c r="F967" s="107" t="str">
        <f t="shared" si="32"/>
        <v/>
      </c>
    </row>
    <row r="968" spans="6:6">
      <c r="F968" s="107" t="str">
        <f t="shared" si="32"/>
        <v/>
      </c>
    </row>
    <row r="969" spans="6:6">
      <c r="F969" s="107" t="str">
        <f t="shared" si="32"/>
        <v/>
      </c>
    </row>
    <row r="970" spans="6:6">
      <c r="F970" s="107" t="str">
        <f t="shared" si="32"/>
        <v/>
      </c>
    </row>
    <row r="971" spans="6:6">
      <c r="F971" s="107" t="str">
        <f t="shared" si="32"/>
        <v/>
      </c>
    </row>
    <row r="972" spans="6:6">
      <c r="F972" s="107" t="str">
        <f t="shared" si="32"/>
        <v/>
      </c>
    </row>
    <row r="973" spans="6:6">
      <c r="F973" s="107" t="str">
        <f t="shared" si="32"/>
        <v/>
      </c>
    </row>
    <row r="974" spans="6:6">
      <c r="F974" s="107" t="str">
        <f t="shared" si="32"/>
        <v/>
      </c>
    </row>
    <row r="975" spans="6:6">
      <c r="F975" s="107" t="str">
        <f t="shared" si="32"/>
        <v/>
      </c>
    </row>
    <row r="976" spans="6:6">
      <c r="F976" s="107" t="str">
        <f t="shared" si="32"/>
        <v/>
      </c>
    </row>
    <row r="977" spans="6:6">
      <c r="F977" s="107" t="str">
        <f t="shared" si="32"/>
        <v/>
      </c>
    </row>
    <row r="978" spans="6:6">
      <c r="F978" s="107" t="str">
        <f t="shared" si="32"/>
        <v/>
      </c>
    </row>
    <row r="979" spans="6:6">
      <c r="F979" s="107" t="str">
        <f t="shared" si="32"/>
        <v/>
      </c>
    </row>
    <row r="980" spans="6:6">
      <c r="F980" s="107" t="str">
        <f t="shared" si="32"/>
        <v/>
      </c>
    </row>
    <row r="981" spans="6:6">
      <c r="F981" s="107" t="str">
        <f t="shared" si="32"/>
        <v/>
      </c>
    </row>
    <row r="982" spans="6:6">
      <c r="F982" s="107" t="str">
        <f t="shared" si="32"/>
        <v/>
      </c>
    </row>
    <row r="983" spans="6:6">
      <c r="F983" s="107" t="str">
        <f t="shared" si="32"/>
        <v/>
      </c>
    </row>
    <row r="984" spans="6:6">
      <c r="F984" s="107" t="str">
        <f t="shared" si="32"/>
        <v/>
      </c>
    </row>
    <row r="985" spans="6:6">
      <c r="F985" s="107" t="str">
        <f t="shared" si="32"/>
        <v/>
      </c>
    </row>
    <row r="986" spans="6:6">
      <c r="F986" s="107" t="str">
        <f t="shared" si="32"/>
        <v/>
      </c>
    </row>
    <row r="987" spans="6:6">
      <c r="F987" s="107" t="str">
        <f t="shared" si="32"/>
        <v/>
      </c>
    </row>
    <row r="988" spans="6:6">
      <c r="F988" s="107" t="str">
        <f t="shared" si="32"/>
        <v/>
      </c>
    </row>
    <row r="989" spans="6:6">
      <c r="F989" s="107" t="str">
        <f t="shared" si="32"/>
        <v/>
      </c>
    </row>
    <row r="990" spans="6:6">
      <c r="F990" s="107" t="str">
        <f t="shared" si="32"/>
        <v/>
      </c>
    </row>
    <row r="991" spans="6:6">
      <c r="F991" s="107" t="str">
        <f t="shared" si="32"/>
        <v/>
      </c>
    </row>
    <row r="992" spans="6:6">
      <c r="F992" s="107" t="str">
        <f t="shared" si="32"/>
        <v/>
      </c>
    </row>
    <row r="993" spans="6:6">
      <c r="F993" s="107" t="str">
        <f t="shared" si="32"/>
        <v/>
      </c>
    </row>
    <row r="994" spans="6:6">
      <c r="F994" s="107" t="str">
        <f t="shared" si="32"/>
        <v/>
      </c>
    </row>
    <row r="995" spans="6:6">
      <c r="F995" s="107" t="str">
        <f t="shared" si="32"/>
        <v/>
      </c>
    </row>
    <row r="996" spans="6:6">
      <c r="F996" s="107" t="str">
        <f t="shared" si="32"/>
        <v/>
      </c>
    </row>
    <row r="997" spans="6:6">
      <c r="F997" s="107" t="str">
        <f t="shared" si="32"/>
        <v/>
      </c>
    </row>
    <row r="998" spans="6:6">
      <c r="F998" s="107" t="str">
        <f t="shared" si="32"/>
        <v/>
      </c>
    </row>
    <row r="999" spans="6:6">
      <c r="F999" s="107" t="str">
        <f t="shared" si="32"/>
        <v/>
      </c>
    </row>
    <row r="1000" spans="6:6">
      <c r="F1000" s="107" t="str">
        <f t="shared" si="32"/>
        <v/>
      </c>
    </row>
    <row r="1001" spans="6:6">
      <c r="F1001" s="107" t="str">
        <f t="shared" si="32"/>
        <v/>
      </c>
    </row>
    <row r="1002" spans="6:6">
      <c r="F1002" s="107" t="str">
        <f t="shared" si="32"/>
        <v/>
      </c>
    </row>
    <row r="1003" spans="6:6">
      <c r="F1003" s="107" t="str">
        <f t="shared" si="32"/>
        <v/>
      </c>
    </row>
    <row r="1004" spans="6:6">
      <c r="F1004" s="107" t="str">
        <f t="shared" si="32"/>
        <v/>
      </c>
    </row>
    <row r="1005" spans="6:6">
      <c r="F1005" s="107" t="str">
        <f t="shared" si="32"/>
        <v/>
      </c>
    </row>
    <row r="1006" spans="6:6">
      <c r="F1006" s="107" t="str">
        <f t="shared" si="32"/>
        <v/>
      </c>
    </row>
    <row r="1007" spans="6:6">
      <c r="F1007" s="107" t="str">
        <f t="shared" si="32"/>
        <v/>
      </c>
    </row>
    <row r="1008" spans="6:6">
      <c r="F1008" s="107" t="str">
        <f t="shared" si="32"/>
        <v/>
      </c>
    </row>
    <row r="1009" spans="6:6">
      <c r="F1009" s="107" t="str">
        <f t="shared" si="32"/>
        <v/>
      </c>
    </row>
    <row r="1010" spans="6:6">
      <c r="F1010" s="107" t="str">
        <f t="shared" si="32"/>
        <v/>
      </c>
    </row>
    <row r="1011" spans="6:6">
      <c r="F1011" s="107" t="str">
        <f t="shared" si="32"/>
        <v/>
      </c>
    </row>
    <row r="1012" spans="6:6">
      <c r="F1012" s="107" t="str">
        <f t="shared" si="32"/>
        <v/>
      </c>
    </row>
    <row r="1013" spans="6:6">
      <c r="F1013" s="107" t="str">
        <f t="shared" si="32"/>
        <v/>
      </c>
    </row>
    <row r="1014" spans="6:6">
      <c r="F1014" s="107" t="str">
        <f t="shared" si="32"/>
        <v/>
      </c>
    </row>
    <row r="1015" spans="6:6">
      <c r="F1015" s="107" t="str">
        <f t="shared" si="32"/>
        <v/>
      </c>
    </row>
    <row r="1016" spans="6:6">
      <c r="F1016" s="107" t="str">
        <f t="shared" si="32"/>
        <v/>
      </c>
    </row>
    <row r="1017" spans="6:6">
      <c r="F1017" s="107" t="str">
        <f t="shared" si="32"/>
        <v/>
      </c>
    </row>
    <row r="1018" spans="6:6">
      <c r="F1018" s="107" t="str">
        <f t="shared" si="32"/>
        <v/>
      </c>
    </row>
    <row r="1019" spans="6:6">
      <c r="F1019" s="107" t="str">
        <f t="shared" si="32"/>
        <v/>
      </c>
    </row>
    <row r="1020" spans="6:6">
      <c r="F1020" s="107" t="str">
        <f t="shared" si="32"/>
        <v/>
      </c>
    </row>
    <row r="1021" spans="6:6">
      <c r="F1021" s="107" t="str">
        <f t="shared" si="32"/>
        <v/>
      </c>
    </row>
    <row r="1022" spans="6:6">
      <c r="F1022" s="107" t="str">
        <f t="shared" si="32"/>
        <v/>
      </c>
    </row>
    <row r="1023" spans="6:6">
      <c r="F1023" s="107" t="str">
        <f t="shared" si="32"/>
        <v/>
      </c>
    </row>
    <row r="1024" spans="6:6">
      <c r="F1024" s="107" t="str">
        <f t="shared" si="32"/>
        <v/>
      </c>
    </row>
    <row r="1025" spans="6:6">
      <c r="F1025" s="107" t="str">
        <f t="shared" si="32"/>
        <v/>
      </c>
    </row>
    <row r="1026" spans="6:6">
      <c r="F1026" s="107" t="str">
        <f t="shared" si="32"/>
        <v/>
      </c>
    </row>
    <row r="1027" spans="6:6">
      <c r="F1027" s="107" t="str">
        <f t="shared" ref="F1027:F1090" si="33">UPPER(LEFT(B1027,1)) &amp; IFERROR(UPPER(LEFT(MID(B1027,FIND(" ",B1027)+1,LEN(B1027)),1)),"") &amp; IFERROR(UPPER(LEFT(MID(B1027,FIND(" ",B1027,FIND(" ",B1027)+1)+1,LEN(B1027)),1)),"") &amp; IFERROR(UPPER(LEFT(MID(B1027,FIND(" ",B1027,FIND(" ",B1027,FIND(" ",B1027)+1)+1)+1,LEN(B1027)),1)),"")</f>
        <v/>
      </c>
    </row>
    <row r="1028" spans="6:6">
      <c r="F1028" s="107" t="str">
        <f t="shared" si="33"/>
        <v/>
      </c>
    </row>
    <row r="1029" spans="6:6">
      <c r="F1029" s="107" t="str">
        <f t="shared" si="33"/>
        <v/>
      </c>
    </row>
    <row r="1030" spans="6:6">
      <c r="F1030" s="107" t="str">
        <f t="shared" si="33"/>
        <v/>
      </c>
    </row>
    <row r="1031" spans="6:6">
      <c r="F1031" s="107" t="str">
        <f t="shared" si="33"/>
        <v/>
      </c>
    </row>
    <row r="1032" spans="6:6">
      <c r="F1032" s="107" t="str">
        <f t="shared" si="33"/>
        <v/>
      </c>
    </row>
    <row r="1033" spans="6:6">
      <c r="F1033" s="107" t="str">
        <f t="shared" si="33"/>
        <v/>
      </c>
    </row>
    <row r="1034" spans="6:6">
      <c r="F1034" s="107" t="str">
        <f t="shared" si="33"/>
        <v/>
      </c>
    </row>
    <row r="1035" spans="6:6">
      <c r="F1035" s="107" t="str">
        <f t="shared" si="33"/>
        <v/>
      </c>
    </row>
    <row r="1036" spans="6:6">
      <c r="F1036" s="107" t="str">
        <f t="shared" si="33"/>
        <v/>
      </c>
    </row>
    <row r="1037" spans="6:6">
      <c r="F1037" s="107" t="str">
        <f t="shared" si="33"/>
        <v/>
      </c>
    </row>
    <row r="1038" spans="6:6">
      <c r="F1038" s="107" t="str">
        <f t="shared" si="33"/>
        <v/>
      </c>
    </row>
    <row r="1039" spans="6:6">
      <c r="F1039" s="107" t="str">
        <f t="shared" si="33"/>
        <v/>
      </c>
    </row>
    <row r="1040" spans="6:6">
      <c r="F1040" s="107" t="str">
        <f t="shared" si="33"/>
        <v/>
      </c>
    </row>
    <row r="1041" spans="6:6">
      <c r="F1041" s="107" t="str">
        <f t="shared" si="33"/>
        <v/>
      </c>
    </row>
    <row r="1042" spans="6:6">
      <c r="F1042" s="107" t="str">
        <f t="shared" si="33"/>
        <v/>
      </c>
    </row>
    <row r="1043" spans="6:6">
      <c r="F1043" s="107" t="str">
        <f t="shared" si="33"/>
        <v/>
      </c>
    </row>
    <row r="1044" spans="6:6">
      <c r="F1044" s="107" t="str">
        <f t="shared" si="33"/>
        <v/>
      </c>
    </row>
    <row r="1045" spans="6:6">
      <c r="F1045" s="107" t="str">
        <f t="shared" si="33"/>
        <v/>
      </c>
    </row>
    <row r="1046" spans="6:6">
      <c r="F1046" s="107" t="str">
        <f t="shared" si="33"/>
        <v/>
      </c>
    </row>
    <row r="1047" spans="6:6">
      <c r="F1047" s="107" t="str">
        <f t="shared" si="33"/>
        <v/>
      </c>
    </row>
    <row r="1048" spans="6:6">
      <c r="F1048" s="107" t="str">
        <f t="shared" si="33"/>
        <v/>
      </c>
    </row>
    <row r="1049" spans="6:6">
      <c r="F1049" s="107" t="str">
        <f t="shared" si="33"/>
        <v/>
      </c>
    </row>
    <row r="1050" spans="6:6">
      <c r="F1050" s="107" t="str">
        <f t="shared" si="33"/>
        <v/>
      </c>
    </row>
    <row r="1051" spans="6:6">
      <c r="F1051" s="107" t="str">
        <f t="shared" si="33"/>
        <v/>
      </c>
    </row>
    <row r="1052" spans="6:6">
      <c r="F1052" s="107" t="str">
        <f t="shared" si="33"/>
        <v/>
      </c>
    </row>
    <row r="1053" spans="6:6">
      <c r="F1053" s="107" t="str">
        <f t="shared" si="33"/>
        <v/>
      </c>
    </row>
    <row r="1054" spans="6:6">
      <c r="F1054" s="107" t="str">
        <f t="shared" si="33"/>
        <v/>
      </c>
    </row>
    <row r="1055" spans="6:6">
      <c r="F1055" s="107" t="str">
        <f t="shared" si="33"/>
        <v/>
      </c>
    </row>
    <row r="1056" spans="6:6">
      <c r="F1056" s="107" t="str">
        <f t="shared" si="33"/>
        <v/>
      </c>
    </row>
    <row r="1057" spans="6:6">
      <c r="F1057" s="107" t="str">
        <f t="shared" si="33"/>
        <v/>
      </c>
    </row>
    <row r="1058" spans="6:6">
      <c r="F1058" s="107" t="str">
        <f t="shared" si="33"/>
        <v/>
      </c>
    </row>
    <row r="1059" spans="6:6">
      <c r="F1059" s="107" t="str">
        <f t="shared" si="33"/>
        <v/>
      </c>
    </row>
    <row r="1060" spans="6:6">
      <c r="F1060" s="107" t="str">
        <f t="shared" si="33"/>
        <v/>
      </c>
    </row>
    <row r="1061" spans="6:6">
      <c r="F1061" s="107" t="str">
        <f t="shared" si="33"/>
        <v/>
      </c>
    </row>
    <row r="1062" spans="6:6">
      <c r="F1062" s="107" t="str">
        <f t="shared" si="33"/>
        <v/>
      </c>
    </row>
    <row r="1063" spans="6:6">
      <c r="F1063" s="107" t="str">
        <f t="shared" si="33"/>
        <v/>
      </c>
    </row>
    <row r="1064" spans="6:6">
      <c r="F1064" s="107" t="str">
        <f t="shared" si="33"/>
        <v/>
      </c>
    </row>
    <row r="1065" spans="6:6">
      <c r="F1065" s="107" t="str">
        <f t="shared" si="33"/>
        <v/>
      </c>
    </row>
    <row r="1066" spans="6:6">
      <c r="F1066" s="107" t="str">
        <f t="shared" si="33"/>
        <v/>
      </c>
    </row>
    <row r="1067" spans="6:6">
      <c r="F1067" s="107" t="str">
        <f t="shared" si="33"/>
        <v/>
      </c>
    </row>
    <row r="1068" spans="6:6">
      <c r="F1068" s="107" t="str">
        <f t="shared" si="33"/>
        <v/>
      </c>
    </row>
    <row r="1069" spans="6:6">
      <c r="F1069" s="107" t="str">
        <f t="shared" si="33"/>
        <v/>
      </c>
    </row>
    <row r="1070" spans="6:6">
      <c r="F1070" s="107" t="str">
        <f t="shared" si="33"/>
        <v/>
      </c>
    </row>
    <row r="1071" spans="6:6">
      <c r="F1071" s="107" t="str">
        <f t="shared" si="33"/>
        <v/>
      </c>
    </row>
    <row r="1072" spans="6:6">
      <c r="F1072" s="107" t="str">
        <f t="shared" si="33"/>
        <v/>
      </c>
    </row>
    <row r="1073" spans="6:6">
      <c r="F1073" s="107" t="str">
        <f t="shared" si="33"/>
        <v/>
      </c>
    </row>
    <row r="1074" spans="6:6">
      <c r="F1074" s="107" t="str">
        <f t="shared" si="33"/>
        <v/>
      </c>
    </row>
    <row r="1075" spans="6:6">
      <c r="F1075" s="107" t="str">
        <f t="shared" si="33"/>
        <v/>
      </c>
    </row>
    <row r="1076" spans="6:6">
      <c r="F1076" s="107" t="str">
        <f t="shared" si="33"/>
        <v/>
      </c>
    </row>
    <row r="1077" spans="6:6">
      <c r="F1077" s="107" t="str">
        <f t="shared" si="33"/>
        <v/>
      </c>
    </row>
    <row r="1078" spans="6:6">
      <c r="F1078" s="107" t="str">
        <f t="shared" si="33"/>
        <v/>
      </c>
    </row>
    <row r="1079" spans="6:6">
      <c r="F1079" s="107" t="str">
        <f t="shared" si="33"/>
        <v/>
      </c>
    </row>
    <row r="1080" spans="6:6">
      <c r="F1080" s="107" t="str">
        <f t="shared" si="33"/>
        <v/>
      </c>
    </row>
    <row r="1081" spans="6:6">
      <c r="F1081" s="107" t="str">
        <f t="shared" si="33"/>
        <v/>
      </c>
    </row>
    <row r="1082" spans="6:6">
      <c r="F1082" s="107" t="str">
        <f t="shared" si="33"/>
        <v/>
      </c>
    </row>
    <row r="1083" spans="6:6">
      <c r="F1083" s="107" t="str">
        <f t="shared" si="33"/>
        <v/>
      </c>
    </row>
    <row r="1084" spans="6:6">
      <c r="F1084" s="107" t="str">
        <f t="shared" si="33"/>
        <v/>
      </c>
    </row>
    <row r="1085" spans="6:6">
      <c r="F1085" s="107" t="str">
        <f t="shared" si="33"/>
        <v/>
      </c>
    </row>
    <row r="1086" spans="6:6">
      <c r="F1086" s="107" t="str">
        <f t="shared" si="33"/>
        <v/>
      </c>
    </row>
    <row r="1087" spans="6:6">
      <c r="F1087" s="107" t="str">
        <f t="shared" si="33"/>
        <v/>
      </c>
    </row>
    <row r="1088" spans="6:6">
      <c r="F1088" s="107" t="str">
        <f t="shared" si="33"/>
        <v/>
      </c>
    </row>
    <row r="1089" spans="6:6">
      <c r="F1089" s="107" t="str">
        <f t="shared" si="33"/>
        <v/>
      </c>
    </row>
    <row r="1090" spans="6:6">
      <c r="F1090" s="107" t="str">
        <f t="shared" si="33"/>
        <v/>
      </c>
    </row>
    <row r="1091" spans="6:6">
      <c r="F1091" s="107" t="str">
        <f t="shared" ref="F1091:F1154" si="34">UPPER(LEFT(B1091,1)) &amp; IFERROR(UPPER(LEFT(MID(B1091,FIND(" ",B1091)+1,LEN(B1091)),1)),"") &amp; IFERROR(UPPER(LEFT(MID(B1091,FIND(" ",B1091,FIND(" ",B1091)+1)+1,LEN(B1091)),1)),"") &amp; IFERROR(UPPER(LEFT(MID(B1091,FIND(" ",B1091,FIND(" ",B1091,FIND(" ",B1091)+1)+1)+1,LEN(B1091)),1)),"")</f>
        <v/>
      </c>
    </row>
    <row r="1092" spans="6:6">
      <c r="F1092" s="107" t="str">
        <f t="shared" si="34"/>
        <v/>
      </c>
    </row>
    <row r="1093" spans="6:6">
      <c r="F1093" s="107" t="str">
        <f t="shared" si="34"/>
        <v/>
      </c>
    </row>
    <row r="1094" spans="6:6">
      <c r="F1094" s="107" t="str">
        <f t="shared" si="34"/>
        <v/>
      </c>
    </row>
    <row r="1095" spans="6:6">
      <c r="F1095" s="107" t="str">
        <f t="shared" si="34"/>
        <v/>
      </c>
    </row>
    <row r="1096" spans="6:6">
      <c r="F1096" s="107" t="str">
        <f t="shared" si="34"/>
        <v/>
      </c>
    </row>
    <row r="1097" spans="6:6">
      <c r="F1097" s="107" t="str">
        <f t="shared" si="34"/>
        <v/>
      </c>
    </row>
    <row r="1098" spans="6:6">
      <c r="F1098" s="107" t="str">
        <f t="shared" si="34"/>
        <v/>
      </c>
    </row>
    <row r="1099" spans="6:6">
      <c r="F1099" s="107" t="str">
        <f t="shared" si="34"/>
        <v/>
      </c>
    </row>
    <row r="1100" spans="6:6">
      <c r="F1100" s="107" t="str">
        <f t="shared" si="34"/>
        <v/>
      </c>
    </row>
    <row r="1101" spans="6:6">
      <c r="F1101" s="107" t="str">
        <f t="shared" si="34"/>
        <v/>
      </c>
    </row>
    <row r="1102" spans="6:6">
      <c r="F1102" s="107" t="str">
        <f t="shared" si="34"/>
        <v/>
      </c>
    </row>
    <row r="1103" spans="6:6">
      <c r="F1103" s="107" t="str">
        <f t="shared" si="34"/>
        <v/>
      </c>
    </row>
    <row r="1104" spans="6:6">
      <c r="F1104" s="107" t="str">
        <f t="shared" si="34"/>
        <v/>
      </c>
    </row>
    <row r="1105" spans="6:6">
      <c r="F1105" s="107" t="str">
        <f t="shared" si="34"/>
        <v/>
      </c>
    </row>
    <row r="1106" spans="6:6">
      <c r="F1106" s="107" t="str">
        <f t="shared" si="34"/>
        <v/>
      </c>
    </row>
    <row r="1107" spans="6:6">
      <c r="F1107" s="107" t="str">
        <f t="shared" si="34"/>
        <v/>
      </c>
    </row>
    <row r="1108" spans="6:6">
      <c r="F1108" s="107" t="str">
        <f t="shared" si="34"/>
        <v/>
      </c>
    </row>
    <row r="1109" spans="6:6">
      <c r="F1109" s="107" t="str">
        <f t="shared" si="34"/>
        <v/>
      </c>
    </row>
    <row r="1110" spans="6:6">
      <c r="F1110" s="107" t="str">
        <f t="shared" si="34"/>
        <v/>
      </c>
    </row>
    <row r="1111" spans="6:6">
      <c r="F1111" s="107" t="str">
        <f t="shared" si="34"/>
        <v/>
      </c>
    </row>
    <row r="1112" spans="6:6">
      <c r="F1112" s="107" t="str">
        <f t="shared" si="34"/>
        <v/>
      </c>
    </row>
    <row r="1113" spans="6:6">
      <c r="F1113" s="107" t="str">
        <f t="shared" si="34"/>
        <v/>
      </c>
    </row>
    <row r="1114" spans="6:6">
      <c r="F1114" s="107" t="str">
        <f t="shared" si="34"/>
        <v/>
      </c>
    </row>
    <row r="1115" spans="6:6">
      <c r="F1115" s="107" t="str">
        <f t="shared" si="34"/>
        <v/>
      </c>
    </row>
    <row r="1116" spans="6:6">
      <c r="F1116" s="107" t="str">
        <f t="shared" si="34"/>
        <v/>
      </c>
    </row>
    <row r="1117" spans="6:6">
      <c r="F1117" s="107" t="str">
        <f t="shared" si="34"/>
        <v/>
      </c>
    </row>
    <row r="1118" spans="6:6">
      <c r="F1118" s="107" t="str">
        <f t="shared" si="34"/>
        <v/>
      </c>
    </row>
    <row r="1119" spans="6:6">
      <c r="F1119" s="107" t="str">
        <f t="shared" si="34"/>
        <v/>
      </c>
    </row>
    <row r="1120" spans="6:6">
      <c r="F1120" s="107" t="str">
        <f t="shared" si="34"/>
        <v/>
      </c>
    </row>
    <row r="1121" spans="6:6">
      <c r="F1121" s="107" t="str">
        <f t="shared" si="34"/>
        <v/>
      </c>
    </row>
    <row r="1122" spans="6:6">
      <c r="F1122" s="107" t="str">
        <f t="shared" si="34"/>
        <v/>
      </c>
    </row>
    <row r="1123" spans="6:6">
      <c r="F1123" s="107" t="str">
        <f t="shared" si="34"/>
        <v/>
      </c>
    </row>
    <row r="1124" spans="6:6">
      <c r="F1124" s="107" t="str">
        <f t="shared" si="34"/>
        <v/>
      </c>
    </row>
    <row r="1125" spans="6:6">
      <c r="F1125" s="107" t="str">
        <f t="shared" si="34"/>
        <v/>
      </c>
    </row>
    <row r="1126" spans="6:6">
      <c r="F1126" s="107" t="str">
        <f t="shared" si="34"/>
        <v/>
      </c>
    </row>
    <row r="1127" spans="6:6">
      <c r="F1127" s="107" t="str">
        <f t="shared" si="34"/>
        <v/>
      </c>
    </row>
    <row r="1128" spans="6:6">
      <c r="F1128" s="107" t="str">
        <f t="shared" si="34"/>
        <v/>
      </c>
    </row>
    <row r="1129" spans="6:6">
      <c r="F1129" s="107" t="str">
        <f t="shared" si="34"/>
        <v/>
      </c>
    </row>
    <row r="1130" spans="6:6">
      <c r="F1130" s="107" t="str">
        <f t="shared" si="34"/>
        <v/>
      </c>
    </row>
    <row r="1131" spans="6:6">
      <c r="F1131" s="107" t="str">
        <f t="shared" si="34"/>
        <v/>
      </c>
    </row>
    <row r="1132" spans="6:6">
      <c r="F1132" s="107" t="str">
        <f t="shared" si="34"/>
        <v/>
      </c>
    </row>
    <row r="1133" spans="6:6">
      <c r="F1133" s="107" t="str">
        <f t="shared" si="34"/>
        <v/>
      </c>
    </row>
    <row r="1134" spans="6:6">
      <c r="F1134" s="107" t="str">
        <f t="shared" si="34"/>
        <v/>
      </c>
    </row>
    <row r="1135" spans="6:6">
      <c r="F1135" s="107" t="str">
        <f t="shared" si="34"/>
        <v/>
      </c>
    </row>
    <row r="1136" spans="6:6">
      <c r="F1136" s="107" t="str">
        <f t="shared" si="34"/>
        <v/>
      </c>
    </row>
    <row r="1137" spans="6:6">
      <c r="F1137" s="107" t="str">
        <f t="shared" si="34"/>
        <v/>
      </c>
    </row>
    <row r="1138" spans="6:6">
      <c r="F1138" s="107" t="str">
        <f t="shared" si="34"/>
        <v/>
      </c>
    </row>
    <row r="1139" spans="6:6">
      <c r="F1139" s="107" t="str">
        <f t="shared" si="34"/>
        <v/>
      </c>
    </row>
    <row r="1140" spans="6:6">
      <c r="F1140" s="107" t="str">
        <f t="shared" si="34"/>
        <v/>
      </c>
    </row>
    <row r="1141" spans="6:6">
      <c r="F1141" s="107" t="str">
        <f t="shared" si="34"/>
        <v/>
      </c>
    </row>
    <row r="1142" spans="6:6">
      <c r="F1142" s="107" t="str">
        <f t="shared" si="34"/>
        <v/>
      </c>
    </row>
    <row r="1143" spans="6:6">
      <c r="F1143" s="107" t="str">
        <f t="shared" si="34"/>
        <v/>
      </c>
    </row>
    <row r="1144" spans="6:6">
      <c r="F1144" s="107" t="str">
        <f t="shared" si="34"/>
        <v/>
      </c>
    </row>
    <row r="1145" spans="6:6">
      <c r="F1145" s="107" t="str">
        <f t="shared" si="34"/>
        <v/>
      </c>
    </row>
    <row r="1146" spans="6:6">
      <c r="F1146" s="107" t="str">
        <f t="shared" si="34"/>
        <v/>
      </c>
    </row>
    <row r="1147" spans="6:6">
      <c r="F1147" s="107" t="str">
        <f t="shared" si="34"/>
        <v/>
      </c>
    </row>
    <row r="1148" spans="6:6">
      <c r="F1148" s="107" t="str">
        <f t="shared" si="34"/>
        <v/>
      </c>
    </row>
    <row r="1149" spans="6:6">
      <c r="F1149" s="107" t="str">
        <f t="shared" si="34"/>
        <v/>
      </c>
    </row>
    <row r="1150" spans="6:6">
      <c r="F1150" s="107" t="str">
        <f t="shared" si="34"/>
        <v/>
      </c>
    </row>
    <row r="1151" spans="6:6">
      <c r="F1151" s="107" t="str">
        <f t="shared" si="34"/>
        <v/>
      </c>
    </row>
    <row r="1152" spans="6:6">
      <c r="F1152" s="107" t="str">
        <f t="shared" si="34"/>
        <v/>
      </c>
    </row>
    <row r="1153" spans="6:6">
      <c r="F1153" s="107" t="str">
        <f t="shared" si="34"/>
        <v/>
      </c>
    </row>
    <row r="1154" spans="6:6">
      <c r="F1154" s="107" t="str">
        <f t="shared" si="34"/>
        <v/>
      </c>
    </row>
    <row r="1155" spans="6:6">
      <c r="F1155" s="107" t="str">
        <f t="shared" ref="F1155:F1218" si="35">UPPER(LEFT(B1155,1)) &amp; IFERROR(UPPER(LEFT(MID(B1155,FIND(" ",B1155)+1,LEN(B1155)),1)),"") &amp; IFERROR(UPPER(LEFT(MID(B1155,FIND(" ",B1155,FIND(" ",B1155)+1)+1,LEN(B1155)),1)),"") &amp; IFERROR(UPPER(LEFT(MID(B1155,FIND(" ",B1155,FIND(" ",B1155,FIND(" ",B1155)+1)+1)+1,LEN(B1155)),1)),"")</f>
        <v/>
      </c>
    </row>
    <row r="1156" spans="6:6">
      <c r="F1156" s="107" t="str">
        <f t="shared" si="35"/>
        <v/>
      </c>
    </row>
    <row r="1157" spans="6:6">
      <c r="F1157" s="107" t="str">
        <f t="shared" si="35"/>
        <v/>
      </c>
    </row>
    <row r="1158" spans="6:6">
      <c r="F1158" s="107" t="str">
        <f t="shared" si="35"/>
        <v/>
      </c>
    </row>
    <row r="1159" spans="6:6">
      <c r="F1159" s="107" t="str">
        <f t="shared" si="35"/>
        <v/>
      </c>
    </row>
    <row r="1160" spans="6:6">
      <c r="F1160" s="107" t="str">
        <f t="shared" si="35"/>
        <v/>
      </c>
    </row>
    <row r="1161" spans="6:6">
      <c r="F1161" s="107" t="str">
        <f t="shared" si="35"/>
        <v/>
      </c>
    </row>
    <row r="1162" spans="6:6">
      <c r="F1162" s="107" t="str">
        <f t="shared" si="35"/>
        <v/>
      </c>
    </row>
    <row r="1163" spans="6:6">
      <c r="F1163" s="107" t="str">
        <f t="shared" si="35"/>
        <v/>
      </c>
    </row>
    <row r="1164" spans="6:6">
      <c r="F1164" s="107" t="str">
        <f t="shared" si="35"/>
        <v/>
      </c>
    </row>
    <row r="1165" spans="6:6">
      <c r="F1165" s="107" t="str">
        <f t="shared" si="35"/>
        <v/>
      </c>
    </row>
    <row r="1166" spans="6:6">
      <c r="F1166" s="107" t="str">
        <f t="shared" si="35"/>
        <v/>
      </c>
    </row>
    <row r="1167" spans="6:6">
      <c r="F1167" s="107" t="str">
        <f t="shared" si="35"/>
        <v/>
      </c>
    </row>
    <row r="1168" spans="6:6">
      <c r="F1168" s="107" t="str">
        <f t="shared" si="35"/>
        <v/>
      </c>
    </row>
    <row r="1169" spans="6:6">
      <c r="F1169" s="107" t="str">
        <f t="shared" si="35"/>
        <v/>
      </c>
    </row>
    <row r="1170" spans="6:6">
      <c r="F1170" s="107" t="str">
        <f t="shared" si="35"/>
        <v/>
      </c>
    </row>
    <row r="1171" spans="6:6">
      <c r="F1171" s="107" t="str">
        <f t="shared" si="35"/>
        <v/>
      </c>
    </row>
    <row r="1172" spans="6:6">
      <c r="F1172" s="107" t="str">
        <f t="shared" si="35"/>
        <v/>
      </c>
    </row>
    <row r="1173" spans="6:6">
      <c r="F1173" s="107" t="str">
        <f t="shared" si="35"/>
        <v/>
      </c>
    </row>
    <row r="1174" spans="6:6">
      <c r="F1174" s="107" t="str">
        <f t="shared" si="35"/>
        <v/>
      </c>
    </row>
    <row r="1175" spans="6:6">
      <c r="F1175" s="107" t="str">
        <f t="shared" si="35"/>
        <v/>
      </c>
    </row>
    <row r="1176" spans="6:6">
      <c r="F1176" s="107" t="str">
        <f t="shared" si="35"/>
        <v/>
      </c>
    </row>
    <row r="1177" spans="6:6">
      <c r="F1177" s="107" t="str">
        <f t="shared" si="35"/>
        <v/>
      </c>
    </row>
    <row r="1178" spans="6:6">
      <c r="F1178" s="107" t="str">
        <f t="shared" si="35"/>
        <v/>
      </c>
    </row>
    <row r="1179" spans="6:6">
      <c r="F1179" s="107" t="str">
        <f t="shared" si="35"/>
        <v/>
      </c>
    </row>
    <row r="1180" spans="6:6">
      <c r="F1180" s="107" t="str">
        <f t="shared" si="35"/>
        <v/>
      </c>
    </row>
    <row r="1181" spans="6:6">
      <c r="F1181" s="107" t="str">
        <f t="shared" si="35"/>
        <v/>
      </c>
    </row>
    <row r="1182" spans="6:6">
      <c r="F1182" s="107" t="str">
        <f t="shared" si="35"/>
        <v/>
      </c>
    </row>
    <row r="1183" spans="6:6">
      <c r="F1183" s="107" t="str">
        <f t="shared" si="35"/>
        <v/>
      </c>
    </row>
    <row r="1184" spans="6:6">
      <c r="F1184" s="107" t="str">
        <f t="shared" si="35"/>
        <v/>
      </c>
    </row>
    <row r="1185" spans="6:6">
      <c r="F1185" s="107" t="str">
        <f t="shared" si="35"/>
        <v/>
      </c>
    </row>
    <row r="1186" spans="6:6">
      <c r="F1186" s="107" t="str">
        <f t="shared" si="35"/>
        <v/>
      </c>
    </row>
    <row r="1187" spans="6:6">
      <c r="F1187" s="107" t="str">
        <f t="shared" si="35"/>
        <v/>
      </c>
    </row>
    <row r="1188" spans="6:6">
      <c r="F1188" s="107" t="str">
        <f t="shared" si="35"/>
        <v/>
      </c>
    </row>
    <row r="1189" spans="6:6">
      <c r="F1189" s="107" t="str">
        <f t="shared" si="35"/>
        <v/>
      </c>
    </row>
    <row r="1190" spans="6:6">
      <c r="F1190" s="107" t="str">
        <f t="shared" si="35"/>
        <v/>
      </c>
    </row>
    <row r="1191" spans="6:6">
      <c r="F1191" s="107" t="str">
        <f t="shared" si="35"/>
        <v/>
      </c>
    </row>
    <row r="1192" spans="6:6">
      <c r="F1192" s="107" t="str">
        <f t="shared" si="35"/>
        <v/>
      </c>
    </row>
    <row r="1193" spans="6:6">
      <c r="F1193" s="107" t="str">
        <f t="shared" si="35"/>
        <v/>
      </c>
    </row>
    <row r="1194" spans="6:6">
      <c r="F1194" s="107" t="str">
        <f t="shared" si="35"/>
        <v/>
      </c>
    </row>
    <row r="1195" spans="6:6">
      <c r="F1195" s="107" t="str">
        <f t="shared" si="35"/>
        <v/>
      </c>
    </row>
    <row r="1196" spans="6:6">
      <c r="F1196" s="107" t="str">
        <f t="shared" si="35"/>
        <v/>
      </c>
    </row>
    <row r="1197" spans="6:6">
      <c r="F1197" s="107" t="str">
        <f t="shared" si="35"/>
        <v/>
      </c>
    </row>
    <row r="1198" spans="6:6">
      <c r="F1198" s="107" t="str">
        <f t="shared" si="35"/>
        <v/>
      </c>
    </row>
    <row r="1199" spans="6:6">
      <c r="F1199" s="107" t="str">
        <f t="shared" si="35"/>
        <v/>
      </c>
    </row>
    <row r="1200" spans="6:6">
      <c r="F1200" s="107" t="str">
        <f t="shared" si="35"/>
        <v/>
      </c>
    </row>
    <row r="1201" spans="6:6">
      <c r="F1201" s="107" t="str">
        <f t="shared" si="35"/>
        <v/>
      </c>
    </row>
    <row r="1202" spans="6:6">
      <c r="F1202" s="107" t="str">
        <f t="shared" si="35"/>
        <v/>
      </c>
    </row>
    <row r="1203" spans="6:6">
      <c r="F1203" s="107" t="str">
        <f t="shared" si="35"/>
        <v/>
      </c>
    </row>
    <row r="1204" spans="6:6">
      <c r="F1204" s="107" t="str">
        <f t="shared" si="35"/>
        <v/>
      </c>
    </row>
    <row r="1205" spans="6:6">
      <c r="F1205" s="107" t="str">
        <f t="shared" si="35"/>
        <v/>
      </c>
    </row>
    <row r="1206" spans="6:6">
      <c r="F1206" s="107" t="str">
        <f t="shared" si="35"/>
        <v/>
      </c>
    </row>
    <row r="1207" spans="6:6">
      <c r="F1207" s="107" t="str">
        <f t="shared" si="35"/>
        <v/>
      </c>
    </row>
    <row r="1208" spans="6:6">
      <c r="F1208" s="107" t="str">
        <f t="shared" si="35"/>
        <v/>
      </c>
    </row>
    <row r="1209" spans="6:6">
      <c r="F1209" s="107" t="str">
        <f t="shared" si="35"/>
        <v/>
      </c>
    </row>
    <row r="1210" spans="6:6">
      <c r="F1210" s="107" t="str">
        <f t="shared" si="35"/>
        <v/>
      </c>
    </row>
    <row r="1211" spans="6:6">
      <c r="F1211" s="107" t="str">
        <f t="shared" si="35"/>
        <v/>
      </c>
    </row>
    <row r="1212" spans="6:6">
      <c r="F1212" s="107" t="str">
        <f t="shared" si="35"/>
        <v/>
      </c>
    </row>
    <row r="1213" spans="6:6">
      <c r="F1213" s="107" t="str">
        <f t="shared" si="35"/>
        <v/>
      </c>
    </row>
    <row r="1214" spans="6:6">
      <c r="F1214" s="107" t="str">
        <f t="shared" si="35"/>
        <v/>
      </c>
    </row>
    <row r="1215" spans="6:6">
      <c r="F1215" s="107" t="str">
        <f t="shared" si="35"/>
        <v/>
      </c>
    </row>
    <row r="1216" spans="6:6">
      <c r="F1216" s="107" t="str">
        <f t="shared" si="35"/>
        <v/>
      </c>
    </row>
    <row r="1217" spans="6:6">
      <c r="F1217" s="107" t="str">
        <f t="shared" si="35"/>
        <v/>
      </c>
    </row>
    <row r="1218" spans="6:6">
      <c r="F1218" s="107" t="str">
        <f t="shared" si="35"/>
        <v/>
      </c>
    </row>
    <row r="1219" spans="6:6">
      <c r="F1219" s="107" t="str">
        <f t="shared" ref="F1219:F1282" si="36">UPPER(LEFT(B1219,1)) &amp; IFERROR(UPPER(LEFT(MID(B1219,FIND(" ",B1219)+1,LEN(B1219)),1)),"") &amp; IFERROR(UPPER(LEFT(MID(B1219,FIND(" ",B1219,FIND(" ",B1219)+1)+1,LEN(B1219)),1)),"") &amp; IFERROR(UPPER(LEFT(MID(B1219,FIND(" ",B1219,FIND(" ",B1219,FIND(" ",B1219)+1)+1)+1,LEN(B1219)),1)),"")</f>
        <v/>
      </c>
    </row>
    <row r="1220" spans="6:6">
      <c r="F1220" s="107" t="str">
        <f t="shared" si="36"/>
        <v/>
      </c>
    </row>
    <row r="1221" spans="6:6">
      <c r="F1221" s="107" t="str">
        <f t="shared" si="36"/>
        <v/>
      </c>
    </row>
    <row r="1222" spans="6:6">
      <c r="F1222" s="107" t="str">
        <f t="shared" si="36"/>
        <v/>
      </c>
    </row>
    <row r="1223" spans="6:6">
      <c r="F1223" s="107" t="str">
        <f t="shared" si="36"/>
        <v/>
      </c>
    </row>
    <row r="1224" spans="6:6">
      <c r="F1224" s="107" t="str">
        <f t="shared" si="36"/>
        <v/>
      </c>
    </row>
    <row r="1225" spans="6:6">
      <c r="F1225" s="107" t="str">
        <f t="shared" si="36"/>
        <v/>
      </c>
    </row>
    <row r="1226" spans="6:6">
      <c r="F1226" s="107" t="str">
        <f t="shared" si="36"/>
        <v/>
      </c>
    </row>
    <row r="1227" spans="6:6">
      <c r="F1227" s="107" t="str">
        <f t="shared" si="36"/>
        <v/>
      </c>
    </row>
    <row r="1228" spans="6:6">
      <c r="F1228" s="107" t="str">
        <f t="shared" si="36"/>
        <v/>
      </c>
    </row>
    <row r="1229" spans="6:6">
      <c r="F1229" s="107" t="str">
        <f t="shared" si="36"/>
        <v/>
      </c>
    </row>
    <row r="1230" spans="6:6">
      <c r="F1230" s="107" t="str">
        <f t="shared" si="36"/>
        <v/>
      </c>
    </row>
    <row r="1231" spans="6:6">
      <c r="F1231" s="107" t="str">
        <f t="shared" si="36"/>
        <v/>
      </c>
    </row>
    <row r="1232" spans="6:6">
      <c r="F1232" s="107" t="str">
        <f t="shared" si="36"/>
        <v/>
      </c>
    </row>
    <row r="1233" spans="6:6">
      <c r="F1233" s="107" t="str">
        <f t="shared" si="36"/>
        <v/>
      </c>
    </row>
    <row r="1234" spans="6:6">
      <c r="F1234" s="107" t="str">
        <f t="shared" si="36"/>
        <v/>
      </c>
    </row>
    <row r="1235" spans="6:6">
      <c r="F1235" s="107" t="str">
        <f t="shared" si="36"/>
        <v/>
      </c>
    </row>
    <row r="1236" spans="6:6">
      <c r="F1236" s="107" t="str">
        <f t="shared" si="36"/>
        <v/>
      </c>
    </row>
    <row r="1237" spans="6:6">
      <c r="F1237" s="107" t="str">
        <f t="shared" si="36"/>
        <v/>
      </c>
    </row>
    <row r="1238" spans="6:6">
      <c r="F1238" s="107" t="str">
        <f t="shared" si="36"/>
        <v/>
      </c>
    </row>
    <row r="1239" spans="6:6">
      <c r="F1239" s="107" t="str">
        <f t="shared" si="36"/>
        <v/>
      </c>
    </row>
    <row r="1240" spans="6:6">
      <c r="F1240" s="107" t="str">
        <f t="shared" si="36"/>
        <v/>
      </c>
    </row>
    <row r="1241" spans="6:6">
      <c r="F1241" s="107" t="str">
        <f t="shared" si="36"/>
        <v/>
      </c>
    </row>
    <row r="1242" spans="6:6">
      <c r="F1242" s="107" t="str">
        <f t="shared" si="36"/>
        <v/>
      </c>
    </row>
    <row r="1243" spans="6:6">
      <c r="F1243" s="107" t="str">
        <f t="shared" si="36"/>
        <v/>
      </c>
    </row>
    <row r="1244" spans="6:6">
      <c r="F1244" s="107" t="str">
        <f t="shared" si="36"/>
        <v/>
      </c>
    </row>
    <row r="1245" spans="6:6">
      <c r="F1245" s="107" t="str">
        <f t="shared" si="36"/>
        <v/>
      </c>
    </row>
    <row r="1246" spans="6:6">
      <c r="F1246" s="107" t="str">
        <f t="shared" si="36"/>
        <v/>
      </c>
    </row>
    <row r="1247" spans="6:6">
      <c r="F1247" s="107" t="str">
        <f t="shared" si="36"/>
        <v/>
      </c>
    </row>
    <row r="1248" spans="6:6">
      <c r="F1248" s="107" t="str">
        <f t="shared" si="36"/>
        <v/>
      </c>
    </row>
    <row r="1249" spans="6:6">
      <c r="F1249" s="107" t="str">
        <f t="shared" si="36"/>
        <v/>
      </c>
    </row>
    <row r="1250" spans="6:6">
      <c r="F1250" s="107" t="str">
        <f t="shared" si="36"/>
        <v/>
      </c>
    </row>
    <row r="1251" spans="6:6">
      <c r="F1251" s="107" t="str">
        <f t="shared" si="36"/>
        <v/>
      </c>
    </row>
    <row r="1252" spans="6:6">
      <c r="F1252" s="107" t="str">
        <f t="shared" si="36"/>
        <v/>
      </c>
    </row>
    <row r="1253" spans="6:6">
      <c r="F1253" s="107" t="str">
        <f t="shared" si="36"/>
        <v/>
      </c>
    </row>
    <row r="1254" spans="6:6">
      <c r="F1254" s="107" t="str">
        <f t="shared" si="36"/>
        <v/>
      </c>
    </row>
    <row r="1255" spans="6:6">
      <c r="F1255" s="107" t="str">
        <f t="shared" si="36"/>
        <v/>
      </c>
    </row>
    <row r="1256" spans="6:6">
      <c r="F1256" s="107" t="str">
        <f t="shared" si="36"/>
        <v/>
      </c>
    </row>
    <row r="1257" spans="6:6">
      <c r="F1257" s="107" t="str">
        <f t="shared" si="36"/>
        <v/>
      </c>
    </row>
    <row r="1258" spans="6:6">
      <c r="F1258" s="107" t="str">
        <f t="shared" si="36"/>
        <v/>
      </c>
    </row>
    <row r="1259" spans="6:6">
      <c r="F1259" s="107" t="str">
        <f t="shared" si="36"/>
        <v/>
      </c>
    </row>
    <row r="1260" spans="6:6">
      <c r="F1260" s="107" t="str">
        <f t="shared" si="36"/>
        <v/>
      </c>
    </row>
    <row r="1261" spans="6:6">
      <c r="F1261" s="107" t="str">
        <f t="shared" si="36"/>
        <v/>
      </c>
    </row>
    <row r="1262" spans="6:6">
      <c r="F1262" s="107" t="str">
        <f t="shared" si="36"/>
        <v/>
      </c>
    </row>
    <row r="1263" spans="6:6">
      <c r="F1263" s="107" t="str">
        <f t="shared" si="36"/>
        <v/>
      </c>
    </row>
    <row r="1264" spans="6:6">
      <c r="F1264" s="107" t="str">
        <f t="shared" si="36"/>
        <v/>
      </c>
    </row>
    <row r="1265" spans="6:6">
      <c r="F1265" s="107" t="str">
        <f t="shared" si="36"/>
        <v/>
      </c>
    </row>
    <row r="1266" spans="6:6">
      <c r="F1266" s="107" t="str">
        <f t="shared" si="36"/>
        <v/>
      </c>
    </row>
    <row r="1267" spans="6:6">
      <c r="F1267" s="107" t="str">
        <f t="shared" si="36"/>
        <v/>
      </c>
    </row>
    <row r="1268" spans="6:6">
      <c r="F1268" s="107" t="str">
        <f t="shared" si="36"/>
        <v/>
      </c>
    </row>
    <row r="1269" spans="6:6">
      <c r="F1269" s="107" t="str">
        <f t="shared" si="36"/>
        <v/>
      </c>
    </row>
    <row r="1270" spans="6:6">
      <c r="F1270" s="107" t="str">
        <f t="shared" si="36"/>
        <v/>
      </c>
    </row>
    <row r="1271" spans="6:6">
      <c r="F1271" s="107" t="str">
        <f t="shared" si="36"/>
        <v/>
      </c>
    </row>
    <row r="1272" spans="6:6">
      <c r="F1272" s="107" t="str">
        <f t="shared" si="36"/>
        <v/>
      </c>
    </row>
    <row r="1273" spans="6:6">
      <c r="F1273" s="107" t="str">
        <f t="shared" si="36"/>
        <v/>
      </c>
    </row>
    <row r="1274" spans="6:6">
      <c r="F1274" s="107" t="str">
        <f t="shared" si="36"/>
        <v/>
      </c>
    </row>
    <row r="1275" spans="6:6">
      <c r="F1275" s="107" t="str">
        <f t="shared" si="36"/>
        <v/>
      </c>
    </row>
    <row r="1276" spans="6:6">
      <c r="F1276" s="107" t="str">
        <f t="shared" si="36"/>
        <v/>
      </c>
    </row>
    <row r="1277" spans="6:6">
      <c r="F1277" s="107" t="str">
        <f t="shared" si="36"/>
        <v/>
      </c>
    </row>
    <row r="1278" spans="6:6">
      <c r="F1278" s="107" t="str">
        <f t="shared" si="36"/>
        <v/>
      </c>
    </row>
    <row r="1279" spans="6:6">
      <c r="F1279" s="107" t="str">
        <f t="shared" si="36"/>
        <v/>
      </c>
    </row>
    <row r="1280" spans="6:6">
      <c r="F1280" s="107" t="str">
        <f t="shared" si="36"/>
        <v/>
      </c>
    </row>
    <row r="1281" spans="6:6">
      <c r="F1281" s="107" t="str">
        <f t="shared" si="36"/>
        <v/>
      </c>
    </row>
    <row r="1282" spans="6:6">
      <c r="F1282" s="107" t="str">
        <f t="shared" si="36"/>
        <v/>
      </c>
    </row>
    <row r="1283" spans="6:6">
      <c r="F1283" s="107" t="str">
        <f t="shared" ref="F1283:F1346" si="37">UPPER(LEFT(B1283,1)) &amp; IFERROR(UPPER(LEFT(MID(B1283,FIND(" ",B1283)+1,LEN(B1283)),1)),"") &amp; IFERROR(UPPER(LEFT(MID(B1283,FIND(" ",B1283,FIND(" ",B1283)+1)+1,LEN(B1283)),1)),"") &amp; IFERROR(UPPER(LEFT(MID(B1283,FIND(" ",B1283,FIND(" ",B1283,FIND(" ",B1283)+1)+1)+1,LEN(B1283)),1)),"")</f>
        <v/>
      </c>
    </row>
    <row r="1284" spans="6:6">
      <c r="F1284" s="107" t="str">
        <f t="shared" si="37"/>
        <v/>
      </c>
    </row>
    <row r="1285" spans="6:6">
      <c r="F1285" s="107" t="str">
        <f t="shared" si="37"/>
        <v/>
      </c>
    </row>
    <row r="1286" spans="6:6">
      <c r="F1286" s="107" t="str">
        <f t="shared" si="37"/>
        <v/>
      </c>
    </row>
    <row r="1287" spans="6:6">
      <c r="F1287" s="107" t="str">
        <f t="shared" si="37"/>
        <v/>
      </c>
    </row>
    <row r="1288" spans="6:6">
      <c r="F1288" s="107" t="str">
        <f t="shared" si="37"/>
        <v/>
      </c>
    </row>
    <row r="1289" spans="6:6">
      <c r="F1289" s="107" t="str">
        <f t="shared" si="37"/>
        <v/>
      </c>
    </row>
    <row r="1290" spans="6:6">
      <c r="F1290" s="107" t="str">
        <f t="shared" si="37"/>
        <v/>
      </c>
    </row>
    <row r="1291" spans="6:6">
      <c r="F1291" s="107" t="str">
        <f t="shared" si="37"/>
        <v/>
      </c>
    </row>
    <row r="1292" spans="6:6">
      <c r="F1292" s="107" t="str">
        <f t="shared" si="37"/>
        <v/>
      </c>
    </row>
    <row r="1293" spans="6:6">
      <c r="F1293" s="107" t="str">
        <f t="shared" si="37"/>
        <v/>
      </c>
    </row>
    <row r="1294" spans="6:6">
      <c r="F1294" s="107" t="str">
        <f t="shared" si="37"/>
        <v/>
      </c>
    </row>
    <row r="1295" spans="6:6">
      <c r="F1295" s="107" t="str">
        <f t="shared" si="37"/>
        <v/>
      </c>
    </row>
    <row r="1296" spans="6:6">
      <c r="F1296" s="107" t="str">
        <f t="shared" si="37"/>
        <v/>
      </c>
    </row>
    <row r="1297" spans="6:6">
      <c r="F1297" s="107" t="str">
        <f t="shared" si="37"/>
        <v/>
      </c>
    </row>
    <row r="1298" spans="6:6">
      <c r="F1298" s="107" t="str">
        <f t="shared" si="37"/>
        <v/>
      </c>
    </row>
    <row r="1299" spans="6:6">
      <c r="F1299" s="107" t="str">
        <f t="shared" si="37"/>
        <v/>
      </c>
    </row>
    <row r="1300" spans="6:6">
      <c r="F1300" s="107" t="str">
        <f t="shared" si="37"/>
        <v/>
      </c>
    </row>
    <row r="1301" spans="6:6">
      <c r="F1301" s="107" t="str">
        <f t="shared" si="37"/>
        <v/>
      </c>
    </row>
    <row r="1302" spans="6:6">
      <c r="F1302" s="107" t="str">
        <f t="shared" si="37"/>
        <v/>
      </c>
    </row>
    <row r="1303" spans="6:6">
      <c r="F1303" s="107" t="str">
        <f t="shared" si="37"/>
        <v/>
      </c>
    </row>
    <row r="1304" spans="6:6">
      <c r="F1304" s="107" t="str">
        <f t="shared" si="37"/>
        <v/>
      </c>
    </row>
    <row r="1305" spans="6:6">
      <c r="F1305" s="107" t="str">
        <f t="shared" si="37"/>
        <v/>
      </c>
    </row>
    <row r="1306" spans="6:6">
      <c r="F1306" s="107" t="str">
        <f t="shared" si="37"/>
        <v/>
      </c>
    </row>
    <row r="1307" spans="6:6">
      <c r="F1307" s="107" t="str">
        <f t="shared" si="37"/>
        <v/>
      </c>
    </row>
    <row r="1308" spans="6:6">
      <c r="F1308" s="107" t="str">
        <f t="shared" si="37"/>
        <v/>
      </c>
    </row>
    <row r="1309" spans="6:6">
      <c r="F1309" s="107" t="str">
        <f t="shared" si="37"/>
        <v/>
      </c>
    </row>
    <row r="1310" spans="6:6">
      <c r="F1310" s="107" t="str">
        <f t="shared" si="37"/>
        <v/>
      </c>
    </row>
    <row r="1311" spans="6:6">
      <c r="F1311" s="107" t="str">
        <f t="shared" si="37"/>
        <v/>
      </c>
    </row>
    <row r="1312" spans="6:6">
      <c r="F1312" s="107" t="str">
        <f t="shared" si="37"/>
        <v/>
      </c>
    </row>
    <row r="1313" spans="6:6">
      <c r="F1313" s="107" t="str">
        <f t="shared" si="37"/>
        <v/>
      </c>
    </row>
    <row r="1314" spans="6:6">
      <c r="F1314" s="107" t="str">
        <f t="shared" si="37"/>
        <v/>
      </c>
    </row>
    <row r="1315" spans="6:6">
      <c r="F1315" s="107" t="str">
        <f t="shared" si="37"/>
        <v/>
      </c>
    </row>
    <row r="1316" spans="6:6">
      <c r="F1316" s="107" t="str">
        <f t="shared" si="37"/>
        <v/>
      </c>
    </row>
    <row r="1317" spans="6:6">
      <c r="F1317" s="107" t="str">
        <f t="shared" si="37"/>
        <v/>
      </c>
    </row>
    <row r="1318" spans="6:6">
      <c r="F1318" s="107" t="str">
        <f t="shared" si="37"/>
        <v/>
      </c>
    </row>
    <row r="1319" spans="6:6">
      <c r="F1319" s="107" t="str">
        <f t="shared" si="37"/>
        <v/>
      </c>
    </row>
    <row r="1320" spans="6:6">
      <c r="F1320" s="107" t="str">
        <f t="shared" si="37"/>
        <v/>
      </c>
    </row>
    <row r="1321" spans="6:6">
      <c r="F1321" s="107" t="str">
        <f t="shared" si="37"/>
        <v/>
      </c>
    </row>
    <row r="1322" spans="6:6">
      <c r="F1322" s="107" t="str">
        <f t="shared" si="37"/>
        <v/>
      </c>
    </row>
    <row r="1323" spans="6:6">
      <c r="F1323" s="107" t="str">
        <f t="shared" si="37"/>
        <v/>
      </c>
    </row>
    <row r="1324" spans="6:6">
      <c r="F1324" s="107" t="str">
        <f t="shared" si="37"/>
        <v/>
      </c>
    </row>
    <row r="1325" spans="6:6">
      <c r="F1325" s="107" t="str">
        <f t="shared" si="37"/>
        <v/>
      </c>
    </row>
    <row r="1326" spans="6:6">
      <c r="F1326" s="107" t="str">
        <f t="shared" si="37"/>
        <v/>
      </c>
    </row>
    <row r="1327" spans="6:6">
      <c r="F1327" s="107" t="str">
        <f t="shared" si="37"/>
        <v/>
      </c>
    </row>
    <row r="1328" spans="6:6">
      <c r="F1328" s="107" t="str">
        <f t="shared" si="37"/>
        <v/>
      </c>
    </row>
    <row r="1329" spans="6:6">
      <c r="F1329" s="107" t="str">
        <f t="shared" si="37"/>
        <v/>
      </c>
    </row>
    <row r="1330" spans="6:6">
      <c r="F1330" s="107" t="str">
        <f t="shared" si="37"/>
        <v/>
      </c>
    </row>
    <row r="1331" spans="6:6">
      <c r="F1331" s="107" t="str">
        <f t="shared" si="37"/>
        <v/>
      </c>
    </row>
    <row r="1332" spans="6:6">
      <c r="F1332" s="107" t="str">
        <f t="shared" si="37"/>
        <v/>
      </c>
    </row>
    <row r="1333" spans="6:6">
      <c r="F1333" s="107" t="str">
        <f t="shared" si="37"/>
        <v/>
      </c>
    </row>
    <row r="1334" spans="6:6">
      <c r="F1334" s="107" t="str">
        <f t="shared" si="37"/>
        <v/>
      </c>
    </row>
    <row r="1335" spans="6:6">
      <c r="F1335" s="107" t="str">
        <f t="shared" si="37"/>
        <v/>
      </c>
    </row>
    <row r="1336" spans="6:6">
      <c r="F1336" s="107" t="str">
        <f t="shared" si="37"/>
        <v/>
      </c>
    </row>
    <row r="1337" spans="6:6">
      <c r="F1337" s="107" t="str">
        <f t="shared" si="37"/>
        <v/>
      </c>
    </row>
    <row r="1338" spans="6:6">
      <c r="F1338" s="107" t="str">
        <f t="shared" si="37"/>
        <v/>
      </c>
    </row>
    <row r="1339" spans="6:6">
      <c r="F1339" s="107" t="str">
        <f t="shared" si="37"/>
        <v/>
      </c>
    </row>
    <row r="1340" spans="6:6">
      <c r="F1340" s="107" t="str">
        <f t="shared" si="37"/>
        <v/>
      </c>
    </row>
    <row r="1341" spans="6:6">
      <c r="F1341" s="107" t="str">
        <f t="shared" si="37"/>
        <v/>
      </c>
    </row>
    <row r="1342" spans="6:6">
      <c r="F1342" s="107" t="str">
        <f t="shared" si="37"/>
        <v/>
      </c>
    </row>
    <row r="1343" spans="6:6">
      <c r="F1343" s="107" t="str">
        <f t="shared" si="37"/>
        <v/>
      </c>
    </row>
    <row r="1344" spans="6:6">
      <c r="F1344" s="107" t="str">
        <f t="shared" si="37"/>
        <v/>
      </c>
    </row>
    <row r="1345" spans="6:6">
      <c r="F1345" s="107" t="str">
        <f t="shared" si="37"/>
        <v/>
      </c>
    </row>
    <row r="1346" spans="6:6">
      <c r="F1346" s="107" t="str">
        <f t="shared" si="37"/>
        <v/>
      </c>
    </row>
    <row r="1347" spans="6:6">
      <c r="F1347" s="107" t="str">
        <f t="shared" ref="F1347:F1410" si="38">UPPER(LEFT(B1347,1)) &amp; IFERROR(UPPER(LEFT(MID(B1347,FIND(" ",B1347)+1,LEN(B1347)),1)),"") &amp; IFERROR(UPPER(LEFT(MID(B1347,FIND(" ",B1347,FIND(" ",B1347)+1)+1,LEN(B1347)),1)),"") &amp; IFERROR(UPPER(LEFT(MID(B1347,FIND(" ",B1347,FIND(" ",B1347,FIND(" ",B1347)+1)+1)+1,LEN(B1347)),1)),"")</f>
        <v/>
      </c>
    </row>
    <row r="1348" spans="6:6">
      <c r="F1348" s="107" t="str">
        <f t="shared" si="38"/>
        <v/>
      </c>
    </row>
    <row r="1349" spans="6:6">
      <c r="F1349" s="107" t="str">
        <f t="shared" si="38"/>
        <v/>
      </c>
    </row>
    <row r="1350" spans="6:6">
      <c r="F1350" s="107" t="str">
        <f t="shared" si="38"/>
        <v/>
      </c>
    </row>
    <row r="1351" spans="6:6">
      <c r="F1351" s="107" t="str">
        <f t="shared" si="38"/>
        <v/>
      </c>
    </row>
    <row r="1352" spans="6:6">
      <c r="F1352" s="107" t="str">
        <f t="shared" si="38"/>
        <v/>
      </c>
    </row>
    <row r="1353" spans="6:6">
      <c r="F1353" s="107" t="str">
        <f t="shared" si="38"/>
        <v/>
      </c>
    </row>
    <row r="1354" spans="6:6">
      <c r="F1354" s="107" t="str">
        <f t="shared" si="38"/>
        <v/>
      </c>
    </row>
    <row r="1355" spans="6:6">
      <c r="F1355" s="107" t="str">
        <f t="shared" si="38"/>
        <v/>
      </c>
    </row>
    <row r="1356" spans="6:6">
      <c r="F1356" s="107" t="str">
        <f t="shared" si="38"/>
        <v/>
      </c>
    </row>
    <row r="1357" spans="6:6">
      <c r="F1357" s="107" t="str">
        <f t="shared" si="38"/>
        <v/>
      </c>
    </row>
    <row r="1358" spans="6:6">
      <c r="F1358" s="107" t="str">
        <f t="shared" si="38"/>
        <v/>
      </c>
    </row>
    <row r="1359" spans="6:6">
      <c r="F1359" s="107" t="str">
        <f t="shared" si="38"/>
        <v/>
      </c>
    </row>
    <row r="1360" spans="6:6">
      <c r="F1360" s="107" t="str">
        <f t="shared" si="38"/>
        <v/>
      </c>
    </row>
    <row r="1361" spans="6:6">
      <c r="F1361" s="107" t="str">
        <f t="shared" si="38"/>
        <v/>
      </c>
    </row>
    <row r="1362" spans="6:6">
      <c r="F1362" s="107" t="str">
        <f t="shared" si="38"/>
        <v/>
      </c>
    </row>
    <row r="1363" spans="6:6">
      <c r="F1363" s="107" t="str">
        <f t="shared" si="38"/>
        <v/>
      </c>
    </row>
    <row r="1364" spans="6:6">
      <c r="F1364" s="107" t="str">
        <f t="shared" si="38"/>
        <v/>
      </c>
    </row>
    <row r="1365" spans="6:6">
      <c r="F1365" s="107" t="str">
        <f t="shared" si="38"/>
        <v/>
      </c>
    </row>
    <row r="1366" spans="6:6">
      <c r="F1366" s="107" t="str">
        <f t="shared" si="38"/>
        <v/>
      </c>
    </row>
    <row r="1367" spans="6:6">
      <c r="F1367" s="107" t="str">
        <f t="shared" si="38"/>
        <v/>
      </c>
    </row>
    <row r="1368" spans="6:6">
      <c r="F1368" s="107" t="str">
        <f t="shared" si="38"/>
        <v/>
      </c>
    </row>
    <row r="1369" spans="6:6">
      <c r="F1369" s="107" t="str">
        <f t="shared" si="38"/>
        <v/>
      </c>
    </row>
    <row r="1370" spans="6:6">
      <c r="F1370" s="107" t="str">
        <f t="shared" si="38"/>
        <v/>
      </c>
    </row>
    <row r="1371" spans="6:6">
      <c r="F1371" s="107" t="str">
        <f t="shared" si="38"/>
        <v/>
      </c>
    </row>
    <row r="1372" spans="6:6">
      <c r="F1372" s="107" t="str">
        <f t="shared" si="38"/>
        <v/>
      </c>
    </row>
    <row r="1373" spans="6:6">
      <c r="F1373" s="107" t="str">
        <f t="shared" si="38"/>
        <v/>
      </c>
    </row>
    <row r="1374" spans="6:6">
      <c r="F1374" s="107" t="str">
        <f t="shared" si="38"/>
        <v/>
      </c>
    </row>
    <row r="1375" spans="6:6">
      <c r="F1375" s="107" t="str">
        <f t="shared" si="38"/>
        <v/>
      </c>
    </row>
    <row r="1376" spans="6:6">
      <c r="F1376" s="107" t="str">
        <f t="shared" si="38"/>
        <v/>
      </c>
    </row>
    <row r="1377" spans="6:6">
      <c r="F1377" s="107" t="str">
        <f t="shared" si="38"/>
        <v/>
      </c>
    </row>
    <row r="1378" spans="6:6">
      <c r="F1378" s="107" t="str">
        <f t="shared" si="38"/>
        <v/>
      </c>
    </row>
    <row r="1379" spans="6:6">
      <c r="F1379" s="107" t="str">
        <f t="shared" si="38"/>
        <v/>
      </c>
    </row>
    <row r="1380" spans="6:6">
      <c r="F1380" s="107" t="str">
        <f t="shared" si="38"/>
        <v/>
      </c>
    </row>
    <row r="1381" spans="6:6">
      <c r="F1381" s="107" t="str">
        <f t="shared" si="38"/>
        <v/>
      </c>
    </row>
    <row r="1382" spans="6:6">
      <c r="F1382" s="107" t="str">
        <f t="shared" si="38"/>
        <v/>
      </c>
    </row>
    <row r="1383" spans="6:6">
      <c r="F1383" s="107" t="str">
        <f t="shared" si="38"/>
        <v/>
      </c>
    </row>
    <row r="1384" spans="6:6">
      <c r="F1384" s="107" t="str">
        <f t="shared" si="38"/>
        <v/>
      </c>
    </row>
    <row r="1385" spans="6:6">
      <c r="F1385" s="107" t="str">
        <f t="shared" si="38"/>
        <v/>
      </c>
    </row>
    <row r="1386" spans="6:6">
      <c r="F1386" s="107" t="str">
        <f t="shared" si="38"/>
        <v/>
      </c>
    </row>
    <row r="1387" spans="6:6">
      <c r="F1387" s="107" t="str">
        <f t="shared" si="38"/>
        <v/>
      </c>
    </row>
    <row r="1388" spans="6:6">
      <c r="F1388" s="107" t="str">
        <f t="shared" si="38"/>
        <v/>
      </c>
    </row>
    <row r="1389" spans="6:6">
      <c r="F1389" s="107" t="str">
        <f t="shared" si="38"/>
        <v/>
      </c>
    </row>
    <row r="1390" spans="6:6">
      <c r="F1390" s="107" t="str">
        <f t="shared" si="38"/>
        <v/>
      </c>
    </row>
    <row r="1391" spans="6:6">
      <c r="F1391" s="107" t="str">
        <f t="shared" si="38"/>
        <v/>
      </c>
    </row>
    <row r="1392" spans="6:6">
      <c r="F1392" s="107" t="str">
        <f t="shared" si="38"/>
        <v/>
      </c>
    </row>
    <row r="1393" spans="6:6">
      <c r="F1393" s="107" t="str">
        <f t="shared" si="38"/>
        <v/>
      </c>
    </row>
    <row r="1394" spans="6:6">
      <c r="F1394" s="107" t="str">
        <f t="shared" si="38"/>
        <v/>
      </c>
    </row>
    <row r="1395" spans="6:6">
      <c r="F1395" s="107" t="str">
        <f t="shared" si="38"/>
        <v/>
      </c>
    </row>
    <row r="1396" spans="6:6">
      <c r="F1396" s="107" t="str">
        <f t="shared" si="38"/>
        <v/>
      </c>
    </row>
    <row r="1397" spans="6:6">
      <c r="F1397" s="107" t="str">
        <f t="shared" si="38"/>
        <v/>
      </c>
    </row>
    <row r="1398" spans="6:6">
      <c r="F1398" s="107" t="str">
        <f t="shared" si="38"/>
        <v/>
      </c>
    </row>
    <row r="1399" spans="6:6">
      <c r="F1399" s="107" t="str">
        <f t="shared" si="38"/>
        <v/>
      </c>
    </row>
    <row r="1400" spans="6:6">
      <c r="F1400" s="107" t="str">
        <f t="shared" si="38"/>
        <v/>
      </c>
    </row>
    <row r="1401" spans="6:6">
      <c r="F1401" s="107" t="str">
        <f t="shared" si="38"/>
        <v/>
      </c>
    </row>
    <row r="1402" spans="6:6">
      <c r="F1402" s="107" t="str">
        <f t="shared" si="38"/>
        <v/>
      </c>
    </row>
    <row r="1403" spans="6:6">
      <c r="F1403" s="107" t="str">
        <f t="shared" si="38"/>
        <v/>
      </c>
    </row>
    <row r="1404" spans="6:6">
      <c r="F1404" s="107" t="str">
        <f t="shared" si="38"/>
        <v/>
      </c>
    </row>
    <row r="1405" spans="6:6">
      <c r="F1405" s="107" t="str">
        <f t="shared" si="38"/>
        <v/>
      </c>
    </row>
    <row r="1406" spans="6:6">
      <c r="F1406" s="107" t="str">
        <f t="shared" si="38"/>
        <v/>
      </c>
    </row>
    <row r="1407" spans="6:6">
      <c r="F1407" s="107" t="str">
        <f t="shared" si="38"/>
        <v/>
      </c>
    </row>
    <row r="1408" spans="6:6">
      <c r="F1408" s="107" t="str">
        <f t="shared" si="38"/>
        <v/>
      </c>
    </row>
    <row r="1409" spans="6:6">
      <c r="F1409" s="107" t="str">
        <f t="shared" si="38"/>
        <v/>
      </c>
    </row>
    <row r="1410" spans="6:6">
      <c r="F1410" s="107" t="str">
        <f t="shared" si="38"/>
        <v/>
      </c>
    </row>
    <row r="1411" spans="6:6">
      <c r="F1411" s="107" t="str">
        <f t="shared" ref="F1411:F1474" si="39">UPPER(LEFT(B1411,1)) &amp; IFERROR(UPPER(LEFT(MID(B1411,FIND(" ",B1411)+1,LEN(B1411)),1)),"") &amp; IFERROR(UPPER(LEFT(MID(B1411,FIND(" ",B1411,FIND(" ",B1411)+1)+1,LEN(B1411)),1)),"") &amp; IFERROR(UPPER(LEFT(MID(B1411,FIND(" ",B1411,FIND(" ",B1411,FIND(" ",B1411)+1)+1)+1,LEN(B1411)),1)),"")</f>
        <v/>
      </c>
    </row>
    <row r="1412" spans="6:6">
      <c r="F1412" s="107" t="str">
        <f t="shared" si="39"/>
        <v/>
      </c>
    </row>
    <row r="1413" spans="6:6">
      <c r="F1413" s="107" t="str">
        <f t="shared" si="39"/>
        <v/>
      </c>
    </row>
    <row r="1414" spans="6:6">
      <c r="F1414" s="107" t="str">
        <f t="shared" si="39"/>
        <v/>
      </c>
    </row>
    <row r="1415" spans="6:6">
      <c r="F1415" s="107" t="str">
        <f t="shared" si="39"/>
        <v/>
      </c>
    </row>
    <row r="1416" spans="6:6">
      <c r="F1416" s="107" t="str">
        <f t="shared" si="39"/>
        <v/>
      </c>
    </row>
    <row r="1417" spans="6:6">
      <c r="F1417" s="107" t="str">
        <f t="shared" si="39"/>
        <v/>
      </c>
    </row>
    <row r="1418" spans="6:6">
      <c r="F1418" s="107" t="str">
        <f t="shared" si="39"/>
        <v/>
      </c>
    </row>
    <row r="1419" spans="6:6">
      <c r="F1419" s="107" t="str">
        <f t="shared" si="39"/>
        <v/>
      </c>
    </row>
    <row r="1420" spans="6:6">
      <c r="F1420" s="107" t="str">
        <f t="shared" si="39"/>
        <v/>
      </c>
    </row>
    <row r="1421" spans="6:6">
      <c r="F1421" s="107" t="str">
        <f t="shared" si="39"/>
        <v/>
      </c>
    </row>
    <row r="1422" spans="6:6">
      <c r="F1422" s="107" t="str">
        <f t="shared" si="39"/>
        <v/>
      </c>
    </row>
    <row r="1423" spans="6:6">
      <c r="F1423" s="107" t="str">
        <f t="shared" si="39"/>
        <v/>
      </c>
    </row>
    <row r="1424" spans="6:6">
      <c r="F1424" s="107" t="str">
        <f t="shared" si="39"/>
        <v/>
      </c>
    </row>
    <row r="1425" spans="6:6">
      <c r="F1425" s="107" t="str">
        <f t="shared" si="39"/>
        <v/>
      </c>
    </row>
    <row r="1426" spans="6:6">
      <c r="F1426" s="107" t="str">
        <f t="shared" si="39"/>
        <v/>
      </c>
    </row>
    <row r="1427" spans="6:6">
      <c r="F1427" s="107" t="str">
        <f t="shared" si="39"/>
        <v/>
      </c>
    </row>
    <row r="1428" spans="6:6">
      <c r="F1428" s="107" t="str">
        <f t="shared" si="39"/>
        <v/>
      </c>
    </row>
    <row r="1429" spans="6:6">
      <c r="F1429" s="107" t="str">
        <f t="shared" si="39"/>
        <v/>
      </c>
    </row>
    <row r="1430" spans="6:6">
      <c r="F1430" s="107" t="str">
        <f t="shared" si="39"/>
        <v/>
      </c>
    </row>
    <row r="1431" spans="6:6">
      <c r="F1431" s="107" t="str">
        <f t="shared" si="39"/>
        <v/>
      </c>
    </row>
    <row r="1432" spans="6:6">
      <c r="F1432" s="107" t="str">
        <f t="shared" si="39"/>
        <v/>
      </c>
    </row>
    <row r="1433" spans="6:6">
      <c r="F1433" s="107" t="str">
        <f t="shared" si="39"/>
        <v/>
      </c>
    </row>
    <row r="1434" spans="6:6">
      <c r="F1434" s="107" t="str">
        <f t="shared" si="39"/>
        <v/>
      </c>
    </row>
    <row r="1435" spans="6:6">
      <c r="F1435" s="107" t="str">
        <f t="shared" si="39"/>
        <v/>
      </c>
    </row>
    <row r="1436" spans="6:6">
      <c r="F1436" s="107" t="str">
        <f t="shared" si="39"/>
        <v/>
      </c>
    </row>
    <row r="1437" spans="6:6">
      <c r="F1437" s="107" t="str">
        <f t="shared" si="39"/>
        <v/>
      </c>
    </row>
    <row r="1438" spans="6:6">
      <c r="F1438" s="107" t="str">
        <f t="shared" si="39"/>
        <v/>
      </c>
    </row>
    <row r="1439" spans="6:6">
      <c r="F1439" s="107" t="str">
        <f t="shared" si="39"/>
        <v/>
      </c>
    </row>
    <row r="1440" spans="6:6">
      <c r="F1440" s="107" t="str">
        <f t="shared" si="39"/>
        <v/>
      </c>
    </row>
    <row r="1441" spans="6:6">
      <c r="F1441" s="107" t="str">
        <f t="shared" si="39"/>
        <v/>
      </c>
    </row>
    <row r="1442" spans="6:6">
      <c r="F1442" s="107" t="str">
        <f t="shared" si="39"/>
        <v/>
      </c>
    </row>
    <row r="1443" spans="6:6">
      <c r="F1443" s="107" t="str">
        <f t="shared" si="39"/>
        <v/>
      </c>
    </row>
    <row r="1444" spans="6:6">
      <c r="F1444" s="107" t="str">
        <f t="shared" si="39"/>
        <v/>
      </c>
    </row>
    <row r="1445" spans="6:6">
      <c r="F1445" s="107" t="str">
        <f t="shared" si="39"/>
        <v/>
      </c>
    </row>
    <row r="1446" spans="6:6">
      <c r="F1446" s="107" t="str">
        <f t="shared" si="39"/>
        <v/>
      </c>
    </row>
    <row r="1447" spans="6:6">
      <c r="F1447" s="107" t="str">
        <f t="shared" si="39"/>
        <v/>
      </c>
    </row>
    <row r="1448" spans="6:6">
      <c r="F1448" s="107" t="str">
        <f t="shared" si="39"/>
        <v/>
      </c>
    </row>
    <row r="1449" spans="6:6">
      <c r="F1449" s="107" t="str">
        <f t="shared" si="39"/>
        <v/>
      </c>
    </row>
    <row r="1450" spans="6:6">
      <c r="F1450" s="107" t="str">
        <f t="shared" si="39"/>
        <v/>
      </c>
    </row>
    <row r="1451" spans="6:6">
      <c r="F1451" s="107" t="str">
        <f t="shared" si="39"/>
        <v/>
      </c>
    </row>
    <row r="1452" spans="6:6">
      <c r="F1452" s="107" t="str">
        <f t="shared" si="39"/>
        <v/>
      </c>
    </row>
    <row r="1453" spans="6:6">
      <c r="F1453" s="107" t="str">
        <f t="shared" si="39"/>
        <v/>
      </c>
    </row>
    <row r="1454" spans="6:6">
      <c r="F1454" s="107" t="str">
        <f t="shared" si="39"/>
        <v/>
      </c>
    </row>
    <row r="1455" spans="6:6">
      <c r="F1455" s="107" t="str">
        <f t="shared" si="39"/>
        <v/>
      </c>
    </row>
    <row r="1456" spans="6:6">
      <c r="F1456" s="107" t="str">
        <f t="shared" si="39"/>
        <v/>
      </c>
    </row>
    <row r="1457" spans="6:6">
      <c r="F1457" s="107" t="str">
        <f t="shared" si="39"/>
        <v/>
      </c>
    </row>
    <row r="1458" spans="6:6">
      <c r="F1458" s="107" t="str">
        <f t="shared" si="39"/>
        <v/>
      </c>
    </row>
    <row r="1459" spans="6:6">
      <c r="F1459" s="107" t="str">
        <f t="shared" si="39"/>
        <v/>
      </c>
    </row>
    <row r="1460" spans="6:6">
      <c r="F1460" s="107" t="str">
        <f t="shared" si="39"/>
        <v/>
      </c>
    </row>
    <row r="1461" spans="6:6">
      <c r="F1461" s="107" t="str">
        <f t="shared" si="39"/>
        <v/>
      </c>
    </row>
    <row r="1462" spans="6:6">
      <c r="F1462" s="107" t="str">
        <f t="shared" si="39"/>
        <v/>
      </c>
    </row>
    <row r="1463" spans="6:6">
      <c r="F1463" s="107" t="str">
        <f t="shared" si="39"/>
        <v/>
      </c>
    </row>
    <row r="1464" spans="6:6">
      <c r="F1464" s="107" t="str">
        <f t="shared" si="39"/>
        <v/>
      </c>
    </row>
    <row r="1465" spans="6:6">
      <c r="F1465" s="107" t="str">
        <f t="shared" si="39"/>
        <v/>
      </c>
    </row>
    <row r="1466" spans="6:6">
      <c r="F1466" s="107" t="str">
        <f t="shared" si="39"/>
        <v/>
      </c>
    </row>
    <row r="1467" spans="6:6">
      <c r="F1467" s="107" t="str">
        <f t="shared" si="39"/>
        <v/>
      </c>
    </row>
    <row r="1468" spans="6:6">
      <c r="F1468" s="107" t="str">
        <f t="shared" si="39"/>
        <v/>
      </c>
    </row>
    <row r="1469" spans="6:6">
      <c r="F1469" s="107" t="str">
        <f t="shared" si="39"/>
        <v/>
      </c>
    </row>
    <row r="1470" spans="6:6">
      <c r="F1470" s="107" t="str">
        <f t="shared" si="39"/>
        <v/>
      </c>
    </row>
    <row r="1471" spans="6:6">
      <c r="F1471" s="107" t="str">
        <f t="shared" si="39"/>
        <v/>
      </c>
    </row>
    <row r="1472" spans="6:6">
      <c r="F1472" s="107" t="str">
        <f t="shared" si="39"/>
        <v/>
      </c>
    </row>
    <row r="1473" spans="6:6">
      <c r="F1473" s="107" t="str">
        <f t="shared" si="39"/>
        <v/>
      </c>
    </row>
    <row r="1474" spans="6:6">
      <c r="F1474" s="107" t="str">
        <f t="shared" si="39"/>
        <v/>
      </c>
    </row>
    <row r="1475" spans="6:6">
      <c r="F1475" s="107" t="str">
        <f t="shared" ref="F1475:F1522" si="40">UPPER(LEFT(B1475,1)) &amp; IFERROR(UPPER(LEFT(MID(B1475,FIND(" ",B1475)+1,LEN(B1475)),1)),"") &amp; IFERROR(UPPER(LEFT(MID(B1475,FIND(" ",B1475,FIND(" ",B1475)+1)+1,LEN(B1475)),1)),"") &amp; IFERROR(UPPER(LEFT(MID(B1475,FIND(" ",B1475,FIND(" ",B1475,FIND(" ",B1475)+1)+1)+1,LEN(B1475)),1)),"")</f>
        <v/>
      </c>
    </row>
    <row r="1476" spans="6:6">
      <c r="F1476" s="107" t="str">
        <f t="shared" si="40"/>
        <v/>
      </c>
    </row>
    <row r="1477" spans="6:6">
      <c r="F1477" s="107" t="str">
        <f t="shared" si="40"/>
        <v/>
      </c>
    </row>
    <row r="1478" spans="6:6">
      <c r="F1478" s="107" t="str">
        <f t="shared" si="40"/>
        <v/>
      </c>
    </row>
    <row r="1479" spans="6:6">
      <c r="F1479" s="107" t="str">
        <f t="shared" si="40"/>
        <v/>
      </c>
    </row>
    <row r="1480" spans="6:6">
      <c r="F1480" s="107" t="str">
        <f t="shared" si="40"/>
        <v/>
      </c>
    </row>
    <row r="1481" spans="6:6">
      <c r="F1481" s="107" t="str">
        <f t="shared" si="40"/>
        <v/>
      </c>
    </row>
    <row r="1482" spans="6:6">
      <c r="F1482" s="107" t="str">
        <f t="shared" si="40"/>
        <v/>
      </c>
    </row>
    <row r="1483" spans="6:6">
      <c r="F1483" s="107" t="str">
        <f t="shared" si="40"/>
        <v/>
      </c>
    </row>
    <row r="1484" spans="6:6">
      <c r="F1484" s="107" t="str">
        <f t="shared" si="40"/>
        <v/>
      </c>
    </row>
    <row r="1485" spans="6:6">
      <c r="F1485" s="107" t="str">
        <f t="shared" si="40"/>
        <v/>
      </c>
    </row>
    <row r="1486" spans="6:6">
      <c r="F1486" s="107" t="str">
        <f t="shared" si="40"/>
        <v/>
      </c>
    </row>
    <row r="1487" spans="6:6">
      <c r="F1487" s="107" t="str">
        <f t="shared" si="40"/>
        <v/>
      </c>
    </row>
    <row r="1488" spans="6:6">
      <c r="F1488" s="107" t="str">
        <f t="shared" si="40"/>
        <v/>
      </c>
    </row>
    <row r="1489" spans="6:6">
      <c r="F1489" s="107" t="str">
        <f t="shared" si="40"/>
        <v/>
      </c>
    </row>
    <row r="1490" spans="6:6">
      <c r="F1490" s="107" t="str">
        <f t="shared" si="40"/>
        <v/>
      </c>
    </row>
    <row r="1491" spans="6:6">
      <c r="F1491" s="107" t="str">
        <f t="shared" si="40"/>
        <v/>
      </c>
    </row>
    <row r="1492" spans="6:6">
      <c r="F1492" s="107" t="str">
        <f t="shared" si="40"/>
        <v/>
      </c>
    </row>
    <row r="1493" spans="6:6">
      <c r="F1493" s="107" t="str">
        <f t="shared" si="40"/>
        <v/>
      </c>
    </row>
    <row r="1494" spans="6:6">
      <c r="F1494" s="107" t="str">
        <f t="shared" si="40"/>
        <v/>
      </c>
    </row>
    <row r="1495" spans="6:6">
      <c r="F1495" s="107" t="str">
        <f t="shared" si="40"/>
        <v/>
      </c>
    </row>
    <row r="1496" spans="6:6">
      <c r="F1496" s="107" t="str">
        <f t="shared" si="40"/>
        <v/>
      </c>
    </row>
    <row r="1497" spans="6:6">
      <c r="F1497" s="107" t="str">
        <f t="shared" si="40"/>
        <v/>
      </c>
    </row>
    <row r="1498" spans="6:6">
      <c r="F1498" s="107" t="str">
        <f t="shared" si="40"/>
        <v/>
      </c>
    </row>
    <row r="1499" spans="6:6">
      <c r="F1499" s="107" t="str">
        <f t="shared" si="40"/>
        <v/>
      </c>
    </row>
    <row r="1500" spans="6:6">
      <c r="F1500" s="107" t="str">
        <f t="shared" si="40"/>
        <v/>
      </c>
    </row>
    <row r="1501" spans="6:6">
      <c r="F1501" s="107" t="str">
        <f t="shared" si="40"/>
        <v/>
      </c>
    </row>
    <row r="1502" spans="6:6">
      <c r="F1502" s="107" t="str">
        <f t="shared" si="40"/>
        <v/>
      </c>
    </row>
    <row r="1503" spans="6:6">
      <c r="F1503" s="107" t="str">
        <f t="shared" si="40"/>
        <v/>
      </c>
    </row>
    <row r="1504" spans="6:6">
      <c r="F1504" s="107" t="str">
        <f t="shared" si="40"/>
        <v/>
      </c>
    </row>
    <row r="1505" spans="6:6">
      <c r="F1505" s="107" t="str">
        <f t="shared" si="40"/>
        <v/>
      </c>
    </row>
    <row r="1506" spans="6:6">
      <c r="F1506" s="107" t="str">
        <f t="shared" si="40"/>
        <v/>
      </c>
    </row>
    <row r="1507" spans="6:6">
      <c r="F1507" s="107" t="str">
        <f t="shared" si="40"/>
        <v/>
      </c>
    </row>
    <row r="1508" spans="6:6">
      <c r="F1508" s="107" t="str">
        <f t="shared" si="40"/>
        <v/>
      </c>
    </row>
    <row r="1509" spans="6:6">
      <c r="F1509" s="107" t="str">
        <f t="shared" si="40"/>
        <v/>
      </c>
    </row>
    <row r="1510" spans="6:6">
      <c r="F1510" s="107" t="str">
        <f t="shared" si="40"/>
        <v/>
      </c>
    </row>
    <row r="1511" spans="6:6">
      <c r="F1511" s="107" t="str">
        <f t="shared" si="40"/>
        <v/>
      </c>
    </row>
    <row r="1512" spans="6:6">
      <c r="F1512" s="107" t="str">
        <f t="shared" si="40"/>
        <v/>
      </c>
    </row>
    <row r="1513" spans="6:6">
      <c r="F1513" s="107" t="str">
        <f t="shared" si="40"/>
        <v/>
      </c>
    </row>
    <row r="1514" spans="6:6">
      <c r="F1514" s="107" t="str">
        <f t="shared" si="40"/>
        <v/>
      </c>
    </row>
    <row r="1515" spans="6:6">
      <c r="F1515" s="107" t="str">
        <f t="shared" si="40"/>
        <v/>
      </c>
    </row>
    <row r="1516" spans="6:6">
      <c r="F1516" s="107" t="str">
        <f t="shared" si="40"/>
        <v/>
      </c>
    </row>
    <row r="1517" spans="6:6">
      <c r="F1517" s="107" t="str">
        <f t="shared" si="40"/>
        <v/>
      </c>
    </row>
    <row r="1518" spans="6:6">
      <c r="F1518" s="107" t="str">
        <f t="shared" si="40"/>
        <v/>
      </c>
    </row>
    <row r="1519" spans="6:6">
      <c r="F1519" s="107" t="str">
        <f t="shared" si="40"/>
        <v/>
      </c>
    </row>
    <row r="1520" spans="6:6">
      <c r="F1520" s="107" t="str">
        <f t="shared" si="40"/>
        <v/>
      </c>
    </row>
    <row r="1521" spans="6:6">
      <c r="F1521" s="107" t="str">
        <f t="shared" si="40"/>
        <v/>
      </c>
    </row>
    <row r="1522" spans="6:6">
      <c r="F1522" s="107" t="str">
        <f t="shared" si="40"/>
        <v/>
      </c>
    </row>
  </sheetData>
  <dataConsolidate/>
  <phoneticPr fontId="24" type="noConversion"/>
  <conditionalFormatting sqref="A423:E435 A436">
    <cfRule type="cellIs" dxfId="56" priority="9" operator="equal">
      <formula>0</formula>
    </cfRule>
  </conditionalFormatting>
  <conditionalFormatting sqref="A437:E520">
    <cfRule type="cellIs" dxfId="55" priority="3" operator="equal">
      <formula>0</formula>
    </cfRule>
  </conditionalFormatting>
  <conditionalFormatting sqref="A524:E567 A568 A569:E658 A659:D659">
    <cfRule type="cellIs" dxfId="54" priority="11" operator="equal">
      <formula>0</formula>
    </cfRule>
  </conditionalFormatting>
  <conditionalFormatting sqref="A660:E1522">
    <cfRule type="cellIs" dxfId="53" priority="2" operator="equal">
      <formula>0</formula>
    </cfRule>
  </conditionalFormatting>
  <conditionalFormatting sqref="A2:G2 I2:N5 Q2:T100 G3:G5 A3:E421 F3:F1522 G6:N100 G101:T101 G102:XFD472 G473:EH474 EK473:XFD474 G475:XFD490 IJ482:JD492 EE484:EH491 R489:AE491 EB489:ED491 EI489:EM491 G491:Q567 JE491:XFD1048576 R492:II492 R493:JD493 R494:W494 Y494:AA494 AE494:AI494 AJ494:JD504 R495:AI495 R496:U496 W496:AI496 R497:AI500 AF501:AI504 R501:AE516 AF505:JD516 R517:JD1048576 H568:Q568 G569:Q1522 A1523:Q1048576">
    <cfRule type="cellIs" dxfId="52" priority="12" operator="equal">
      <formula>0</formula>
    </cfRule>
  </conditionalFormatting>
  <conditionalFormatting sqref="B422:E422">
    <cfRule type="cellIs" dxfId="51" priority="10" operator="equal">
      <formula>0</formula>
    </cfRule>
  </conditionalFormatting>
  <conditionalFormatting sqref="B436:E437">
    <cfRule type="cellIs" dxfId="50" priority="8" operator="equal">
      <formula>0</formula>
    </cfRule>
  </conditionalFormatting>
  <conditionalFormatting sqref="T1:V1 U2:XFD101">
    <cfRule type="cellIs" dxfId="49" priority="1" operator="equal">
      <formula>0</formula>
    </cfRule>
  </conditionalFormatting>
  <dataValidations disablePrompts="1" count="1">
    <dataValidation type="list" allowBlank="1" showInputMessage="1" showErrorMessage="1" sqref="B2" xr:uid="{00000000-0002-0000-0400-000000000000}">
      <formula1>$B$2:$B$410</formula1>
    </dataValidation>
  </dataValidations>
  <hyperlinks>
    <hyperlink ref="G413" r:id="rId1" xr:uid="{00000000-0004-0000-0400-000000000000}"/>
    <hyperlink ref="H588" r:id="rId2" xr:uid="{1F869B51-682A-8544-A642-8016874D84C4}"/>
    <hyperlink ref="H612" r:id="rId3" xr:uid="{E82E938B-474C-0343-83FC-206DB14BA1D1}"/>
    <hyperlink ref="H661" r:id="rId4" xr:uid="{BCFD5712-A29A-4D4B-BA13-30E39DE86345}"/>
    <hyperlink ref="H665" r:id="rId5" xr:uid="{D24B7BB6-19CA-BC45-96FD-6EA3615BC25F}"/>
    <hyperlink ref="H666" r:id="rId6" xr:uid="{806CB8E9-0143-D84B-87F3-4AABB4751BB7}"/>
    <hyperlink ref="H673" r:id="rId7" xr:uid="{B1623D6E-92C7-CC46-98C7-2BAD8C647EE0}"/>
    <hyperlink ref="H725" r:id="rId8" xr:uid="{07FCB288-3303-014F-8B5E-569A9918788F}"/>
    <hyperlink ref="H729" r:id="rId9" xr:uid="{DC376C2E-67DB-9B45-A161-F6D065F1BB91}"/>
    <hyperlink ref="H741" r:id="rId10" xr:uid="{77E0B6DF-0A41-644F-A0C6-39BDB7849170}"/>
    <hyperlink ref="H742" r:id="rId11" xr:uid="{A84DD133-0B90-0E44-A84B-FCE0C24E220D}"/>
    <hyperlink ref="H743" r:id="rId12" xr:uid="{457C37A5-356A-9F45-90C2-4918DA4CD137}"/>
    <hyperlink ref="H744" r:id="rId13" xr:uid="{7AAFD1F6-009D-014C-AA4F-84A0314ADDC0}"/>
    <hyperlink ref="H757" r:id="rId14" xr:uid="{3562AA03-AD5C-D84E-8B69-8BB3645B246F}"/>
    <hyperlink ref="H760" r:id="rId15" xr:uid="{F0F9E7B1-DC9D-294E-B632-13C236EDFF3C}"/>
    <hyperlink ref="H761" r:id="rId16" xr:uid="{1D9C5F81-FCCC-A748-808F-AD4333EBC3EA}"/>
    <hyperlink ref="H799" r:id="rId17" xr:uid="{6B6B9A2A-3891-7F44-BBCF-9F4268D64A0B}"/>
  </hyperlink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WE1048576"/>
  <sheetViews>
    <sheetView showGridLines="0" tabSelected="1" topLeftCell="A3" zoomScaleNormal="100" workbookViewId="0">
      <pane xSplit="3" ySplit="17" topLeftCell="D61" activePane="bottomRight" state="frozen"/>
      <selection activeCell="T14" sqref="T14"/>
      <selection pane="topRight" activeCell="T14" sqref="T14"/>
      <selection pane="bottomLeft" activeCell="T14" sqref="T14"/>
      <selection pane="bottomRight" activeCell="F73" sqref="F73"/>
    </sheetView>
  </sheetViews>
  <sheetFormatPr baseColWidth="10" defaultColWidth="0" defaultRowHeight="15" zeroHeight="1" outlineLevelRow="1" outlineLevelCol="1"/>
  <cols>
    <col min="1" max="1" width="1.83203125" style="2" customWidth="1"/>
    <col min="2" max="2" width="10" style="2" customWidth="1"/>
    <col min="3" max="3" width="18.5" style="2" customWidth="1"/>
    <col min="4" max="4" width="9.1640625" style="2" customWidth="1"/>
    <col min="5" max="5" width="6" style="2" customWidth="1"/>
    <col min="6" max="6" width="16.33203125" style="2" customWidth="1"/>
    <col min="7" max="7" width="9.83203125" style="2" customWidth="1"/>
    <col min="8" max="8" width="8.83203125" style="2" customWidth="1"/>
    <col min="9" max="9" width="2.33203125" style="2" hidden="1" customWidth="1"/>
    <col min="10" max="10" width="20.6640625" style="2" customWidth="1"/>
    <col min="11" max="11" width="15.33203125" style="2" customWidth="1"/>
    <col min="12" max="12" width="18" style="2" customWidth="1"/>
    <col min="13" max="13" width="1.83203125" style="48" customWidth="1"/>
    <col min="14" max="14" width="14.5" style="49" customWidth="1"/>
    <col min="15" max="15" width="13.1640625" style="20" bestFit="1" customWidth="1"/>
    <col min="16" max="16" width="9.1640625" style="20" customWidth="1"/>
    <col min="17" max="17" width="37" style="20" customWidth="1"/>
    <col min="18" max="18" width="13.6640625" style="20" customWidth="1"/>
    <col min="19" max="21" width="9.1640625" style="20" customWidth="1"/>
    <col min="22" max="22" width="12.1640625" style="20" customWidth="1"/>
    <col min="23" max="23" width="9.1640625" style="20" customWidth="1"/>
    <col min="24" max="120" width="9.1640625" style="76" customWidth="1"/>
    <col min="121" max="123" width="9.1640625" style="77" customWidth="1"/>
    <col min="124" max="256" width="9.1640625" customWidth="1"/>
    <col min="257" max="257" width="5" customWidth="1"/>
    <col min="258" max="258" width="10" customWidth="1"/>
    <col min="259" max="259" width="18.5" customWidth="1"/>
    <col min="260" max="260" width="9.1640625" customWidth="1"/>
    <col min="261" max="261" width="6" customWidth="1"/>
    <col min="262" max="262" width="16.33203125" customWidth="1"/>
    <col min="263" max="263" width="9.83203125" customWidth="1"/>
    <col min="264" max="264" width="8.83203125" customWidth="1"/>
    <col min="265" max="265" width="10.83203125" customWidth="1"/>
    <col min="266" max="266" width="14.1640625" customWidth="1"/>
    <col min="267" max="267" width="15.33203125" customWidth="1"/>
    <col min="268" max="268" width="16.5" customWidth="1"/>
    <col min="269" max="269" width="5" customWidth="1"/>
    <col min="270" max="512" width="9.1640625" customWidth="1"/>
    <col min="513" max="513" width="5" customWidth="1"/>
    <col min="514" max="514" width="10" customWidth="1"/>
    <col min="515" max="515" width="18.5" customWidth="1"/>
    <col min="516" max="516" width="9.1640625" customWidth="1"/>
    <col min="517" max="517" width="6" customWidth="1"/>
    <col min="518" max="518" width="16.33203125" customWidth="1"/>
    <col min="519" max="519" width="9.83203125" customWidth="1"/>
    <col min="520" max="520" width="8.83203125" customWidth="1"/>
    <col min="521" max="521" width="10.83203125" customWidth="1"/>
    <col min="522" max="522" width="14.1640625" customWidth="1"/>
    <col min="523" max="523" width="15.33203125" customWidth="1"/>
    <col min="524" max="524" width="16.5" customWidth="1"/>
    <col min="525" max="525" width="5" customWidth="1"/>
    <col min="526" max="768" width="9.1640625" customWidth="1"/>
    <col min="769" max="769" width="5" customWidth="1"/>
    <col min="770" max="770" width="10" customWidth="1"/>
    <col min="771" max="771" width="18.5" customWidth="1"/>
    <col min="772" max="772" width="9.1640625" customWidth="1"/>
    <col min="773" max="773" width="6" customWidth="1"/>
    <col min="774" max="774" width="16.33203125" customWidth="1"/>
    <col min="775" max="775" width="9.83203125" customWidth="1"/>
    <col min="776" max="776" width="8.83203125" customWidth="1"/>
    <col min="777" max="777" width="10.83203125" customWidth="1"/>
    <col min="778" max="778" width="14.1640625" customWidth="1"/>
    <col min="779" max="779" width="15.33203125" customWidth="1"/>
    <col min="780" max="780" width="16.5" customWidth="1"/>
    <col min="781" max="781" width="5" customWidth="1"/>
    <col min="782" max="1024" width="9.1640625" customWidth="1"/>
    <col min="1025" max="1025" width="5" customWidth="1"/>
    <col min="1026" max="1026" width="10" customWidth="1"/>
    <col min="1027" max="1027" width="18.5" customWidth="1"/>
    <col min="1028" max="1028" width="9.1640625" customWidth="1"/>
    <col min="1029" max="1029" width="6" customWidth="1"/>
    <col min="1030" max="1030" width="16.33203125" customWidth="1"/>
    <col min="1031" max="1031" width="9.83203125" customWidth="1"/>
    <col min="1032" max="1032" width="8.83203125" customWidth="1"/>
    <col min="1033" max="1033" width="10.83203125" customWidth="1"/>
    <col min="1034" max="1034" width="14.1640625" customWidth="1"/>
    <col min="1035" max="1035" width="15.33203125" customWidth="1"/>
    <col min="1036" max="1036" width="16.5" customWidth="1"/>
    <col min="1037" max="1037" width="5" customWidth="1"/>
    <col min="1038" max="1280" width="9.1640625" customWidth="1"/>
    <col min="1281" max="1281" width="5" customWidth="1"/>
    <col min="1282" max="1282" width="10" customWidth="1"/>
    <col min="1283" max="1283" width="18.5" customWidth="1"/>
    <col min="1284" max="1284" width="9.1640625" customWidth="1"/>
    <col min="1285" max="1285" width="6" customWidth="1"/>
    <col min="1286" max="1286" width="16.33203125" customWidth="1"/>
    <col min="1287" max="1287" width="9.83203125" customWidth="1"/>
    <col min="1288" max="1288" width="8.83203125" customWidth="1"/>
    <col min="1289" max="1289" width="10.83203125" customWidth="1"/>
    <col min="1290" max="1290" width="14.1640625" customWidth="1"/>
    <col min="1291" max="1291" width="15.33203125" customWidth="1"/>
    <col min="1292" max="1292" width="16.5" customWidth="1"/>
    <col min="1293" max="1293" width="5" customWidth="1"/>
    <col min="1294" max="1536" width="9.1640625" customWidth="1"/>
    <col min="1537" max="1537" width="5" customWidth="1"/>
    <col min="1538" max="1538" width="10" customWidth="1"/>
    <col min="1539" max="1539" width="18.5" customWidth="1"/>
    <col min="1540" max="1540" width="9.1640625" customWidth="1"/>
    <col min="1541" max="1541" width="6" customWidth="1"/>
    <col min="1542" max="1542" width="16.33203125" customWidth="1"/>
    <col min="1543" max="1543" width="9.83203125" customWidth="1"/>
    <col min="1544" max="1544" width="8.83203125" customWidth="1"/>
    <col min="1545" max="1545" width="10.83203125" customWidth="1"/>
    <col min="1546" max="1546" width="14.1640625" customWidth="1"/>
    <col min="1547" max="1547" width="15.33203125" customWidth="1"/>
    <col min="1548" max="1548" width="16.5" customWidth="1"/>
    <col min="1549" max="1549" width="5" customWidth="1"/>
    <col min="1550" max="1792" width="9.1640625" customWidth="1"/>
    <col min="1793" max="1793" width="5" customWidth="1"/>
    <col min="1794" max="1794" width="10" customWidth="1"/>
    <col min="1795" max="1795" width="18.5" customWidth="1"/>
    <col min="1796" max="1796" width="9.1640625" customWidth="1"/>
    <col min="1797" max="1797" width="6" customWidth="1"/>
    <col min="1798" max="1798" width="16.33203125" customWidth="1"/>
    <col min="1799" max="1799" width="9.83203125" customWidth="1"/>
    <col min="1800" max="1800" width="8.83203125" customWidth="1"/>
    <col min="1801" max="1801" width="10.83203125" customWidth="1"/>
    <col min="1802" max="1802" width="14.1640625" customWidth="1"/>
    <col min="1803" max="1803" width="15.33203125" customWidth="1"/>
    <col min="1804" max="1804" width="16.5" customWidth="1"/>
    <col min="1805" max="1805" width="5" customWidth="1"/>
    <col min="1806" max="2048" width="9.1640625" customWidth="1"/>
    <col min="2049" max="2049" width="5" customWidth="1"/>
    <col min="2050" max="2050" width="10" customWidth="1"/>
    <col min="2051" max="2051" width="18.5" customWidth="1"/>
    <col min="2052" max="2052" width="9.1640625" customWidth="1"/>
    <col min="2053" max="2053" width="6" customWidth="1"/>
    <col min="2054" max="2054" width="16.33203125" customWidth="1"/>
    <col min="2055" max="2055" width="9.83203125" customWidth="1"/>
    <col min="2056" max="2056" width="8.83203125" customWidth="1"/>
    <col min="2057" max="2057" width="10.83203125" customWidth="1"/>
    <col min="2058" max="2058" width="14.1640625" customWidth="1"/>
    <col min="2059" max="2059" width="15.33203125" customWidth="1"/>
    <col min="2060" max="2060" width="16.5" customWidth="1"/>
    <col min="2061" max="2061" width="5" customWidth="1"/>
    <col min="2062" max="2304" width="9.1640625" customWidth="1"/>
    <col min="2305" max="2305" width="5" customWidth="1"/>
    <col min="2306" max="2306" width="10" customWidth="1"/>
    <col min="2307" max="2307" width="18.5" customWidth="1"/>
    <col min="2308" max="2308" width="9.1640625" customWidth="1"/>
    <col min="2309" max="2309" width="6" customWidth="1"/>
    <col min="2310" max="2310" width="16.33203125" customWidth="1"/>
    <col min="2311" max="2311" width="9.83203125" customWidth="1"/>
    <col min="2312" max="2312" width="8.83203125" customWidth="1"/>
    <col min="2313" max="2313" width="10.83203125" customWidth="1"/>
    <col min="2314" max="2314" width="14.1640625" customWidth="1"/>
    <col min="2315" max="2315" width="15.33203125" customWidth="1"/>
    <col min="2316" max="2316" width="16.5" customWidth="1"/>
    <col min="2317" max="2317" width="5" customWidth="1"/>
    <col min="2318" max="2560" width="9.1640625" customWidth="1"/>
    <col min="2561" max="2561" width="5" customWidth="1"/>
    <col min="2562" max="2562" width="10" customWidth="1"/>
    <col min="2563" max="2563" width="18.5" customWidth="1"/>
    <col min="2564" max="2564" width="9.1640625" customWidth="1"/>
    <col min="2565" max="2565" width="6" customWidth="1"/>
    <col min="2566" max="2566" width="16.33203125" customWidth="1"/>
    <col min="2567" max="2567" width="9.83203125" customWidth="1"/>
    <col min="2568" max="2568" width="8.83203125" customWidth="1"/>
    <col min="2569" max="2569" width="10.83203125" customWidth="1"/>
    <col min="2570" max="2570" width="14.1640625" customWidth="1"/>
    <col min="2571" max="2571" width="15.33203125" customWidth="1"/>
    <col min="2572" max="2572" width="16.5" customWidth="1"/>
    <col min="2573" max="2573" width="5" customWidth="1"/>
    <col min="2574" max="2816" width="9.1640625" customWidth="1"/>
    <col min="2817" max="2817" width="5" customWidth="1"/>
    <col min="2818" max="2818" width="10" customWidth="1"/>
    <col min="2819" max="2819" width="18.5" customWidth="1"/>
    <col min="2820" max="2820" width="9.1640625" customWidth="1"/>
    <col min="2821" max="2821" width="6" customWidth="1"/>
    <col min="2822" max="2822" width="16.33203125" customWidth="1"/>
    <col min="2823" max="2823" width="9.83203125" customWidth="1"/>
    <col min="2824" max="2824" width="8.83203125" customWidth="1"/>
    <col min="2825" max="2825" width="10.83203125" customWidth="1"/>
    <col min="2826" max="2826" width="14.1640625" customWidth="1"/>
    <col min="2827" max="2827" width="15.33203125" customWidth="1"/>
    <col min="2828" max="2828" width="16.5" customWidth="1"/>
    <col min="2829" max="2829" width="5" customWidth="1"/>
    <col min="2830" max="3072" width="9.1640625" customWidth="1"/>
    <col min="3073" max="3073" width="5" customWidth="1"/>
    <col min="3074" max="3074" width="10" customWidth="1"/>
    <col min="3075" max="3075" width="18.5" customWidth="1"/>
    <col min="3076" max="3076" width="9.1640625" customWidth="1"/>
    <col min="3077" max="3077" width="6" customWidth="1"/>
    <col min="3078" max="3078" width="16.33203125" customWidth="1"/>
    <col min="3079" max="3079" width="9.83203125" customWidth="1"/>
    <col min="3080" max="3080" width="8.83203125" customWidth="1"/>
    <col min="3081" max="3081" width="10.83203125" customWidth="1"/>
    <col min="3082" max="3082" width="14.1640625" customWidth="1"/>
    <col min="3083" max="3083" width="15.33203125" customWidth="1"/>
    <col min="3084" max="3084" width="16.5" customWidth="1"/>
    <col min="3085" max="3085" width="5" customWidth="1"/>
    <col min="3086" max="3328" width="9.1640625" customWidth="1"/>
    <col min="3329" max="3329" width="5" customWidth="1"/>
    <col min="3330" max="3330" width="10" customWidth="1"/>
    <col min="3331" max="3331" width="18.5" customWidth="1"/>
    <col min="3332" max="3332" width="9.1640625" customWidth="1"/>
    <col min="3333" max="3333" width="6" customWidth="1"/>
    <col min="3334" max="3334" width="16.33203125" customWidth="1"/>
    <col min="3335" max="3335" width="9.83203125" customWidth="1"/>
    <col min="3336" max="3336" width="8.83203125" customWidth="1"/>
    <col min="3337" max="3337" width="10.83203125" customWidth="1"/>
    <col min="3338" max="3338" width="14.1640625" customWidth="1"/>
    <col min="3339" max="3339" width="15.33203125" customWidth="1"/>
    <col min="3340" max="3340" width="16.5" customWidth="1"/>
    <col min="3341" max="3341" width="5" customWidth="1"/>
    <col min="3342" max="3584" width="9.1640625" customWidth="1"/>
    <col min="3585" max="3585" width="5" customWidth="1"/>
    <col min="3586" max="3586" width="10" customWidth="1"/>
    <col min="3587" max="3587" width="18.5" customWidth="1"/>
    <col min="3588" max="3588" width="9.1640625" customWidth="1"/>
    <col min="3589" max="3589" width="6" customWidth="1"/>
    <col min="3590" max="3590" width="16.33203125" customWidth="1"/>
    <col min="3591" max="3591" width="9.83203125" customWidth="1"/>
    <col min="3592" max="3592" width="8.83203125" customWidth="1"/>
    <col min="3593" max="3593" width="10.83203125" customWidth="1"/>
    <col min="3594" max="3594" width="14.1640625" customWidth="1"/>
    <col min="3595" max="3595" width="15.33203125" customWidth="1"/>
    <col min="3596" max="3596" width="16.5" customWidth="1"/>
    <col min="3597" max="3597" width="5" customWidth="1"/>
    <col min="3598" max="3840" width="9.1640625" customWidth="1"/>
    <col min="3841" max="3841" width="5" customWidth="1"/>
    <col min="3842" max="3842" width="10" customWidth="1"/>
    <col min="3843" max="3843" width="18.5" customWidth="1"/>
    <col min="3844" max="3844" width="9.1640625" customWidth="1"/>
    <col min="3845" max="3845" width="6" customWidth="1"/>
    <col min="3846" max="3846" width="16.33203125" customWidth="1"/>
    <col min="3847" max="3847" width="9.83203125" customWidth="1"/>
    <col min="3848" max="3848" width="8.83203125" customWidth="1"/>
    <col min="3849" max="3849" width="10.83203125" customWidth="1"/>
    <col min="3850" max="3850" width="14.1640625" customWidth="1"/>
    <col min="3851" max="3851" width="15.33203125" customWidth="1"/>
    <col min="3852" max="3852" width="16.5" customWidth="1"/>
    <col min="3853" max="3853" width="5" customWidth="1"/>
    <col min="3854" max="4096" width="9.1640625" customWidth="1"/>
    <col min="4097" max="4097" width="5" customWidth="1"/>
    <col min="4098" max="4098" width="10" customWidth="1"/>
    <col min="4099" max="4099" width="18.5" customWidth="1"/>
    <col min="4100" max="4100" width="9.1640625" customWidth="1"/>
    <col min="4101" max="4101" width="6" customWidth="1"/>
    <col min="4102" max="4102" width="16.33203125" customWidth="1"/>
    <col min="4103" max="4103" width="9.83203125" customWidth="1"/>
    <col min="4104" max="4104" width="8.83203125" customWidth="1"/>
    <col min="4105" max="4105" width="10.83203125" customWidth="1"/>
    <col min="4106" max="4106" width="14.1640625" customWidth="1"/>
    <col min="4107" max="4107" width="15.33203125" customWidth="1"/>
    <col min="4108" max="4108" width="16.5" customWidth="1"/>
    <col min="4109" max="4109" width="5" customWidth="1"/>
    <col min="4110" max="4352" width="9.1640625" customWidth="1"/>
    <col min="4353" max="4353" width="5" customWidth="1"/>
    <col min="4354" max="4354" width="10" customWidth="1"/>
    <col min="4355" max="4355" width="18.5" customWidth="1"/>
    <col min="4356" max="4356" width="9.1640625" customWidth="1"/>
    <col min="4357" max="4357" width="6" customWidth="1"/>
    <col min="4358" max="4358" width="16.33203125" customWidth="1"/>
    <col min="4359" max="4359" width="9.83203125" customWidth="1"/>
    <col min="4360" max="4360" width="8.83203125" customWidth="1"/>
    <col min="4361" max="4361" width="10.83203125" customWidth="1"/>
    <col min="4362" max="4362" width="14.1640625" customWidth="1"/>
    <col min="4363" max="4363" width="15.33203125" customWidth="1"/>
    <col min="4364" max="4364" width="16.5" customWidth="1"/>
    <col min="4365" max="4365" width="5" customWidth="1"/>
    <col min="4366" max="4608" width="9.1640625" customWidth="1"/>
    <col min="4609" max="4609" width="5" customWidth="1"/>
    <col min="4610" max="4610" width="10" customWidth="1"/>
    <col min="4611" max="4611" width="18.5" customWidth="1"/>
    <col min="4612" max="4612" width="9.1640625" customWidth="1"/>
    <col min="4613" max="4613" width="6" customWidth="1"/>
    <col min="4614" max="4614" width="16.33203125" customWidth="1"/>
    <col min="4615" max="4615" width="9.83203125" customWidth="1"/>
    <col min="4616" max="4616" width="8.83203125" customWidth="1"/>
    <col min="4617" max="4617" width="10.83203125" customWidth="1"/>
    <col min="4618" max="4618" width="14.1640625" customWidth="1"/>
    <col min="4619" max="4619" width="15.33203125" customWidth="1"/>
    <col min="4620" max="4620" width="16.5" customWidth="1"/>
    <col min="4621" max="4621" width="5" customWidth="1"/>
    <col min="4622" max="4864" width="9.1640625" customWidth="1"/>
    <col min="4865" max="4865" width="5" customWidth="1"/>
    <col min="4866" max="4866" width="10" customWidth="1"/>
    <col min="4867" max="4867" width="18.5" customWidth="1"/>
    <col min="4868" max="4868" width="9.1640625" customWidth="1"/>
    <col min="4869" max="4869" width="6" customWidth="1"/>
    <col min="4870" max="4870" width="16.33203125" customWidth="1"/>
    <col min="4871" max="4871" width="9.83203125" customWidth="1"/>
    <col min="4872" max="4872" width="8.83203125" customWidth="1"/>
    <col min="4873" max="4873" width="10.83203125" customWidth="1"/>
    <col min="4874" max="4874" width="14.1640625" customWidth="1"/>
    <col min="4875" max="4875" width="15.33203125" customWidth="1"/>
    <col min="4876" max="4876" width="16.5" customWidth="1"/>
    <col min="4877" max="4877" width="5" customWidth="1"/>
    <col min="4878" max="5120" width="9.1640625" customWidth="1"/>
    <col min="5121" max="5121" width="5" customWidth="1"/>
    <col min="5122" max="5122" width="10" customWidth="1"/>
    <col min="5123" max="5123" width="18.5" customWidth="1"/>
    <col min="5124" max="5124" width="9.1640625" customWidth="1"/>
    <col min="5125" max="5125" width="6" customWidth="1"/>
    <col min="5126" max="5126" width="16.33203125" customWidth="1"/>
    <col min="5127" max="5127" width="9.83203125" customWidth="1"/>
    <col min="5128" max="5128" width="8.83203125" customWidth="1"/>
    <col min="5129" max="5129" width="10.83203125" customWidth="1"/>
    <col min="5130" max="5130" width="14.1640625" customWidth="1"/>
    <col min="5131" max="5131" width="15.33203125" customWidth="1"/>
    <col min="5132" max="5132" width="16.5" customWidth="1"/>
    <col min="5133" max="5133" width="5" customWidth="1"/>
    <col min="5134" max="5376" width="9.1640625" customWidth="1"/>
    <col min="5377" max="5377" width="5" customWidth="1"/>
    <col min="5378" max="5378" width="10" customWidth="1"/>
    <col min="5379" max="5379" width="18.5" customWidth="1"/>
    <col min="5380" max="5380" width="9.1640625" customWidth="1"/>
    <col min="5381" max="5381" width="6" customWidth="1"/>
    <col min="5382" max="5382" width="16.33203125" customWidth="1"/>
    <col min="5383" max="5383" width="9.83203125" customWidth="1"/>
    <col min="5384" max="5384" width="8.83203125" customWidth="1"/>
    <col min="5385" max="5385" width="10.83203125" customWidth="1"/>
    <col min="5386" max="5386" width="14.1640625" customWidth="1"/>
    <col min="5387" max="5387" width="15.33203125" customWidth="1"/>
    <col min="5388" max="5388" width="16.5" customWidth="1"/>
    <col min="5389" max="5389" width="5" customWidth="1"/>
    <col min="5390" max="5632" width="9.1640625" customWidth="1"/>
    <col min="5633" max="5633" width="5" customWidth="1"/>
    <col min="5634" max="5634" width="10" customWidth="1"/>
    <col min="5635" max="5635" width="18.5" customWidth="1"/>
    <col min="5636" max="5636" width="9.1640625" customWidth="1"/>
    <col min="5637" max="5637" width="6" customWidth="1"/>
    <col min="5638" max="5638" width="16.33203125" customWidth="1"/>
    <col min="5639" max="5639" width="9.83203125" customWidth="1"/>
    <col min="5640" max="5640" width="8.83203125" customWidth="1"/>
    <col min="5641" max="5641" width="10.83203125" customWidth="1"/>
    <col min="5642" max="5642" width="14.1640625" customWidth="1"/>
    <col min="5643" max="5643" width="15.33203125" customWidth="1"/>
    <col min="5644" max="5644" width="16.5" customWidth="1"/>
    <col min="5645" max="5645" width="5" customWidth="1"/>
    <col min="5646" max="5888" width="9.1640625" customWidth="1"/>
    <col min="5889" max="5889" width="5" customWidth="1"/>
    <col min="5890" max="5890" width="10" customWidth="1"/>
    <col min="5891" max="5891" width="18.5" customWidth="1"/>
    <col min="5892" max="5892" width="9.1640625" customWidth="1"/>
    <col min="5893" max="5893" width="6" customWidth="1"/>
    <col min="5894" max="5894" width="16.33203125" customWidth="1"/>
    <col min="5895" max="5895" width="9.83203125" customWidth="1"/>
    <col min="5896" max="5896" width="8.83203125" customWidth="1"/>
    <col min="5897" max="5897" width="10.83203125" customWidth="1"/>
    <col min="5898" max="5898" width="14.1640625" customWidth="1"/>
    <col min="5899" max="5899" width="15.33203125" customWidth="1"/>
    <col min="5900" max="5900" width="16.5" customWidth="1"/>
    <col min="5901" max="5901" width="5" customWidth="1"/>
    <col min="5902" max="6144" width="9.1640625" customWidth="1"/>
    <col min="6145" max="6145" width="5" customWidth="1"/>
    <col min="6146" max="6146" width="10" customWidth="1"/>
    <col min="6147" max="6147" width="18.5" customWidth="1"/>
    <col min="6148" max="6148" width="9.1640625" customWidth="1"/>
    <col min="6149" max="6149" width="6" customWidth="1"/>
    <col min="6150" max="6150" width="16.33203125" customWidth="1"/>
    <col min="6151" max="6151" width="9.83203125" customWidth="1"/>
    <col min="6152" max="6152" width="8.83203125" customWidth="1"/>
    <col min="6153" max="6153" width="10.83203125" customWidth="1"/>
    <col min="6154" max="6154" width="14.1640625" customWidth="1"/>
    <col min="6155" max="6155" width="15.33203125" customWidth="1"/>
    <col min="6156" max="6156" width="16.5" customWidth="1"/>
    <col min="6157" max="6157" width="5" customWidth="1"/>
    <col min="6158" max="6400" width="9.1640625" customWidth="1"/>
    <col min="6401" max="6401" width="5" customWidth="1"/>
    <col min="6402" max="6402" width="10" customWidth="1"/>
    <col min="6403" max="6403" width="18.5" customWidth="1"/>
    <col min="6404" max="6404" width="9.1640625" customWidth="1"/>
    <col min="6405" max="6405" width="6" customWidth="1"/>
    <col min="6406" max="6406" width="16.33203125" customWidth="1"/>
    <col min="6407" max="6407" width="9.83203125" customWidth="1"/>
    <col min="6408" max="6408" width="8.83203125" customWidth="1"/>
    <col min="6409" max="6409" width="10.83203125" customWidth="1"/>
    <col min="6410" max="6410" width="14.1640625" customWidth="1"/>
    <col min="6411" max="6411" width="15.33203125" customWidth="1"/>
    <col min="6412" max="6412" width="16.5" customWidth="1"/>
    <col min="6413" max="6413" width="5" customWidth="1"/>
    <col min="6414" max="6656" width="9.1640625" customWidth="1"/>
    <col min="6657" max="6657" width="5" customWidth="1"/>
    <col min="6658" max="6658" width="10" customWidth="1"/>
    <col min="6659" max="6659" width="18.5" customWidth="1"/>
    <col min="6660" max="6660" width="9.1640625" customWidth="1"/>
    <col min="6661" max="6661" width="6" customWidth="1"/>
    <col min="6662" max="6662" width="16.33203125" customWidth="1"/>
    <col min="6663" max="6663" width="9.83203125" customWidth="1"/>
    <col min="6664" max="6664" width="8.83203125" customWidth="1"/>
    <col min="6665" max="6665" width="10.83203125" customWidth="1"/>
    <col min="6666" max="6666" width="14.1640625" customWidth="1"/>
    <col min="6667" max="6667" width="15.33203125" customWidth="1"/>
    <col min="6668" max="6668" width="16.5" customWidth="1"/>
    <col min="6669" max="6669" width="5" customWidth="1"/>
    <col min="6670" max="6912" width="9.1640625" customWidth="1"/>
    <col min="6913" max="6913" width="5" customWidth="1"/>
    <col min="6914" max="6914" width="10" customWidth="1"/>
    <col min="6915" max="6915" width="18.5" customWidth="1"/>
    <col min="6916" max="6916" width="9.1640625" customWidth="1"/>
    <col min="6917" max="6917" width="6" customWidth="1"/>
    <col min="6918" max="6918" width="16.33203125" customWidth="1"/>
    <col min="6919" max="6919" width="9.83203125" customWidth="1"/>
    <col min="6920" max="6920" width="8.83203125" customWidth="1"/>
    <col min="6921" max="6921" width="10.83203125" customWidth="1"/>
    <col min="6922" max="6922" width="14.1640625" customWidth="1"/>
    <col min="6923" max="6923" width="15.33203125" customWidth="1"/>
    <col min="6924" max="6924" width="16.5" customWidth="1"/>
    <col min="6925" max="6925" width="5" customWidth="1"/>
    <col min="6926" max="7168" width="9.1640625" customWidth="1"/>
    <col min="7169" max="7169" width="5" customWidth="1"/>
    <col min="7170" max="7170" width="10" customWidth="1"/>
    <col min="7171" max="7171" width="18.5" customWidth="1"/>
    <col min="7172" max="7172" width="9.1640625" customWidth="1"/>
    <col min="7173" max="7173" width="6" customWidth="1"/>
    <col min="7174" max="7174" width="16.33203125" customWidth="1"/>
    <col min="7175" max="7175" width="9.83203125" customWidth="1"/>
    <col min="7176" max="7176" width="8.83203125" customWidth="1"/>
    <col min="7177" max="7177" width="10.83203125" customWidth="1"/>
    <col min="7178" max="7178" width="14.1640625" customWidth="1"/>
    <col min="7179" max="7179" width="15.33203125" customWidth="1"/>
    <col min="7180" max="7180" width="16.5" customWidth="1"/>
    <col min="7181" max="7181" width="5" customWidth="1"/>
    <col min="7182" max="7424" width="9.1640625" customWidth="1"/>
    <col min="7425" max="7425" width="5" customWidth="1"/>
    <col min="7426" max="7426" width="10" customWidth="1"/>
    <col min="7427" max="7427" width="18.5" customWidth="1"/>
    <col min="7428" max="7428" width="9.1640625" customWidth="1"/>
    <col min="7429" max="7429" width="6" customWidth="1"/>
    <col min="7430" max="7430" width="16.33203125" customWidth="1"/>
    <col min="7431" max="7431" width="9.83203125" customWidth="1"/>
    <col min="7432" max="7432" width="8.83203125" customWidth="1"/>
    <col min="7433" max="7433" width="10.83203125" customWidth="1"/>
    <col min="7434" max="7434" width="14.1640625" customWidth="1"/>
    <col min="7435" max="7435" width="15.33203125" customWidth="1"/>
    <col min="7436" max="7436" width="16.5" customWidth="1"/>
    <col min="7437" max="7437" width="5" customWidth="1"/>
    <col min="7438" max="7680" width="9.1640625" customWidth="1"/>
    <col min="7681" max="7681" width="5" customWidth="1"/>
    <col min="7682" max="7682" width="10" customWidth="1"/>
    <col min="7683" max="7683" width="18.5" customWidth="1"/>
    <col min="7684" max="7684" width="9.1640625" customWidth="1"/>
    <col min="7685" max="7685" width="6" customWidth="1"/>
    <col min="7686" max="7686" width="16.33203125" customWidth="1"/>
    <col min="7687" max="7687" width="9.83203125" customWidth="1"/>
    <col min="7688" max="7688" width="8.83203125" customWidth="1"/>
    <col min="7689" max="7689" width="10.83203125" customWidth="1"/>
    <col min="7690" max="7690" width="14.1640625" customWidth="1"/>
    <col min="7691" max="7691" width="15.33203125" customWidth="1"/>
    <col min="7692" max="7692" width="16.5" customWidth="1"/>
    <col min="7693" max="7693" width="5" customWidth="1"/>
    <col min="7694" max="7936" width="9.1640625" customWidth="1"/>
    <col min="7937" max="7937" width="5" customWidth="1"/>
    <col min="7938" max="7938" width="10" customWidth="1"/>
    <col min="7939" max="7939" width="18.5" customWidth="1"/>
    <col min="7940" max="7940" width="9.1640625" customWidth="1"/>
    <col min="7941" max="7941" width="6" customWidth="1"/>
    <col min="7942" max="7942" width="16.33203125" customWidth="1"/>
    <col min="7943" max="7943" width="9.83203125" customWidth="1"/>
    <col min="7944" max="7944" width="8.83203125" customWidth="1"/>
    <col min="7945" max="7945" width="10.83203125" customWidth="1"/>
    <col min="7946" max="7946" width="14.1640625" customWidth="1"/>
    <col min="7947" max="7947" width="15.33203125" customWidth="1"/>
    <col min="7948" max="7948" width="16.5" customWidth="1"/>
    <col min="7949" max="7949" width="5" customWidth="1"/>
    <col min="7950" max="8192" width="9.1640625" customWidth="1"/>
    <col min="8193" max="8193" width="5" customWidth="1"/>
    <col min="8194" max="8194" width="10" customWidth="1"/>
    <col min="8195" max="8195" width="18.5" customWidth="1"/>
    <col min="8196" max="8196" width="9.1640625" customWidth="1"/>
    <col min="8197" max="8197" width="6" customWidth="1"/>
    <col min="8198" max="8198" width="16.33203125" customWidth="1"/>
    <col min="8199" max="8199" width="9.83203125" customWidth="1"/>
    <col min="8200" max="8200" width="8.83203125" customWidth="1"/>
    <col min="8201" max="8201" width="10.83203125" customWidth="1"/>
    <col min="8202" max="8202" width="14.1640625" customWidth="1"/>
    <col min="8203" max="8203" width="15.33203125" customWidth="1"/>
    <col min="8204" max="8204" width="16.5" customWidth="1"/>
    <col min="8205" max="8205" width="5" customWidth="1"/>
    <col min="8206" max="8448" width="9.1640625" customWidth="1"/>
    <col min="8449" max="8449" width="5" customWidth="1"/>
    <col min="8450" max="8450" width="10" customWidth="1"/>
    <col min="8451" max="8451" width="18.5" customWidth="1"/>
    <col min="8452" max="8452" width="9.1640625" customWidth="1"/>
    <col min="8453" max="8453" width="6" customWidth="1"/>
    <col min="8454" max="8454" width="16.33203125" customWidth="1"/>
    <col min="8455" max="8455" width="9.83203125" customWidth="1"/>
    <col min="8456" max="8456" width="8.83203125" customWidth="1"/>
    <col min="8457" max="8457" width="10.83203125" customWidth="1"/>
    <col min="8458" max="8458" width="14.1640625" customWidth="1"/>
    <col min="8459" max="8459" width="15.33203125" customWidth="1"/>
    <col min="8460" max="8460" width="16.5" customWidth="1"/>
    <col min="8461" max="8461" width="5" customWidth="1"/>
    <col min="8462" max="8704" width="9.1640625" customWidth="1"/>
    <col min="8705" max="8705" width="5" customWidth="1"/>
    <col min="8706" max="8706" width="10" customWidth="1"/>
    <col min="8707" max="8707" width="18.5" customWidth="1"/>
    <col min="8708" max="8708" width="9.1640625" customWidth="1"/>
    <col min="8709" max="8709" width="6" customWidth="1"/>
    <col min="8710" max="8710" width="16.33203125" customWidth="1"/>
    <col min="8711" max="8711" width="9.83203125" customWidth="1"/>
    <col min="8712" max="8712" width="8.83203125" customWidth="1"/>
    <col min="8713" max="8713" width="10.83203125" customWidth="1"/>
    <col min="8714" max="8714" width="14.1640625" customWidth="1"/>
    <col min="8715" max="8715" width="15.33203125" customWidth="1"/>
    <col min="8716" max="8716" width="16.5" customWidth="1"/>
    <col min="8717" max="8717" width="5" customWidth="1"/>
    <col min="8718" max="8960" width="9.1640625" customWidth="1"/>
    <col min="8961" max="8961" width="5" customWidth="1"/>
    <col min="8962" max="8962" width="10" customWidth="1"/>
    <col min="8963" max="8963" width="18.5" customWidth="1"/>
    <col min="8964" max="8964" width="9.1640625" customWidth="1"/>
    <col min="8965" max="8965" width="6" customWidth="1"/>
    <col min="8966" max="8966" width="16.33203125" customWidth="1"/>
    <col min="8967" max="8967" width="9.83203125" customWidth="1"/>
    <col min="8968" max="8968" width="8.83203125" customWidth="1"/>
    <col min="8969" max="8969" width="10.83203125" customWidth="1"/>
    <col min="8970" max="8970" width="14.1640625" customWidth="1"/>
    <col min="8971" max="8971" width="15.33203125" customWidth="1"/>
    <col min="8972" max="8972" width="16.5" customWidth="1"/>
    <col min="8973" max="8973" width="5" customWidth="1"/>
    <col min="8974" max="9216" width="9.1640625" customWidth="1"/>
    <col min="9217" max="9217" width="5" customWidth="1"/>
    <col min="9218" max="9218" width="10" customWidth="1"/>
    <col min="9219" max="9219" width="18.5" customWidth="1"/>
    <col min="9220" max="9220" width="9.1640625" customWidth="1"/>
    <col min="9221" max="9221" width="6" customWidth="1"/>
    <col min="9222" max="9222" width="16.33203125" customWidth="1"/>
    <col min="9223" max="9223" width="9.83203125" customWidth="1"/>
    <col min="9224" max="9224" width="8.83203125" customWidth="1"/>
    <col min="9225" max="9225" width="10.83203125" customWidth="1"/>
    <col min="9226" max="9226" width="14.1640625" customWidth="1"/>
    <col min="9227" max="9227" width="15.33203125" customWidth="1"/>
    <col min="9228" max="9228" width="16.5" customWidth="1"/>
    <col min="9229" max="9229" width="5" customWidth="1"/>
    <col min="9230" max="9472" width="9.1640625" customWidth="1"/>
    <col min="9473" max="9473" width="5" customWidth="1"/>
    <col min="9474" max="9474" width="10" customWidth="1"/>
    <col min="9475" max="9475" width="18.5" customWidth="1"/>
    <col min="9476" max="9476" width="9.1640625" customWidth="1"/>
    <col min="9477" max="9477" width="6" customWidth="1"/>
    <col min="9478" max="9478" width="16.33203125" customWidth="1"/>
    <col min="9479" max="9479" width="9.83203125" customWidth="1"/>
    <col min="9480" max="9480" width="8.83203125" customWidth="1"/>
    <col min="9481" max="9481" width="10.83203125" customWidth="1"/>
    <col min="9482" max="9482" width="14.1640625" customWidth="1"/>
    <col min="9483" max="9483" width="15.33203125" customWidth="1"/>
    <col min="9484" max="9484" width="16.5" customWidth="1"/>
    <col min="9485" max="9485" width="5" customWidth="1"/>
    <col min="9486" max="9728" width="9.1640625" customWidth="1"/>
    <col min="9729" max="9729" width="5" customWidth="1"/>
    <col min="9730" max="9730" width="10" customWidth="1"/>
    <col min="9731" max="9731" width="18.5" customWidth="1"/>
    <col min="9732" max="9732" width="9.1640625" customWidth="1"/>
    <col min="9733" max="9733" width="6" customWidth="1"/>
    <col min="9734" max="9734" width="16.33203125" customWidth="1"/>
    <col min="9735" max="9735" width="9.83203125" customWidth="1"/>
    <col min="9736" max="9736" width="8.83203125" customWidth="1"/>
    <col min="9737" max="9737" width="10.83203125" customWidth="1"/>
    <col min="9738" max="9738" width="14.1640625" customWidth="1"/>
    <col min="9739" max="9739" width="15.33203125" customWidth="1"/>
    <col min="9740" max="9740" width="16.5" customWidth="1"/>
    <col min="9741" max="9741" width="5" customWidth="1"/>
    <col min="9742" max="9984" width="9.1640625" customWidth="1"/>
    <col min="9985" max="9985" width="5" customWidth="1"/>
    <col min="9986" max="9986" width="10" customWidth="1"/>
    <col min="9987" max="9987" width="18.5" customWidth="1"/>
    <col min="9988" max="9988" width="9.1640625" customWidth="1"/>
    <col min="9989" max="9989" width="6" customWidth="1"/>
    <col min="9990" max="9990" width="16.33203125" customWidth="1"/>
    <col min="9991" max="9991" width="9.83203125" customWidth="1"/>
    <col min="9992" max="9992" width="8.83203125" customWidth="1"/>
    <col min="9993" max="9993" width="10.83203125" customWidth="1"/>
    <col min="9994" max="9994" width="14.1640625" customWidth="1"/>
    <col min="9995" max="9995" width="15.33203125" customWidth="1"/>
    <col min="9996" max="9996" width="16.5" customWidth="1"/>
    <col min="9997" max="9997" width="5" customWidth="1"/>
    <col min="9998" max="10240" width="9.1640625" customWidth="1"/>
    <col min="10241" max="10241" width="5" customWidth="1"/>
    <col min="10242" max="10242" width="10" customWidth="1"/>
    <col min="10243" max="10243" width="18.5" customWidth="1"/>
    <col min="10244" max="10244" width="9.1640625" customWidth="1"/>
    <col min="10245" max="10245" width="6" customWidth="1"/>
    <col min="10246" max="10246" width="16.33203125" customWidth="1"/>
    <col min="10247" max="10247" width="9.83203125" customWidth="1"/>
    <col min="10248" max="10248" width="8.83203125" customWidth="1"/>
    <col min="10249" max="10249" width="10.83203125" customWidth="1"/>
    <col min="10250" max="10250" width="14.1640625" customWidth="1"/>
    <col min="10251" max="10251" width="15.33203125" customWidth="1"/>
    <col min="10252" max="10252" width="16.5" customWidth="1"/>
    <col min="10253" max="10253" width="5" customWidth="1"/>
    <col min="10254" max="10496" width="9.1640625" customWidth="1"/>
    <col min="10497" max="10497" width="5" customWidth="1"/>
    <col min="10498" max="10498" width="10" customWidth="1"/>
    <col min="10499" max="10499" width="18.5" customWidth="1"/>
    <col min="10500" max="10500" width="9.1640625" customWidth="1"/>
    <col min="10501" max="10501" width="6" customWidth="1"/>
    <col min="10502" max="10502" width="16.33203125" customWidth="1"/>
    <col min="10503" max="10503" width="9.83203125" customWidth="1"/>
    <col min="10504" max="10504" width="8.83203125" customWidth="1"/>
    <col min="10505" max="10505" width="10.83203125" customWidth="1"/>
    <col min="10506" max="10506" width="14.1640625" customWidth="1"/>
    <col min="10507" max="10507" width="15.33203125" customWidth="1"/>
    <col min="10508" max="10508" width="16.5" customWidth="1"/>
    <col min="10509" max="10509" width="5" customWidth="1"/>
    <col min="10510" max="10752" width="9.1640625" customWidth="1"/>
    <col min="10753" max="10753" width="5" customWidth="1"/>
    <col min="10754" max="10754" width="10" customWidth="1"/>
    <col min="10755" max="10755" width="18.5" customWidth="1"/>
    <col min="10756" max="10756" width="9.1640625" customWidth="1"/>
    <col min="10757" max="10757" width="6" customWidth="1"/>
    <col min="10758" max="10758" width="16.33203125" customWidth="1"/>
    <col min="10759" max="10759" width="9.83203125" customWidth="1"/>
    <col min="10760" max="10760" width="8.83203125" customWidth="1"/>
    <col min="10761" max="10761" width="10.83203125" customWidth="1"/>
    <col min="10762" max="10762" width="14.1640625" customWidth="1"/>
    <col min="10763" max="10763" width="15.33203125" customWidth="1"/>
    <col min="10764" max="10764" width="16.5" customWidth="1"/>
    <col min="10765" max="10765" width="5" customWidth="1"/>
    <col min="10766" max="11008" width="9.1640625" customWidth="1"/>
    <col min="11009" max="11009" width="5" customWidth="1"/>
    <col min="11010" max="11010" width="10" customWidth="1"/>
    <col min="11011" max="11011" width="18.5" customWidth="1"/>
    <col min="11012" max="11012" width="9.1640625" customWidth="1"/>
    <col min="11013" max="11013" width="6" customWidth="1"/>
    <col min="11014" max="11014" width="16.33203125" customWidth="1"/>
    <col min="11015" max="11015" width="9.83203125" customWidth="1"/>
    <col min="11016" max="11016" width="8.83203125" customWidth="1"/>
    <col min="11017" max="11017" width="10.83203125" customWidth="1"/>
    <col min="11018" max="11018" width="14.1640625" customWidth="1"/>
    <col min="11019" max="11019" width="15.33203125" customWidth="1"/>
    <col min="11020" max="11020" width="16.5" customWidth="1"/>
    <col min="11021" max="11021" width="5" customWidth="1"/>
    <col min="11022" max="11264" width="9.1640625" customWidth="1"/>
    <col min="11265" max="11265" width="5" customWidth="1"/>
    <col min="11266" max="11266" width="10" customWidth="1"/>
    <col min="11267" max="11267" width="18.5" customWidth="1"/>
    <col min="11268" max="11268" width="9.1640625" customWidth="1"/>
    <col min="11269" max="11269" width="6" customWidth="1"/>
    <col min="11270" max="11270" width="16.33203125" customWidth="1"/>
    <col min="11271" max="11271" width="9.83203125" customWidth="1"/>
    <col min="11272" max="11272" width="8.83203125" customWidth="1"/>
    <col min="11273" max="11273" width="10.83203125" customWidth="1"/>
    <col min="11274" max="11274" width="14.1640625" customWidth="1"/>
    <col min="11275" max="11275" width="15.33203125" customWidth="1"/>
    <col min="11276" max="11276" width="16.5" customWidth="1"/>
    <col min="11277" max="11277" width="5" customWidth="1"/>
    <col min="11278" max="11520" width="9.1640625" customWidth="1"/>
    <col min="11521" max="11521" width="5" customWidth="1"/>
    <col min="11522" max="11522" width="10" customWidth="1"/>
    <col min="11523" max="11523" width="18.5" customWidth="1"/>
    <col min="11524" max="11524" width="9.1640625" customWidth="1"/>
    <col min="11525" max="11525" width="6" customWidth="1"/>
    <col min="11526" max="11526" width="16.33203125" customWidth="1"/>
    <col min="11527" max="11527" width="9.83203125" customWidth="1"/>
    <col min="11528" max="11528" width="8.83203125" customWidth="1"/>
    <col min="11529" max="11529" width="10.83203125" customWidth="1"/>
    <col min="11530" max="11530" width="14.1640625" customWidth="1"/>
    <col min="11531" max="11531" width="15.33203125" customWidth="1"/>
    <col min="11532" max="11532" width="16.5" customWidth="1"/>
    <col min="11533" max="11533" width="5" customWidth="1"/>
    <col min="11534" max="11776" width="9.1640625" customWidth="1"/>
    <col min="11777" max="11777" width="5" customWidth="1"/>
    <col min="11778" max="11778" width="10" customWidth="1"/>
    <col min="11779" max="11779" width="18.5" customWidth="1"/>
    <col min="11780" max="11780" width="9.1640625" customWidth="1"/>
    <col min="11781" max="11781" width="6" customWidth="1"/>
    <col min="11782" max="11782" width="16.33203125" customWidth="1"/>
    <col min="11783" max="11783" width="9.83203125" customWidth="1"/>
    <col min="11784" max="11784" width="8.83203125" customWidth="1"/>
    <col min="11785" max="11785" width="10.83203125" customWidth="1"/>
    <col min="11786" max="11786" width="14.1640625" customWidth="1"/>
    <col min="11787" max="11787" width="15.33203125" customWidth="1"/>
    <col min="11788" max="11788" width="16.5" customWidth="1"/>
    <col min="11789" max="11789" width="5" customWidth="1"/>
    <col min="11790" max="12032" width="9.1640625" customWidth="1"/>
    <col min="12033" max="12033" width="5" customWidth="1"/>
    <col min="12034" max="12034" width="10" customWidth="1"/>
    <col min="12035" max="12035" width="18.5" customWidth="1"/>
    <col min="12036" max="12036" width="9.1640625" customWidth="1"/>
    <col min="12037" max="12037" width="6" customWidth="1"/>
    <col min="12038" max="12038" width="16.33203125" customWidth="1"/>
    <col min="12039" max="12039" width="9.83203125" customWidth="1"/>
    <col min="12040" max="12040" width="8.83203125" customWidth="1"/>
    <col min="12041" max="12041" width="10.83203125" customWidth="1"/>
    <col min="12042" max="12042" width="14.1640625" customWidth="1"/>
    <col min="12043" max="12043" width="15.33203125" customWidth="1"/>
    <col min="12044" max="12044" width="16.5" customWidth="1"/>
    <col min="12045" max="12045" width="5" customWidth="1"/>
    <col min="12046" max="12288" width="9.1640625" customWidth="1"/>
    <col min="12289" max="12289" width="5" customWidth="1"/>
    <col min="12290" max="12290" width="10" customWidth="1"/>
    <col min="12291" max="12291" width="18.5" customWidth="1"/>
    <col min="12292" max="12292" width="9.1640625" customWidth="1"/>
    <col min="12293" max="12293" width="6" customWidth="1"/>
    <col min="12294" max="12294" width="16.33203125" customWidth="1"/>
    <col min="12295" max="12295" width="9.83203125" customWidth="1"/>
    <col min="12296" max="12296" width="8.83203125" customWidth="1"/>
    <col min="12297" max="12297" width="10.83203125" customWidth="1"/>
    <col min="12298" max="12298" width="14.1640625" customWidth="1"/>
    <col min="12299" max="12299" width="15.33203125" customWidth="1"/>
    <col min="12300" max="12300" width="16.5" customWidth="1"/>
    <col min="12301" max="12301" width="5" customWidth="1"/>
    <col min="12302" max="12544" width="9.1640625" customWidth="1"/>
    <col min="12545" max="12545" width="5" customWidth="1"/>
    <col min="12546" max="12546" width="10" customWidth="1"/>
    <col min="12547" max="12547" width="18.5" customWidth="1"/>
    <col min="12548" max="12548" width="9.1640625" customWidth="1"/>
    <col min="12549" max="12549" width="6" customWidth="1"/>
    <col min="12550" max="12550" width="16.33203125" customWidth="1"/>
    <col min="12551" max="12551" width="9.83203125" customWidth="1"/>
    <col min="12552" max="12552" width="8.83203125" customWidth="1"/>
    <col min="12553" max="12553" width="10.83203125" customWidth="1"/>
    <col min="12554" max="12554" width="14.1640625" customWidth="1"/>
    <col min="12555" max="12555" width="15.33203125" customWidth="1"/>
    <col min="12556" max="12556" width="16.5" customWidth="1"/>
    <col min="12557" max="12557" width="5" customWidth="1"/>
    <col min="12558" max="12800" width="9.1640625" customWidth="1"/>
    <col min="12801" max="12801" width="5" customWidth="1"/>
    <col min="12802" max="12802" width="10" customWidth="1"/>
    <col min="12803" max="12803" width="18.5" customWidth="1"/>
    <col min="12804" max="12804" width="9.1640625" customWidth="1"/>
    <col min="12805" max="12805" width="6" customWidth="1"/>
    <col min="12806" max="12806" width="16.33203125" customWidth="1"/>
    <col min="12807" max="12807" width="9.83203125" customWidth="1"/>
    <col min="12808" max="12808" width="8.83203125" customWidth="1"/>
    <col min="12809" max="12809" width="10.83203125" customWidth="1"/>
    <col min="12810" max="12810" width="14.1640625" customWidth="1"/>
    <col min="12811" max="12811" width="15.33203125" customWidth="1"/>
    <col min="12812" max="12812" width="16.5" customWidth="1"/>
    <col min="12813" max="12813" width="5" customWidth="1"/>
    <col min="12814" max="13056" width="9.1640625" customWidth="1"/>
    <col min="13057" max="13057" width="5" customWidth="1"/>
    <col min="13058" max="13058" width="10" customWidth="1"/>
    <col min="13059" max="13059" width="18.5" customWidth="1"/>
    <col min="13060" max="13060" width="9.1640625" customWidth="1"/>
    <col min="13061" max="13061" width="6" customWidth="1"/>
    <col min="13062" max="13062" width="16.33203125" customWidth="1"/>
    <col min="13063" max="13063" width="9.83203125" customWidth="1"/>
    <col min="13064" max="13064" width="8.83203125" customWidth="1"/>
    <col min="13065" max="13065" width="10.83203125" customWidth="1"/>
    <col min="13066" max="13066" width="14.1640625" customWidth="1"/>
    <col min="13067" max="13067" width="15.33203125" customWidth="1"/>
    <col min="13068" max="13068" width="16.5" customWidth="1"/>
    <col min="13069" max="13069" width="5" customWidth="1"/>
    <col min="13070" max="13312" width="9.1640625" customWidth="1"/>
    <col min="13313" max="13313" width="5" customWidth="1"/>
    <col min="13314" max="13314" width="10" customWidth="1"/>
    <col min="13315" max="13315" width="18.5" customWidth="1"/>
    <col min="13316" max="13316" width="9.1640625" customWidth="1"/>
    <col min="13317" max="13317" width="6" customWidth="1"/>
    <col min="13318" max="13318" width="16.33203125" customWidth="1"/>
    <col min="13319" max="13319" width="9.83203125" customWidth="1"/>
    <col min="13320" max="13320" width="8.83203125" customWidth="1"/>
    <col min="13321" max="13321" width="10.83203125" customWidth="1"/>
    <col min="13322" max="13322" width="14.1640625" customWidth="1"/>
    <col min="13323" max="13323" width="15.33203125" customWidth="1"/>
    <col min="13324" max="13324" width="16.5" customWidth="1"/>
    <col min="13325" max="13325" width="5" customWidth="1"/>
    <col min="13326" max="13568" width="9.1640625" customWidth="1"/>
    <col min="13569" max="13569" width="5" customWidth="1"/>
    <col min="13570" max="13570" width="10" customWidth="1"/>
    <col min="13571" max="13571" width="18.5" customWidth="1"/>
    <col min="13572" max="13572" width="9.1640625" customWidth="1"/>
    <col min="13573" max="13573" width="6" customWidth="1"/>
    <col min="13574" max="13574" width="16.33203125" customWidth="1"/>
    <col min="13575" max="13575" width="9.83203125" customWidth="1"/>
    <col min="13576" max="13576" width="8.83203125" customWidth="1"/>
    <col min="13577" max="13577" width="10.83203125" customWidth="1"/>
    <col min="13578" max="13578" width="14.1640625" customWidth="1"/>
    <col min="13579" max="13579" width="15.33203125" customWidth="1"/>
    <col min="13580" max="13580" width="16.5" customWidth="1"/>
    <col min="13581" max="13581" width="5" customWidth="1"/>
    <col min="13582" max="13824" width="9.1640625" customWidth="1"/>
    <col min="13825" max="13825" width="5" customWidth="1"/>
    <col min="13826" max="13826" width="10" customWidth="1"/>
    <col min="13827" max="13827" width="18.5" customWidth="1"/>
    <col min="13828" max="13828" width="9.1640625" customWidth="1"/>
    <col min="13829" max="13829" width="6" customWidth="1"/>
    <col min="13830" max="13830" width="16.33203125" customWidth="1"/>
    <col min="13831" max="13831" width="9.83203125" customWidth="1"/>
    <col min="13832" max="13832" width="8.83203125" customWidth="1"/>
    <col min="13833" max="13833" width="10.83203125" customWidth="1"/>
    <col min="13834" max="13834" width="14.1640625" customWidth="1"/>
    <col min="13835" max="13835" width="15.33203125" customWidth="1"/>
    <col min="13836" max="13836" width="16.5" customWidth="1"/>
    <col min="13837" max="13837" width="5" customWidth="1"/>
    <col min="13838" max="14080" width="9.1640625" customWidth="1"/>
    <col min="14081" max="14081" width="5" customWidth="1"/>
    <col min="14082" max="14082" width="10" customWidth="1"/>
    <col min="14083" max="14083" width="18.5" customWidth="1"/>
    <col min="14084" max="14084" width="9.1640625" customWidth="1"/>
    <col min="14085" max="14085" width="6" customWidth="1"/>
    <col min="14086" max="14086" width="16.33203125" customWidth="1"/>
    <col min="14087" max="14087" width="9.83203125" customWidth="1"/>
    <col min="14088" max="14088" width="8.83203125" customWidth="1"/>
    <col min="14089" max="14089" width="10.83203125" customWidth="1"/>
    <col min="14090" max="14090" width="14.1640625" customWidth="1"/>
    <col min="14091" max="14091" width="15.33203125" customWidth="1"/>
    <col min="14092" max="14092" width="16.5" customWidth="1"/>
    <col min="14093" max="14093" width="5" customWidth="1"/>
    <col min="14094" max="14336" width="9.1640625" customWidth="1"/>
    <col min="14337" max="14337" width="5" customWidth="1"/>
    <col min="14338" max="14338" width="10" customWidth="1"/>
    <col min="14339" max="14339" width="18.5" customWidth="1"/>
    <col min="14340" max="14340" width="9.1640625" customWidth="1"/>
    <col min="14341" max="14341" width="6" customWidth="1"/>
    <col min="14342" max="14342" width="16.33203125" customWidth="1"/>
    <col min="14343" max="14343" width="9.83203125" customWidth="1"/>
    <col min="14344" max="14344" width="8.83203125" customWidth="1"/>
    <col min="14345" max="14345" width="10.83203125" customWidth="1"/>
    <col min="14346" max="14346" width="14.1640625" customWidth="1"/>
    <col min="14347" max="14347" width="15.33203125" customWidth="1"/>
    <col min="14348" max="14348" width="16.5" customWidth="1"/>
    <col min="14349" max="14349" width="5" customWidth="1"/>
    <col min="14350" max="14592" width="9.1640625" customWidth="1"/>
    <col min="14593" max="14593" width="5" customWidth="1"/>
    <col min="14594" max="14594" width="10" customWidth="1"/>
    <col min="14595" max="14595" width="18.5" customWidth="1"/>
    <col min="14596" max="14596" width="9.1640625" customWidth="1"/>
    <col min="14597" max="14597" width="6" customWidth="1"/>
    <col min="14598" max="14598" width="16.33203125" customWidth="1"/>
    <col min="14599" max="14599" width="9.83203125" customWidth="1"/>
    <col min="14600" max="14600" width="8.83203125" customWidth="1"/>
    <col min="14601" max="14601" width="10.83203125" customWidth="1"/>
    <col min="14602" max="14602" width="14.1640625" customWidth="1"/>
    <col min="14603" max="14603" width="15.33203125" customWidth="1"/>
    <col min="14604" max="14604" width="16.5" customWidth="1"/>
    <col min="14605" max="14605" width="5" customWidth="1"/>
    <col min="14606" max="14848" width="9.1640625" customWidth="1"/>
    <col min="14849" max="14849" width="5" customWidth="1"/>
    <col min="14850" max="14850" width="10" customWidth="1"/>
    <col min="14851" max="14851" width="18.5" customWidth="1"/>
    <col min="14852" max="14852" width="9.1640625" customWidth="1"/>
    <col min="14853" max="14853" width="6" customWidth="1"/>
    <col min="14854" max="14854" width="16.33203125" customWidth="1"/>
    <col min="14855" max="14855" width="9.83203125" customWidth="1"/>
    <col min="14856" max="14856" width="8.83203125" customWidth="1"/>
    <col min="14857" max="14857" width="10.83203125" customWidth="1"/>
    <col min="14858" max="14858" width="14.1640625" customWidth="1"/>
    <col min="14859" max="14859" width="15.33203125" customWidth="1"/>
    <col min="14860" max="14860" width="16.5" customWidth="1"/>
    <col min="14861" max="14861" width="5" customWidth="1"/>
    <col min="14862" max="15104" width="9.1640625" customWidth="1"/>
    <col min="15105" max="15105" width="5" customWidth="1"/>
    <col min="15106" max="15106" width="10" customWidth="1"/>
    <col min="15107" max="15107" width="18.5" customWidth="1"/>
    <col min="15108" max="15108" width="9.1640625" customWidth="1"/>
    <col min="15109" max="15109" width="6" customWidth="1"/>
    <col min="15110" max="15110" width="16.33203125" customWidth="1"/>
    <col min="15111" max="15111" width="9.83203125" customWidth="1"/>
    <col min="15112" max="15112" width="8.83203125" customWidth="1"/>
    <col min="15113" max="15113" width="10.83203125" customWidth="1"/>
    <col min="15114" max="15114" width="14.1640625" customWidth="1"/>
    <col min="15115" max="15115" width="15.33203125" customWidth="1"/>
    <col min="15116" max="15116" width="16.5" customWidth="1"/>
    <col min="15117" max="15117" width="5" customWidth="1"/>
    <col min="15118" max="15360" width="9.1640625" customWidth="1"/>
    <col min="15361" max="15361" width="5" customWidth="1"/>
    <col min="15362" max="15362" width="10" customWidth="1"/>
    <col min="15363" max="15363" width="18.5" customWidth="1"/>
    <col min="15364" max="15364" width="9.1640625" customWidth="1"/>
    <col min="15365" max="15365" width="6" customWidth="1"/>
    <col min="15366" max="15366" width="16.33203125" customWidth="1"/>
    <col min="15367" max="15367" width="9.83203125" customWidth="1"/>
    <col min="15368" max="15368" width="8.83203125" customWidth="1"/>
    <col min="15369" max="15369" width="10.83203125" customWidth="1"/>
    <col min="15370" max="15370" width="14.1640625" customWidth="1"/>
    <col min="15371" max="15371" width="15.33203125" customWidth="1"/>
    <col min="15372" max="15372" width="16.5" customWidth="1"/>
    <col min="15373" max="15373" width="5" customWidth="1"/>
    <col min="15374" max="15616" width="9.1640625" customWidth="1"/>
    <col min="15617" max="15617" width="5" customWidth="1"/>
    <col min="15618" max="15618" width="10" customWidth="1"/>
    <col min="15619" max="15619" width="18.5" customWidth="1"/>
    <col min="15620" max="15620" width="9.1640625" customWidth="1"/>
    <col min="15621" max="15621" width="6" customWidth="1"/>
    <col min="15622" max="15622" width="16.33203125" customWidth="1"/>
    <col min="15623" max="15623" width="9.83203125" customWidth="1"/>
    <col min="15624" max="15624" width="8.83203125" customWidth="1"/>
    <col min="15625" max="15625" width="10.83203125" customWidth="1"/>
    <col min="15626" max="15626" width="14.1640625" customWidth="1"/>
    <col min="15627" max="15627" width="15.33203125" customWidth="1"/>
    <col min="15628" max="15628" width="16.5" customWidth="1"/>
    <col min="15629" max="15629" width="5" customWidth="1"/>
    <col min="15630" max="15872" width="9.1640625" customWidth="1"/>
    <col min="15873" max="15873" width="5" customWidth="1"/>
    <col min="15874" max="15874" width="10" customWidth="1"/>
    <col min="15875" max="15875" width="18.5" customWidth="1"/>
    <col min="15876" max="15876" width="9.1640625" customWidth="1"/>
    <col min="15877" max="15877" width="6" customWidth="1"/>
    <col min="15878" max="15878" width="16.33203125" customWidth="1"/>
    <col min="15879" max="15879" width="9.83203125" customWidth="1"/>
    <col min="15880" max="15880" width="8.83203125" customWidth="1"/>
    <col min="15881" max="15881" width="10.83203125" customWidth="1"/>
    <col min="15882" max="15882" width="14.1640625" customWidth="1"/>
    <col min="15883" max="15883" width="15.33203125" customWidth="1"/>
    <col min="15884" max="15884" width="16.5" customWidth="1"/>
    <col min="15885" max="15885" width="5" customWidth="1"/>
    <col min="15886" max="16128" width="9.1640625" customWidth="1"/>
    <col min="16129" max="16129" width="5" customWidth="1"/>
    <col min="16130" max="16130" width="10" customWidth="1"/>
    <col min="16131" max="16131" width="18.5" customWidth="1"/>
    <col min="16132" max="16132" width="9.1640625" customWidth="1"/>
    <col min="16133" max="16133" width="6" customWidth="1"/>
    <col min="16134" max="16134" width="16.33203125" customWidth="1"/>
    <col min="16135" max="16135" width="9.83203125" customWidth="1"/>
    <col min="16136" max="16136" width="8.83203125" customWidth="1"/>
    <col min="16137" max="16137" width="10.83203125" customWidth="1"/>
    <col min="16138" max="16138" width="14.1640625" customWidth="1"/>
    <col min="16139" max="16139" width="15.33203125" customWidth="1"/>
    <col min="16140" max="16140" width="16.5" customWidth="1"/>
    <col min="16141" max="16141" width="5" customWidth="1"/>
    <col min="16142" max="16142" width="10.83203125" style="2" customWidth="1" collapsed="1"/>
    <col min="16143" max="16143" width="10.83203125" style="2" customWidth="1"/>
    <col min="16144" max="16146" width="10.83203125" style="2" customWidth="1" collapsed="1"/>
    <col min="16147" max="16147" width="10.83203125" style="2" customWidth="1"/>
    <col min="16148" max="16148" width="10.83203125" style="2" customWidth="1" collapsed="1"/>
    <col min="16149" max="16150" width="10.83203125" style="2" customWidth="1"/>
    <col min="16151" max="16151" width="10.83203125" style="2" customWidth="1" collapsed="1"/>
    <col min="16152" max="16384" width="0" style="2" hidden="1" outlineLevel="1"/>
  </cols>
  <sheetData>
    <row r="1" spans="1:23"/>
    <row r="2" spans="1:23" ht="16" thickBot="1">
      <c r="A2" s="1"/>
      <c r="B2" s="1"/>
      <c r="C2" s="1"/>
      <c r="D2" s="1"/>
      <c r="E2" s="1"/>
      <c r="F2" s="1"/>
      <c r="G2" s="1"/>
      <c r="H2" s="1"/>
      <c r="I2" s="1"/>
      <c r="J2" s="1"/>
      <c r="K2" s="1"/>
      <c r="L2" s="1"/>
    </row>
    <row r="3" spans="1:23" ht="12.75" customHeight="1" thickTop="1" thickBot="1">
      <c r="A3" s="1"/>
      <c r="B3" s="379" t="s">
        <v>0</v>
      </c>
      <c r="C3" s="379"/>
      <c r="D3" s="379"/>
      <c r="E3" s="379"/>
      <c r="F3" s="379"/>
      <c r="G3" s="379"/>
      <c r="H3" s="3"/>
      <c r="I3" s="3"/>
      <c r="J3" s="4"/>
      <c r="K3" s="1"/>
      <c r="L3" s="5" t="s">
        <v>1</v>
      </c>
      <c r="N3" s="87" t="s">
        <v>1742</v>
      </c>
      <c r="O3" s="304"/>
      <c r="P3" s="88" t="s">
        <v>1743</v>
      </c>
      <c r="Q3" s="83"/>
      <c r="R3" s="346" t="s">
        <v>1746</v>
      </c>
      <c r="S3" s="48"/>
      <c r="T3" s="48"/>
      <c r="U3" s="48"/>
      <c r="V3" s="48"/>
      <c r="W3" s="48"/>
    </row>
    <row r="4" spans="1:23" ht="16" thickTop="1">
      <c r="A4" s="1"/>
      <c r="B4" s="379"/>
      <c r="C4" s="379"/>
      <c r="D4" s="379"/>
      <c r="E4" s="379"/>
      <c r="F4" s="379"/>
      <c r="G4" s="379"/>
      <c r="H4" s="3"/>
      <c r="J4" s="4"/>
      <c r="K4" s="7"/>
      <c r="L4" s="6"/>
      <c r="N4" s="89"/>
      <c r="O4" s="84"/>
      <c r="P4" s="90"/>
      <c r="Q4" s="48"/>
      <c r="R4" s="48"/>
      <c r="S4" s="48"/>
      <c r="T4" s="48"/>
      <c r="U4" s="48"/>
      <c r="V4" s="48"/>
      <c r="W4" s="48"/>
    </row>
    <row r="5" spans="1:23">
      <c r="A5" s="1"/>
      <c r="B5" s="379"/>
      <c r="C5" s="379"/>
      <c r="D5" s="379"/>
      <c r="E5" s="379"/>
      <c r="F5" s="379"/>
      <c r="G5" s="379"/>
      <c r="H5" s="3"/>
      <c r="I5" s="3"/>
      <c r="J5" s="1"/>
      <c r="K5" s="1"/>
      <c r="L5" s="7"/>
      <c r="N5" s="91" t="s">
        <v>1277</v>
      </c>
      <c r="O5" s="296" t="str">
        <f ca="1">IFERROR(L16&amp;" "&amp;TEXT(IF(N13="DISPLAY TAX",ROUND(SUM(L70:L71)/O10,2),ROUND(L68/O10,2)),"#,##0.00"),"")</f>
        <v>GH₵ 19,024.35</v>
      </c>
      <c r="P5" s="92"/>
      <c r="Q5" s="339" t="s">
        <v>1830</v>
      </c>
      <c r="R5" s="340">
        <f>O10*R7*R15</f>
        <v>497199.99999999994</v>
      </c>
      <c r="S5" s="48"/>
      <c r="T5" s="48"/>
      <c r="U5" s="48"/>
      <c r="V5" s="48"/>
      <c r="W5" s="48"/>
    </row>
    <row r="6" spans="1:23" ht="24.75" customHeight="1">
      <c r="A6" s="1"/>
      <c r="B6" s="379"/>
      <c r="C6" s="379"/>
      <c r="D6" s="379"/>
      <c r="E6" s="379"/>
      <c r="F6" s="379"/>
      <c r="G6" s="379"/>
      <c r="H6" s="3"/>
      <c r="I6" s="3"/>
      <c r="J6" s="1"/>
      <c r="K6" s="1"/>
      <c r="L6" s="1"/>
      <c r="N6" s="91" t="s">
        <v>1243</v>
      </c>
      <c r="O6" s="301">
        <v>16.7</v>
      </c>
      <c r="P6" s="92"/>
      <c r="Q6" s="339" t="s">
        <v>1836</v>
      </c>
      <c r="R6" s="48">
        <f ca="1">IF(COUNTIF(C19:C54,"*"&amp;"Lithium Battery"&amp;"*")&gt;0,VLOOKUP(T6,T6:U9,2,0),IF(COUNTIF(C19:C54,"*"&amp;"Hoppecke"&amp;"*")&gt;0,VLOOKUP(T7,T6:U9,2,0),IF(COUNTIF(C19:C54,"*"&amp;"Victron 12"&amp;"*")&gt;0,VLOOKUP(T8,T6:U9,2,0),IF(COUNTIF(C19:C54,"*"&amp;"Victron 6"&amp;"*")&gt;0,VLOOKUP(T8,T6:U9,2,0),""))))</f>
        <v>20</v>
      </c>
      <c r="S6" s="48"/>
      <c r="T6" s="48" t="s">
        <v>1838</v>
      </c>
      <c r="U6" s="48">
        <v>20</v>
      </c>
      <c r="V6" s="48" t="str">
        <f ca="1">IF(NOW()&gt;V15,"","AUTOMATE")</f>
        <v>AUTOMATE</v>
      </c>
      <c r="W6" s="48"/>
    </row>
    <row r="7" spans="1:23" ht="25.5" customHeight="1" thickBot="1">
      <c r="A7" s="1"/>
      <c r="B7" s="379"/>
      <c r="C7" s="379"/>
      <c r="D7" s="379"/>
      <c r="E7" s="379"/>
      <c r="F7" s="379"/>
      <c r="G7" s="379"/>
      <c r="H7" s="1"/>
      <c r="I7" s="1"/>
      <c r="J7" s="1"/>
      <c r="K7" s="8"/>
      <c r="L7" s="1"/>
      <c r="N7" s="93"/>
      <c r="O7" s="86"/>
      <c r="P7" s="92"/>
      <c r="Q7" s="339" t="s">
        <v>1811</v>
      </c>
      <c r="R7" s="48">
        <v>1100</v>
      </c>
      <c r="S7" s="48"/>
      <c r="T7" s="48" t="s">
        <v>1839</v>
      </c>
      <c r="U7" s="48">
        <v>7</v>
      </c>
      <c r="V7" s="48" t="s">
        <v>2491</v>
      </c>
      <c r="W7" s="48"/>
    </row>
    <row r="8" spans="1:23" ht="12.75" customHeight="1" thickTop="1">
      <c r="A8" s="1"/>
      <c r="B8" s="9"/>
      <c r="C8" s="9"/>
      <c r="D8" s="9"/>
      <c r="E8" s="9"/>
      <c r="F8" s="10"/>
      <c r="G8" s="10"/>
      <c r="H8" s="10"/>
      <c r="I8" s="10"/>
      <c r="J8" s="10"/>
      <c r="K8" s="10"/>
      <c r="L8" s="10"/>
      <c r="N8" s="94" t="s">
        <v>1218</v>
      </c>
      <c r="O8" s="295">
        <f>'Customer Base'!D$14*'Customer Base'!D$15</f>
        <v>5</v>
      </c>
      <c r="P8" s="95" t="s">
        <v>1232</v>
      </c>
      <c r="Q8" s="339" t="s">
        <v>1812</v>
      </c>
      <c r="R8" s="48">
        <f>R7*O10/12</f>
        <v>2071.6666666666665</v>
      </c>
      <c r="S8" s="48"/>
      <c r="T8" s="48" t="s">
        <v>1840</v>
      </c>
      <c r="U8" s="48">
        <v>5</v>
      </c>
      <c r="V8" s="48"/>
      <c r="W8" s="48"/>
    </row>
    <row r="9" spans="1:23" ht="12.75" customHeight="1">
      <c r="A9" s="1"/>
      <c r="B9" s="1"/>
      <c r="C9" s="1"/>
      <c r="D9" s="1"/>
      <c r="E9" s="1"/>
      <c r="F9" s="1"/>
      <c r="G9" s="1"/>
      <c r="H9" s="1"/>
      <c r="I9" s="1"/>
      <c r="J9" s="1"/>
      <c r="K9" s="1"/>
      <c r="L9" s="1"/>
      <c r="N9" s="91" t="s">
        <v>1219</v>
      </c>
      <c r="O9" s="296">
        <f>SUM(Items!AO205:AO236)</f>
        <v>60</v>
      </c>
      <c r="P9" s="96" t="s">
        <v>1233</v>
      </c>
      <c r="Q9" s="339" t="s">
        <v>1831</v>
      </c>
      <c r="R9" s="48"/>
      <c r="S9" s="48"/>
      <c r="T9" s="48"/>
      <c r="U9" s="48"/>
      <c r="V9" s="48"/>
      <c r="W9" s="48"/>
    </row>
    <row r="10" spans="1:23" ht="13.5" customHeight="1" thickBot="1">
      <c r="A10" s="1"/>
      <c r="B10" s="1"/>
      <c r="C10" s="1"/>
      <c r="D10" s="4"/>
      <c r="E10" s="1"/>
      <c r="F10" s="1"/>
      <c r="G10" s="1"/>
      <c r="H10" s="1"/>
      <c r="I10" s="1"/>
      <c r="J10" s="1"/>
      <c r="K10" s="1"/>
      <c r="L10" s="1"/>
      <c r="N10" s="97" t="s">
        <v>1220</v>
      </c>
      <c r="O10" s="297">
        <f>SUM(Items!AO242:AO254)</f>
        <v>22.599999999999998</v>
      </c>
      <c r="P10" s="98" t="s">
        <v>1234</v>
      </c>
      <c r="Q10" s="339" t="s">
        <v>1833</v>
      </c>
      <c r="R10" s="341">
        <f ca="1">IFERROR(R8*12*R9*(1+R13)*((POWER((1+R13),R6)-1)/R13),"")</f>
        <v>0</v>
      </c>
      <c r="S10" s="48"/>
      <c r="T10" s="48"/>
      <c r="U10" s="48"/>
      <c r="V10" s="48"/>
      <c r="W10" s="48"/>
    </row>
    <row r="11" spans="1:23" ht="13.5" customHeight="1" thickBot="1">
      <c r="A11" s="1"/>
      <c r="B11" s="11" t="s">
        <v>2</v>
      </c>
      <c r="C11" s="12"/>
      <c r="D11" s="305"/>
      <c r="E11" s="305"/>
      <c r="F11" s="305"/>
      <c r="G11" s="305"/>
      <c r="H11" s="306"/>
      <c r="I11" s="13"/>
      <c r="J11" s="13"/>
      <c r="K11" s="11" t="s">
        <v>3</v>
      </c>
      <c r="L11" s="14"/>
      <c r="N11" s="99"/>
      <c r="O11" s="85"/>
      <c r="P11" s="100"/>
      <c r="Q11" s="48" t="s">
        <v>1832</v>
      </c>
      <c r="R11" s="341">
        <f>IFERROR(R9*R5,"")</f>
        <v>0</v>
      </c>
      <c r="S11" s="48"/>
      <c r="T11" s="48"/>
      <c r="U11" s="48"/>
      <c r="V11" s="48"/>
      <c r="W11" s="48"/>
    </row>
    <row r="12" spans="1:23" ht="6" customHeight="1">
      <c r="A12" s="1"/>
      <c r="B12" s="13"/>
      <c r="C12" s="13"/>
      <c r="D12" s="13"/>
      <c r="E12" s="13"/>
      <c r="F12" s="13"/>
      <c r="G12" s="13"/>
      <c r="H12" s="15"/>
      <c r="I12" s="13"/>
      <c r="J12" s="13"/>
      <c r="K12" s="13"/>
      <c r="L12" s="15"/>
      <c r="N12" s="93"/>
      <c r="O12" s="86"/>
      <c r="P12" s="92"/>
      <c r="Q12" s="48"/>
      <c r="R12" s="48"/>
      <c r="S12" s="48"/>
      <c r="T12" s="48"/>
      <c r="U12" s="48"/>
      <c r="V12" s="48"/>
      <c r="W12" s="48"/>
    </row>
    <row r="13" spans="1:23">
      <c r="A13" s="1"/>
      <c r="B13" s="13" t="s">
        <v>4</v>
      </c>
      <c r="C13" s="46" t="s">
        <v>2845</v>
      </c>
      <c r="D13" s="307"/>
      <c r="E13" s="307"/>
      <c r="F13" s="307"/>
      <c r="G13" s="307"/>
      <c r="H13" s="15"/>
      <c r="I13" s="13"/>
      <c r="J13" s="13"/>
      <c r="K13" s="13" t="s">
        <v>5</v>
      </c>
      <c r="L13" s="40">
        <f ca="1">NOW()</f>
        <v>45610.320045023145</v>
      </c>
      <c r="N13" s="302" t="s">
        <v>1466</v>
      </c>
      <c r="O13" s="86"/>
      <c r="P13" s="92"/>
      <c r="Q13" s="48" t="s">
        <v>1834</v>
      </c>
      <c r="R13" s="342">
        <v>0.1</v>
      </c>
      <c r="S13" s="48"/>
      <c r="T13" s="48"/>
      <c r="U13" s="48"/>
      <c r="V13" s="343"/>
      <c r="W13" s="48"/>
    </row>
    <row r="14" spans="1:23">
      <c r="A14" s="1"/>
      <c r="B14" s="13" t="s">
        <v>6</v>
      </c>
      <c r="C14" s="45" t="str">
        <f>IFERROR(VLOOKUP(C13,'Client List'!B:E,2,0),"")</f>
        <v>Teiman</v>
      </c>
      <c r="D14" s="308"/>
      <c r="E14" s="308"/>
      <c r="F14" s="308"/>
      <c r="G14" s="308"/>
      <c r="H14" s="15"/>
      <c r="I14" s="13"/>
      <c r="J14" s="13"/>
      <c r="K14" s="13" t="s">
        <v>7</v>
      </c>
      <c r="L14" s="16" t="str">
        <f ca="1">IFERROR("TSL-"&amp;VLOOKUP(C13,'Client List'!B2:F1011,5,0)&amp;"-"&amp;TEXT(NOW(),"dd")&amp;TEXT(NOW(),"mm")&amp;TEXT(NOW(),"yy")&amp;IF(SUM(MID(0&amp;MID(CELL("filename",A1),FIND("]",CELL("filename",A1))+1,256),LARGE(INDEX(ISNUMBER(--MID(MID(CELL("filename",A1),FIND("]",CELL("filename",A1))+1,256),ROW($1:$115),1))*ROW($1:$115),),ROW($1:$115))+1,1)*10^ROW($1:$115)/10)=0,"","-")&amp;IF(SUM(MID(0&amp;MID(CELL("filename",A1),FIND("]",CELL("filename",A1))+1,256),LARGE(INDEX(ISNUMBER(--MID(MID(CELL("filename",A1),FIND("]",CELL("filename",A1))+1,256),ROW($1:$115),1))*ROW($1:$115),),ROW($1:$115))+1,1)*10^ROW($1:$115)/10)=0,"",SUM(MID(0&amp;MID(CELL("filename",A1),FIND("]",CELL("filename",A1))+1,256),LARGE(INDEX(ISNUMBER(--MID(MID(CELL("filename",A1),FIND("]",CELL("filename",A1))+1,256),ROW($1:$115),1))*ROW($1:$115),),ROW($1:$115))+1,1)*10^ROW($1:$115)/10)),"")</f>
        <v>TSL-A-141124</v>
      </c>
      <c r="N14" s="101"/>
      <c r="O14" s="84"/>
      <c r="P14" s="90"/>
      <c r="Q14" s="48" t="s">
        <v>1835</v>
      </c>
      <c r="R14" s="341">
        <f ca="1">IFERROR(ROUNDDOWN((R16/(R8*12*R9)),0)&amp;" YEARS, "&amp;ROUNDUP(((R16/(R8*12*R9))-ROUNDDOWN((R16/(R8*12*R9)),0))*12,0)&amp;" MONTHS",0)</f>
        <v>0</v>
      </c>
      <c r="S14" s="48"/>
      <c r="T14" s="48">
        <f ca="1">IFERROR(VLOOKUP("*"&amp;"Lithium Battery"&amp;"*",C20:L67,10,FALSE),IFERROR(VLOOKUP("*"&amp;"Hoppecke"&amp;"*",C20:L67,10,FALSE),IFERROR(VLOOKUP("*"&amp;"Victron 12"&amp;"*",C20:L67,10,FALSE),IFERROR(VLOOKUP("*"&amp;"Victron 6"&amp;"*",C20:L67,10,FALSE),1))))</f>
        <v>187001.76</v>
      </c>
      <c r="U14" s="48"/>
      <c r="V14" s="343"/>
      <c r="W14" s="48"/>
    </row>
    <row r="15" spans="1:23">
      <c r="A15" s="1"/>
      <c r="B15" s="13" t="s">
        <v>8</v>
      </c>
      <c r="C15" s="45" t="str">
        <f>IFERROR(VLOOKUP(C13,'Client List'!B:E,3,0),"")</f>
        <v>Accra</v>
      </c>
      <c r="D15" s="308"/>
      <c r="E15" s="308"/>
      <c r="F15" s="308"/>
      <c r="G15" s="308"/>
      <c r="H15" s="15"/>
      <c r="I15" s="13"/>
      <c r="J15" s="13"/>
      <c r="K15" s="13" t="s">
        <v>9</v>
      </c>
      <c r="L15" s="16"/>
      <c r="N15" s="91"/>
      <c r="O15" s="86"/>
      <c r="P15" s="92"/>
      <c r="Q15" s="48" t="s">
        <v>1829</v>
      </c>
      <c r="R15" s="344">
        <v>20</v>
      </c>
      <c r="S15" s="48"/>
      <c r="T15" s="48"/>
      <c r="U15" s="48"/>
      <c r="V15" s="347">
        <f>DATE(2025,2,1)</f>
        <v>45689</v>
      </c>
      <c r="W15" s="48"/>
    </row>
    <row r="16" spans="1:23">
      <c r="A16" s="1"/>
      <c r="B16" s="13" t="s">
        <v>1730</v>
      </c>
      <c r="C16" s="46" t="str">
        <f>IFERROR(IF(AND(VLOOKUP(C13,'Client List'!B:E,4,0)=0,VLOOKUP(C13,'Client List'!B:H,7,0)=0),"",VLOOKUP(C13,'Client List'!B:E,4,0)&amp;"  "&amp;VLOOKUP(C13,'Client List'!B:H,7,0)),"")</f>
        <v/>
      </c>
      <c r="D16" s="309"/>
      <c r="E16" s="309"/>
      <c r="F16" s="309"/>
      <c r="G16" s="309"/>
      <c r="H16" s="15"/>
      <c r="I16" s="13"/>
      <c r="J16" s="13"/>
      <c r="K16" s="13" t="s">
        <v>10</v>
      </c>
      <c r="L16" s="16" t="s">
        <v>19</v>
      </c>
      <c r="N16" s="302" t="s">
        <v>2844</v>
      </c>
      <c r="O16" s="102" t="s">
        <v>992</v>
      </c>
      <c r="P16" s="303"/>
      <c r="Q16" s="48" t="s">
        <v>1837</v>
      </c>
      <c r="R16" s="345">
        <f ca="1">IF(L71="",L68,ROUND(SUM(L70:L71),2))+((IF(R6="",1,R15)/IF(R6="",1,R6))-1)*T14</f>
        <v>429950.32</v>
      </c>
      <c r="S16" s="48"/>
      <c r="T16" s="344">
        <f ca="1">((IF(R6="",1,R15)/(IF(R6="",1,R6)))-1)*T14</f>
        <v>0</v>
      </c>
      <c r="U16" s="48"/>
      <c r="V16" s="48"/>
      <c r="W16" s="48"/>
    </row>
    <row r="17" spans="1:120 16136:16141">
      <c r="A17" s="1"/>
      <c r="B17" s="13" t="str">
        <f>IF(C17&lt;&gt;"","Attention","")</f>
        <v/>
      </c>
      <c r="C17" s="17" t="str">
        <f>IFERROR(IF(VLOOKUP(C13,'Client List'!B:G,6,0)=0,"",VLOOKUP(C13,'Client List'!B:G,6,0)),"")</f>
        <v/>
      </c>
      <c r="D17" s="17"/>
      <c r="E17" s="17"/>
      <c r="F17" s="17"/>
      <c r="G17" s="17"/>
      <c r="H17" s="13"/>
      <c r="I17" s="13"/>
      <c r="J17" s="13"/>
      <c r="K17" s="13"/>
      <c r="L17" s="13"/>
      <c r="N17" s="93"/>
      <c r="O17" s="86"/>
      <c r="P17" s="92"/>
      <c r="Q17" s="48"/>
      <c r="R17" s="48"/>
      <c r="S17" s="48"/>
      <c r="T17" s="48"/>
      <c r="U17" s="48"/>
      <c r="V17" s="48"/>
      <c r="W17" s="48"/>
    </row>
    <row r="18" spans="1:120 16136:16141">
      <c r="A18" s="1"/>
      <c r="B18" s="18" t="s">
        <v>11</v>
      </c>
      <c r="C18" s="376" t="s">
        <v>12</v>
      </c>
      <c r="D18" s="377"/>
      <c r="E18" s="377"/>
      <c r="F18" s="377"/>
      <c r="G18" s="377"/>
      <c r="H18" s="377"/>
      <c r="I18" s="377"/>
      <c r="J18" s="378"/>
      <c r="K18" s="18" t="s">
        <v>13</v>
      </c>
      <c r="L18" s="19" t="s">
        <v>14</v>
      </c>
      <c r="N18" s="302" t="s">
        <v>801</v>
      </c>
      <c r="O18" s="103" t="s">
        <v>998</v>
      </c>
      <c r="P18" s="303"/>
      <c r="Q18" s="48"/>
      <c r="R18" s="345"/>
      <c r="S18" s="48"/>
      <c r="T18" s="48"/>
      <c r="U18" s="48"/>
      <c r="V18" s="48"/>
      <c r="W18" s="48"/>
    </row>
    <row r="19" spans="1:120 16136:16141" s="76" customFormat="1" ht="15" customHeight="1" thickBot="1">
      <c r="B19" s="79"/>
      <c r="C19" s="401" t="str">
        <f>IF(OR('Customer Base'!D$7="Hybrid",'Customer Base'!D$7="Mini-grid"),'Customer Base'!D$7&amp;" Solar System with "&amp;INVOICE!$O$8&amp;"kVA inverter, ",IF('Customer Base'!D$7="Grid-Tied","Grid-Tied Solar System with "&amp;INVOICE!$O$8&amp;"kVA inverter, ",IF('Customer Base'!D$7="Mini-Grid","Mini-Grid Solar System with ",IF('Customer Base'!D$7="Backup","Backup System with "&amp;INVOICE!$O$8&amp;"kVA inverter, ",""))))&amp;IF(OR('Customer Base'!D$7="Hybrid",'Customer Base'!D$7="Mini-grid"),INVOICE!$O$9&amp;"kWh Battery, ","")&amp;IF('Customer Base'!D$7="Backup","and "&amp;INVOICE!$O$9&amp;"kWh Battery","")&amp;IF(AND(OR('Customer Base'!D19="Lithium",'Customer Base'!D34="Yes"),OR('Customer Base'!D$7="Hybrid",'Customer Base'!D$7="Mini-grid",'Customer Base'!D$7="Grid-Tied")),INVOICE!$O$10&amp;"kWp Solar Panels and Remote Monitoring","")&amp;IF(AND('Customer Base'!D19&lt;&gt;"Lithium",'Customer Base'!D34="No",OR('Customer Base'!D$7="Hybrid",'Customer Base'!D$7="Mini-grid",'Customer Base'!D$7="Grid-Tied")),"and "&amp;INVOICE!$O$10&amp;"kWp Solar Panels","")</f>
        <v>Mini-Grid Solar System with 5kVA inverter, 60kWh Battery, 22.6kWp Solar Panels and Remote Monitoring</v>
      </c>
      <c r="D19" s="364"/>
      <c r="E19" s="364"/>
      <c r="F19" s="364"/>
      <c r="G19" s="364"/>
      <c r="H19" s="364"/>
      <c r="I19" s="364"/>
      <c r="J19" s="364"/>
      <c r="K19" s="363"/>
      <c r="L19" s="283">
        <f>K19*B19</f>
        <v>0</v>
      </c>
      <c r="N19" s="104"/>
      <c r="O19" s="105"/>
      <c r="P19" s="106"/>
      <c r="Q19" s="346"/>
      <c r="R19" s="48"/>
      <c r="S19" s="48"/>
      <c r="T19" s="48"/>
      <c r="U19" s="48"/>
      <c r="V19" s="48"/>
      <c r="W19" s="48"/>
    </row>
    <row r="20" spans="1:120 16136:16141" ht="15.75" customHeight="1" thickTop="1">
      <c r="A20" s="1"/>
      <c r="B20" s="299">
        <f t="array" aca="1" ref="B20" ca="1">IF($N$16="MANUAL",IFERROR(INDEX(Items!B$6:B$678,SMALL(IF(Items!B$6:B$678&lt;&gt;"",ROW(Items!B$6:B$678)-MIN(ROW(Items!B$6:B$678))+1),Items!N6)),""),IF($N$16="AUTOMATE",IFERROR(INDEX(Items!A$6:A$678,SMALL(IF(Items!A$6:A$678&lt;&gt;"",ROW(Items!A$6:A$678)-MIN(ROW(Items!A$6:A$678))+1),Items!N6)),""),""))</f>
        <v>1</v>
      </c>
      <c r="C20" s="284" t="str">
        <f t="array" aca="1" ref="C20" ca="1">IFERROR(INDEX(Items!O:O,SMALL(IF(Items!$O$6:$O$675&lt;&gt;"",ROW(Items!$O$6:$O$675)),Items!N6)),"gdhgf")</f>
        <v>Victron MultiPlus-II 48/5000/70-50 230V</v>
      </c>
      <c r="D20" s="285"/>
      <c r="E20" s="285"/>
      <c r="F20" s="286"/>
      <c r="G20" s="286"/>
      <c r="H20" s="286"/>
      <c r="I20" s="286"/>
      <c r="J20" s="286"/>
      <c r="K20" s="290">
        <f ca="1">IF(N$13="DISPLAY TAX",IF($N$18="Retail",IF($L$16="USD",IF(ISNA(VLOOKUP(C20,Items!C$6:F$597,4,0)),"",(VLOOKUP(C20,Items!C$6:F$597,4,0))),IF($L$16="GH₵",IF(ISNA(VLOOKUP(C20,Items!C$6:G$597,5,0)),"",(VLOOKUP(C20,Items!C$6:G$597,5,0))),"")),IF($N$18="Super Dealer",IF($L$16="USD",IF(ISNA(VLOOKUP(C20,Items!C$6:I$597,6,0)),"",(VLOOKUP(C20,Items!C$6:I$597,6,0))),IF($L$16="GH₵",IF(ISNA(VLOOKUP(C20,Items!C$6:I$597,7,0)),"",(VLOOKUP(C20,Items!C$6:I$597,7,0))),"")),"")),IF(N$13="DO NOT DISPLAY TAX",IF($N$18="Retail",IF($L$16="USD",IF(ISNA(VLOOKUP(C20,Items!C$6:F$597,2,0)),"",(VLOOKUP(C20,Items!C$6:F$597,2,0))),IF($L$16="GH₵",IF(ISNA(VLOOKUP(C20,Items!C$6:G$597,2,0)),"",O$6*(VLOOKUP(C20,Items!C$6:G$597,2,0))),"")),IF($N$18="Super Dealer",IF($L$16="USD",IF(ISNA(VLOOKUP(C20,Items!C$6:I$597,3,0)),"",(VLOOKUP(C20,Items!C$6:I$597,3,0))),IF($L$16="GH₵",IF(ISNA(VLOOKUP(C20,Items!C$6:I$597,3,0)),"",O$6*(VLOOKUP(C20,Items!C$6:I$597,3,0))),"")),"")),""))</f>
        <v>12840.92</v>
      </c>
      <c r="L20" s="287">
        <f ca="1">IFERROR(SUM(B20*K20),"")</f>
        <v>12840.92</v>
      </c>
      <c r="M20" s="50"/>
      <c r="N20" s="80"/>
      <c r="O20" s="81"/>
      <c r="P20" s="76"/>
      <c r="Q20" s="346"/>
      <c r="R20" s="48"/>
      <c r="S20" s="48"/>
      <c r="T20" s="48"/>
      <c r="U20" s="48"/>
      <c r="V20" s="48"/>
      <c r="W20" s="48"/>
    </row>
    <row r="21" spans="1:120 16136:16141" ht="15.75" customHeight="1">
      <c r="A21" s="1"/>
      <c r="B21" s="299">
        <f t="array" aca="1" ref="B21" ca="1">IF($N$16="MANUAL",IFERROR(INDEX(Items!B$6:B$678,SMALL(IF(Items!B$6:B$678&lt;&gt;"",ROW(Items!B$6:B$678)-MIN(ROW(Items!B$6:B$678))+1),Items!N7)),""),IF($N$16="AUTOMATE",IFERROR(INDEX(Items!A$6:A$678,SMALL(IF(Items!A$6:A$678&lt;&gt;"",ROW(Items!A$6:A$678)-MIN(ROW(Items!A$6:A$678))+1),Items!N7)),""),""))</f>
        <v>12</v>
      </c>
      <c r="C21" s="284" t="str">
        <f t="array" aca="1" ref="C21" ca="1">IFERROR(INDEX(Items!O:O,SMALL(IF(Items!$O$6:$O$675&lt;&gt;"",ROW(Items!$O$6:$O$675)),Items!N7)),"")</f>
        <v>BYD LV 5.0KWH Lithium Battery</v>
      </c>
      <c r="D21" s="285"/>
      <c r="E21" s="285"/>
      <c r="F21" s="286"/>
      <c r="G21" s="286"/>
      <c r="H21" s="286"/>
      <c r="I21" s="286"/>
      <c r="J21" s="286"/>
      <c r="K21" s="290">
        <f ca="1">IF(N$13="DISPLAY TAX",IF($N$18="Retail",IF($L$16="USD",IF(ISNA(VLOOKUP(C21,Items!C$6:F$597,4,0)),"",(VLOOKUP(C21,Items!C$6:F$597,4,0))),IF($L$16="GH₵",IF(ISNA(VLOOKUP(C21,Items!C$6:G$597,5,0)),"",(VLOOKUP(C21,Items!C$6:G$597,5,0))),"")),IF($N$18="Super Dealer",IF($L$16="USD",IF(ISNA(VLOOKUP(C21,Items!C$6:I$597,6,0)),"",(VLOOKUP(C21,Items!C$6:I$597,6,0))),IF($L$16="GH₵",IF(ISNA(VLOOKUP(C21,Items!C$6:I$597,7,0)),"",(VLOOKUP(C21,Items!C$6:I$597,7,0))),"")),"")),IF(N$13="DO NOT DISPLAY TAX",IF($N$18="Retail",IF($L$16="USD",IF(ISNA(VLOOKUP(C21,Items!C$6:F$597,2,0)),"",(VLOOKUP(C21,Items!C$6:F$597,2,0))),IF($L$16="GH₵",IF(ISNA(VLOOKUP(C21,Items!C$6:G$597,2,0)),"",O$6*(VLOOKUP(C21,Items!C$6:G$597,2,0))),"")),IF($N$18="Super Dealer",IF($L$16="USD",IF(ISNA(VLOOKUP(C21,Items!C$6:I$597,3,0)),"",(VLOOKUP(C21,Items!C$6:I$597,3,0))),IF($L$16="GH₵",IF(ISNA(VLOOKUP(C21,Items!C$6:I$597,3,0)),"",O$6*(VLOOKUP(C21,Items!C$6:I$597,3,0))),"")),"")),""))</f>
        <v>15583.48</v>
      </c>
      <c r="L21" s="287">
        <f t="shared" ref="L21:L26" ca="1" si="0">IFERROR(SUM(B21*K21),"")</f>
        <v>187001.76</v>
      </c>
      <c r="M21" s="50"/>
      <c r="N21" s="80"/>
      <c r="O21" s="80"/>
      <c r="P21" s="76"/>
      <c r="Q21" s="48"/>
      <c r="R21" s="48"/>
      <c r="S21" s="48"/>
      <c r="T21" s="48"/>
      <c r="U21" s="48"/>
      <c r="V21" s="48"/>
      <c r="W21" s="48"/>
    </row>
    <row r="22" spans="1:120 16136:16141" ht="15.75" customHeight="1">
      <c r="A22" s="1"/>
      <c r="B22" s="299">
        <f t="array" aca="1" ref="B22" ca="1">IF($N$16="MANUAL",IFERROR(INDEX(Items!B$6:B$678,SMALL(IF(Items!B$6:B$678&lt;&gt;"",ROW(Items!B$6:B$678)-MIN(ROW(Items!B$6:B$678))+1),Items!N8)),""),IF($N$16="AUTOMATE",IFERROR(INDEX(Items!A$6:A$678,SMALL(IF(Items!A$6:A$678&lt;&gt;"",ROW(Items!A$6:A$678)-MIN(ROW(Items!A$6:A$678))+1),Items!N8)),""),""))</f>
        <v>1</v>
      </c>
      <c r="C22" s="284" t="str">
        <f t="array" aca="1" ref="C22" ca="1">IFERROR(INDEX(Items!O:O,SMALL(IF(Items!$O$6:$O$675&lt;&gt;"",ROW(Items!$O$6:$O$675)),Items!N8)),"")</f>
        <v>BYD Battery-Box Premium LV BMU</v>
      </c>
      <c r="D22" s="285"/>
      <c r="E22" s="285"/>
      <c r="F22" s="286"/>
      <c r="G22" s="286"/>
      <c r="H22" s="286"/>
      <c r="I22" s="286"/>
      <c r="J22" s="286"/>
      <c r="K22" s="290">
        <f ca="1">IF(N$13="DISPLAY TAX",IF($N$18="Retail",IF($L$16="USD",IF(ISNA(VLOOKUP(C22,Items!C$6:F$597,4,0)),"",(VLOOKUP(C22,Items!C$6:F$597,4,0))),IF($L$16="GH₵",IF(ISNA(VLOOKUP(C22,Items!C$6:G$597,5,0)),"",(VLOOKUP(C22,Items!C$6:G$597,5,0))),"")),IF($N$18="Super Dealer",IF($L$16="USD",IF(ISNA(VLOOKUP(C22,Items!C$6:I$597,6,0)),"",(VLOOKUP(C22,Items!C$6:I$597,6,0))),IF($L$16="GH₵",IF(ISNA(VLOOKUP(C22,Items!C$6:I$597,7,0)),"",(VLOOKUP(C22,Items!C$6:I$597,7,0))),"")),"")),IF(N$13="DO NOT DISPLAY TAX",IF($N$18="Retail",IF($L$16="USD",IF(ISNA(VLOOKUP(C22,Items!C$6:F$597,2,0)),"",(VLOOKUP(C22,Items!C$6:F$597,2,0))),IF($L$16="GH₵",IF(ISNA(VLOOKUP(C22,Items!C$6:G$597,2,0)),"",O$6*(VLOOKUP(C22,Items!C$6:G$597,2,0))),"")),IF($N$18="Super Dealer",IF($L$16="USD",IF(ISNA(VLOOKUP(C22,Items!C$6:I$597,3,0)),"",(VLOOKUP(C22,Items!C$6:I$597,3,0))),IF($L$16="GH₵",IF(ISNA(VLOOKUP(C22,Items!C$6:I$597,3,0)),"",O$6*(VLOOKUP(C22,Items!C$6:I$597,3,0))),"")),"")),""))</f>
        <v>2229.6400000000003</v>
      </c>
      <c r="L22" s="287">
        <f t="shared" ca="1" si="0"/>
        <v>2229.6400000000003</v>
      </c>
      <c r="M22" s="50"/>
      <c r="N22" s="349"/>
      <c r="O22" s="80"/>
      <c r="P22" s="76"/>
      <c r="Q22" s="48"/>
      <c r="R22" s="48"/>
      <c r="S22" s="48"/>
      <c r="T22" s="48"/>
      <c r="U22" s="48"/>
      <c r="V22" s="48"/>
      <c r="W22" s="48"/>
    </row>
    <row r="23" spans="1:120 16136:16141" ht="15.75" customHeight="1">
      <c r="A23" s="1"/>
      <c r="B23" s="299">
        <f t="array" aca="1" ref="B23" ca="1">IF($N$16="MANUAL",IFERROR(INDEX(Items!B$6:B$678,SMALL(IF(Items!B$6:B$678&lt;&gt;"",ROW(Items!B$6:B$678)-MIN(ROW(Items!B$6:B$678))+1),Items!N9)),""),IF($N$16="AUTOMATE",IFERROR(INDEX(Items!A$6:A$678,SMALL(IF(Items!A$6:A$678&lt;&gt;"",ROW(Items!A$6:A$678)-MIN(ROW(Items!A$6:A$678))+1),Items!N9)),""),""))</f>
        <v>40</v>
      </c>
      <c r="C23" s="284" t="str">
        <f t="array" aca="1" ref="C23" ca="1">IFERROR(INDEX(Items!O:O,SMALL(IF(Items!$O$6:$O$675&lt;&gt;"",ROW(Items!$O$6:$O$675)),Items!N9)),"")</f>
        <v>JA Solar JAM72-S30 565 Watts Solar Panel</v>
      </c>
      <c r="D23" s="285"/>
      <c r="E23" s="285"/>
      <c r="F23" s="286"/>
      <c r="G23" s="286"/>
      <c r="H23" s="286"/>
      <c r="I23" s="286"/>
      <c r="J23" s="286"/>
      <c r="K23" s="290">
        <f ca="1">IF(N$13="DISPLAY TAX",IF($N$18="Retail",IF($L$16="USD",IF(ISNA(VLOOKUP(C23,Items!C$6:F$597,4,0)),"",(VLOOKUP(C23,Items!C$6:F$597,4,0))),IF($L$16="GH₵",IF(ISNA(VLOOKUP(C23,Items!C$6:G$597,5,0)),"",(VLOOKUP(C23,Items!C$6:G$597,5,0))),"")),IF($N$18="Super Dealer",IF($L$16="USD",IF(ISNA(VLOOKUP(C23,Items!C$6:I$597,6,0)),"",(VLOOKUP(C23,Items!C$6:I$597,6,0))),IF($L$16="GH₵",IF(ISNA(VLOOKUP(C23,Items!C$6:I$597,7,0)),"",(VLOOKUP(C23,Items!C$6:I$597,7,0))),"")),"")),IF(N$13="DO NOT DISPLAY TAX",IF($N$18="Retail",IF($L$16="USD",IF(ISNA(VLOOKUP(C23,Items!C$6:F$597,2,0)),"",(VLOOKUP(C23,Items!C$6:F$597,2,0))),IF($L$16="GH₵",IF(ISNA(VLOOKUP(C23,Items!C$6:G$597,2,0)),"",O$6*(VLOOKUP(C23,Items!C$6:G$597,2,0))),"")),IF($N$18="Super Dealer",IF($L$16="USD",IF(ISNA(VLOOKUP(C23,Items!C$6:I$597,3,0)),"",(VLOOKUP(C23,Items!C$6:I$597,3,0))),IF($L$16="GH₵",IF(ISNA(VLOOKUP(C23,Items!C$6:I$597,3,0)),"",O$6*(VLOOKUP(C23,Items!C$6:I$597,3,0))),"")),"")),""))</f>
        <v>1596.71</v>
      </c>
      <c r="L23" s="287">
        <f t="shared" ca="1" si="0"/>
        <v>63868.4</v>
      </c>
      <c r="M23" s="50"/>
      <c r="N23" s="76"/>
      <c r="O23" s="76"/>
      <c r="P23" s="76"/>
      <c r="Q23" s="48"/>
      <c r="R23" s="48"/>
      <c r="S23" s="48"/>
      <c r="T23" s="48"/>
      <c r="U23" s="48"/>
      <c r="V23" s="48"/>
      <c r="W23" s="48"/>
      <c r="DK23" s="77"/>
      <c r="DL23" s="77"/>
      <c r="DM23" s="77"/>
      <c r="DN23" s="77"/>
      <c r="DO23" s="77"/>
      <c r="DP23" s="77"/>
      <c r="WVP23" s="2"/>
      <c r="WVQ23" s="2"/>
      <c r="WVR23" s="2"/>
      <c r="WVS23" s="2"/>
      <c r="WVT23" s="2"/>
      <c r="WVU23" s="2"/>
    </row>
    <row r="24" spans="1:120 16136:16141" ht="15.75" customHeight="1">
      <c r="A24" s="1"/>
      <c r="B24" s="299">
        <f t="array" aca="1" ref="B24" ca="1">IF($N$16="MANUAL",IFERROR(INDEX(Items!B$6:B$678,SMALL(IF(Items!B$6:B$678&lt;&gt;"",ROW(Items!B$6:B$678)-MIN(ROW(Items!B$6:B$678))+1),Items!N10)),""),IF($N$16="AUTOMATE",IFERROR(INDEX(Items!A$6:A$678,SMALL(IF(Items!A$6:A$678&lt;&gt;"",ROW(Items!A$6:A$678)-MIN(ROW(Items!A$6:A$678))+1),Items!N10)),""),""))</f>
        <v>1</v>
      </c>
      <c r="C24" s="284" t="str">
        <f t="array" aca="1" ref="C24" ca="1">IFERROR(INDEX(Items!O:O,SMALL(IF(Items!$O$6:$O$675&lt;&gt;"",ROW(Items!$O$6:$O$675)),Items!N10)),"")</f>
        <v>Victron SmartSolar MPPT 150/35</v>
      </c>
      <c r="D24" s="285"/>
      <c r="E24" s="285"/>
      <c r="F24" s="286"/>
      <c r="G24" s="286"/>
      <c r="H24" s="286"/>
      <c r="I24" s="286"/>
      <c r="J24" s="286"/>
      <c r="K24" s="290">
        <f ca="1">IF(N$13="DISPLAY TAX",IF($N$18="Retail",IF($L$16="USD",IF(ISNA(VLOOKUP(C24,Items!C$6:F$597,4,0)),"",(VLOOKUP(C24,Items!C$6:F$597,4,0))),IF($L$16="GH₵",IF(ISNA(VLOOKUP(C24,Items!C$6:G$597,5,0)),"",(VLOOKUP(C24,Items!C$6:G$597,5,0))),"")),IF($N$18="Super Dealer",IF($L$16="USD",IF(ISNA(VLOOKUP(C24,Items!C$6:I$597,6,0)),"",(VLOOKUP(C24,Items!C$6:I$597,6,0))),IF($L$16="GH₵",IF(ISNA(VLOOKUP(C24,Items!C$6:I$597,7,0)),"",(VLOOKUP(C24,Items!C$6:I$597,7,0))),"")),"")),IF(N$13="DO NOT DISPLAY TAX",IF($N$18="Retail",IF($L$16="USD",IF(ISNA(VLOOKUP(C24,Items!C$6:F$597,2,0)),"",(VLOOKUP(C24,Items!C$6:F$597,2,0))),IF($L$16="GH₵",IF(ISNA(VLOOKUP(C24,Items!C$6:G$597,2,0)),"",O$6*(VLOOKUP(C24,Items!C$6:G$597,2,0))),"")),IF($N$18="Super Dealer",IF($L$16="USD",IF(ISNA(VLOOKUP(C24,Items!C$6:I$597,3,0)),"",(VLOOKUP(C24,Items!C$6:I$597,3,0))),IF($L$16="GH₵",IF(ISNA(VLOOKUP(C24,Items!C$6:I$597,3,0)),"",O$6*(VLOOKUP(C24,Items!C$6:I$597,3,0))),"")),"")),""))</f>
        <v>2560.9</v>
      </c>
      <c r="L24" s="287">
        <f t="shared" ca="1" si="0"/>
        <v>2560.9</v>
      </c>
      <c r="M24" s="50"/>
      <c r="N24" s="76"/>
      <c r="O24" s="76"/>
      <c r="P24" s="76"/>
      <c r="Q24" s="48"/>
      <c r="R24" s="48"/>
      <c r="S24" s="48"/>
      <c r="T24" s="48"/>
      <c r="U24" s="48"/>
      <c r="V24" s="48"/>
      <c r="W24" s="48"/>
      <c r="DK24" s="77"/>
      <c r="DL24" s="77"/>
      <c r="DM24" s="77"/>
      <c r="DN24" s="77"/>
      <c r="DO24" s="77"/>
      <c r="DP24" s="77"/>
      <c r="WVP24" s="2"/>
      <c r="WVQ24" s="2"/>
      <c r="WVR24" s="2"/>
      <c r="WVS24" s="2"/>
      <c r="WVT24" s="2"/>
      <c r="WVU24" s="2"/>
    </row>
    <row r="25" spans="1:120 16136:16141" ht="15.75" customHeight="1">
      <c r="A25" s="1"/>
      <c r="B25" s="299">
        <f t="array" aca="1" ref="B25" ca="1">IF($N$16="MANUAL",IFERROR(INDEX(Items!B$6:B$678,SMALL(IF(Items!B$6:B$678&lt;&gt;"",ROW(Items!B$6:B$678)-MIN(ROW(Items!B$6:B$678))+1),Items!N11)),""),IF($N$16="AUTOMATE",IFERROR(INDEX(Items!A$6:A$678,SMALL(IF(Items!A$6:A$678&lt;&gt;"",ROW(Items!A$6:A$678)-MIN(ROW(Items!A$6:A$678))+1),Items!N11)),""),""))</f>
        <v>3</v>
      </c>
      <c r="C25" s="284" t="str">
        <f t="array" aca="1" ref="C25" ca="1">IFERROR(INDEX(Items!O:O,SMALL(IF(Items!$O$6:$O$675&lt;&gt;"",ROW(Items!$O$6:$O$675)),Items!N11)),"")</f>
        <v>Victron SmartSolar MPPT 250/100-Tr VE.Can</v>
      </c>
      <c r="D25" s="285"/>
      <c r="E25" s="285"/>
      <c r="F25" s="286"/>
      <c r="G25" s="286"/>
      <c r="H25" s="286"/>
      <c r="I25" s="286"/>
      <c r="J25" s="286"/>
      <c r="K25" s="290">
        <f ca="1">IF(N$13="DISPLAY TAX",IF($N$18="Retail",IF($L$16="USD",IF(ISNA(VLOOKUP(C25,Items!C$6:F$597,4,0)),"",(VLOOKUP(C25,Items!C$6:F$597,4,0))),IF($L$16="GH₵",IF(ISNA(VLOOKUP(C25,Items!C$6:G$597,5,0)),"",(VLOOKUP(C25,Items!C$6:G$597,5,0))),"")),IF($N$18="Super Dealer",IF($L$16="USD",IF(ISNA(VLOOKUP(C25,Items!C$6:I$597,6,0)),"",(VLOOKUP(C25,Items!C$6:I$597,6,0))),IF($L$16="GH₵",IF(ISNA(VLOOKUP(C25,Items!C$6:I$597,7,0)),"",(VLOOKUP(C25,Items!C$6:I$597,7,0))),"")),"")),IF(N$13="DO NOT DISPLAY TAX",IF($N$18="Retail",IF($L$16="USD",IF(ISNA(VLOOKUP(C25,Items!C$6:F$597,2,0)),"",(VLOOKUP(C25,Items!C$6:F$597,2,0))),IF($L$16="GH₵",IF(ISNA(VLOOKUP(C25,Items!C$6:G$597,2,0)),"",O$6*(VLOOKUP(C25,Items!C$6:G$597,2,0))),"")),IF($N$18="Super Dealer",IF($L$16="USD",IF(ISNA(VLOOKUP(C25,Items!C$6:I$597,3,0)),"",(VLOOKUP(C25,Items!C$6:I$597,3,0))),IF($L$16="GH₵",IF(ISNA(VLOOKUP(C25,Items!C$6:I$597,3,0)),"",O$6*(VLOOKUP(C25,Items!C$6:I$597,3,0))),"")),"")),""))</f>
        <v>8486.4500000000007</v>
      </c>
      <c r="L25" s="287">
        <f t="shared" ca="1" si="0"/>
        <v>25459.350000000002</v>
      </c>
      <c r="M25" s="50"/>
      <c r="N25" s="76"/>
      <c r="O25" s="76"/>
      <c r="P25" s="76"/>
      <c r="Q25" s="48"/>
      <c r="R25" s="48"/>
      <c r="S25" s="48"/>
      <c r="T25" s="48"/>
      <c r="U25" s="48"/>
      <c r="V25" s="48"/>
      <c r="W25" s="48"/>
      <c r="DK25" s="77"/>
      <c r="DL25" s="77"/>
      <c r="DM25" s="77"/>
      <c r="DN25" s="77"/>
      <c r="DO25" s="77"/>
      <c r="DP25" s="77"/>
      <c r="WVP25" s="2"/>
      <c r="WVQ25" s="2"/>
      <c r="WVR25" s="2"/>
      <c r="WVS25" s="2"/>
      <c r="WVT25" s="2"/>
      <c r="WVU25" s="2"/>
    </row>
    <row r="26" spans="1:120 16136:16141" ht="15.75" customHeight="1">
      <c r="A26" s="1"/>
      <c r="B26" s="299">
        <f t="array" aca="1" ref="B26" ca="1">IF($N$16="MANUAL",IFERROR(INDEX(Items!B$6:B$678,SMALL(IF(Items!B$6:B$678&lt;&gt;"",ROW(Items!B$6:B$678)-MIN(ROW(Items!B$6:B$678))+1),Items!N12)),""),IF($N$16="AUTOMATE",IFERROR(INDEX(Items!A$6:A$678,SMALL(IF(Items!A$6:A$678&lt;&gt;"",ROW(Items!A$6:A$678)-MIN(ROW(Items!A$6:A$678))+1),Items!N12)),""),""))</f>
        <v>1</v>
      </c>
      <c r="C26" s="284" t="str">
        <f t="array" aca="1" ref="C26" ca="1">IFERROR(INDEX(Items!O:O,SMALL(IF(Items!$O$6:$O$675&lt;&gt;"",ROW(Items!$O$6:$O$675)),Items!N12)),"")</f>
        <v>Victron Cerbo GX</v>
      </c>
      <c r="D26" s="285"/>
      <c r="E26" s="285"/>
      <c r="F26" s="286"/>
      <c r="G26" s="286"/>
      <c r="H26" s="286"/>
      <c r="I26" s="286"/>
      <c r="J26" s="286"/>
      <c r="K26" s="290">
        <f ca="1">IF(N$13="DISPLAY TAX",IF($N$18="Retail",IF($L$16="USD",IF(ISNA(VLOOKUP(C26,Items!C$6:F$597,4,0)),"",(VLOOKUP(C26,Items!C$6:F$597,4,0))),IF($L$16="GH₵",IF(ISNA(VLOOKUP(C26,Items!C$6:G$597,5,0)),"",(VLOOKUP(C26,Items!C$6:G$597,5,0))),"")),IF($N$18="Super Dealer",IF($L$16="USD",IF(ISNA(VLOOKUP(C26,Items!C$6:I$597,6,0)),"",(VLOOKUP(C26,Items!C$6:I$597,6,0))),IF($L$16="GH₵",IF(ISNA(VLOOKUP(C26,Items!C$6:I$597,7,0)),"",(VLOOKUP(C26,Items!C$6:I$597,7,0))),"")),"")),IF(N$13="DO NOT DISPLAY TAX",IF($N$18="Retail",IF($L$16="USD",IF(ISNA(VLOOKUP(C26,Items!C$6:F$597,2,0)),"",(VLOOKUP(C26,Items!C$6:F$597,2,0))),IF($L$16="GH₵",IF(ISNA(VLOOKUP(C26,Items!C$6:G$597,2,0)),"",O$6*(VLOOKUP(C26,Items!C$6:G$597,2,0))),"")),IF($N$18="Super Dealer",IF($L$16="USD",IF(ISNA(VLOOKUP(C26,Items!C$6:I$597,3,0)),"",(VLOOKUP(C26,Items!C$6:I$597,3,0))),IF($L$16="GH₵",IF(ISNA(VLOOKUP(C26,Items!C$6:I$597,3,0)),"",O$6*(VLOOKUP(C26,Items!C$6:I$597,3,0))),"")),"")),""))</f>
        <v>3810.1800000000003</v>
      </c>
      <c r="L26" s="287">
        <f t="shared" ca="1" si="0"/>
        <v>3810.1800000000003</v>
      </c>
      <c r="M26" s="50"/>
      <c r="N26" s="76"/>
      <c r="O26" s="76"/>
      <c r="P26" s="76"/>
      <c r="Q26" s="48"/>
      <c r="R26" s="48"/>
      <c r="S26" s="48"/>
      <c r="T26" s="48"/>
      <c r="U26" s="48"/>
      <c r="V26" s="48"/>
      <c r="W26" s="48"/>
      <c r="DK26" s="77"/>
      <c r="DL26" s="77"/>
      <c r="DM26" s="77"/>
      <c r="DN26" s="77"/>
      <c r="DO26" s="77"/>
      <c r="DP26" s="77"/>
      <c r="WVP26" s="2"/>
      <c r="WVQ26" s="2"/>
      <c r="WVR26" s="2"/>
      <c r="WVS26" s="2"/>
      <c r="WVT26" s="2"/>
      <c r="WVU26" s="2"/>
    </row>
    <row r="27" spans="1:120 16136:16141" ht="15.75" customHeight="1">
      <c r="A27" s="1"/>
      <c r="B27" s="299">
        <f t="array" aca="1" ref="B27" ca="1">IF($N$16="MANUAL",IFERROR(INDEX(Items!B$6:B$678,SMALL(IF(Items!B$6:B$678&lt;&gt;"",ROW(Items!B$6:B$678)-MIN(ROW(Items!B$6:B$678))+1),Items!N13)),""),IF($N$16="AUTOMATE",IFERROR(INDEX(Items!A$6:A$678,SMALL(IF(Items!A$6:A$678&lt;&gt;"",ROW(Items!A$6:A$678)-MIN(ROW(Items!A$6:A$678))+1),Items!N13)),""),""))</f>
        <v>1</v>
      </c>
      <c r="C27" s="284" t="str">
        <f t="array" aca="1" ref="C27" ca="1">IFERROR(INDEX(Items!O:O,SMALL(IF(Items!$O$6:$O$675&lt;&gt;"",ROW(Items!$O$6:$O$675)),Items!N13)),"")</f>
        <v>Victron GX Touch 50 Wall Mount</v>
      </c>
      <c r="D27" s="285"/>
      <c r="E27" s="285"/>
      <c r="F27" s="285"/>
      <c r="G27" s="285"/>
      <c r="H27" s="285"/>
      <c r="I27" s="285"/>
      <c r="J27" s="285"/>
      <c r="K27" s="290">
        <f ca="1">IF(N$13="DISPLAY TAX",IF($N$18="Retail",IF($L$16="USD",IF(ISNA(VLOOKUP(C27,Items!C$6:F$597,4,0)),"",(VLOOKUP(C27,Items!C$6:F$597,4,0))),IF($L$16="GH₵",IF(ISNA(VLOOKUP(C27,Items!C$6:G$597,5,0)),"",(VLOOKUP(C27,Items!C$6:G$597,5,0))),"")),IF($N$18="Super Dealer",IF($L$16="USD",IF(ISNA(VLOOKUP(C27,Items!C$6:I$597,6,0)),"",(VLOOKUP(C27,Items!C$6:I$597,6,0))),IF($L$16="GH₵",IF(ISNA(VLOOKUP(C27,Items!C$6:I$597,7,0)),"",(VLOOKUP(C27,Items!C$6:I$597,7,0))),"")),"")),IF(N$13="DO NOT DISPLAY TAX",IF($N$18="Retail",IF($L$16="USD",IF(ISNA(VLOOKUP(C27,Items!C$6:F$597,2,0)),"",(VLOOKUP(C27,Items!C$6:F$597,2,0))),IF($L$16="GH₵",IF(ISNA(VLOOKUP(C27,Items!C$6:G$597,2,0)),"",O$6*(VLOOKUP(C27,Items!C$6:G$597,2,0))),"")),IF($N$18="Super Dealer",IF($L$16="USD",IF(ISNA(VLOOKUP(C27,Items!C$6:I$597,3,0)),"",(VLOOKUP(C27,Items!C$6:I$597,3,0))),IF($L$16="GH₵",IF(ISNA(VLOOKUP(C27,Items!C$6:I$597,3,0)),"",O$6*(VLOOKUP(C27,Items!C$6:I$597,3,0))),"")),"")),""))</f>
        <v>210.16</v>
      </c>
      <c r="L27" s="287">
        <f t="shared" ref="L27:L32" ca="1" si="1">IFERROR(SUM(B27*K27),"")</f>
        <v>210.16</v>
      </c>
      <c r="M27" s="50"/>
      <c r="N27" s="76"/>
      <c r="O27" s="76"/>
      <c r="P27" s="76"/>
      <c r="Q27" s="48"/>
      <c r="R27" s="48"/>
      <c r="S27" s="48"/>
      <c r="T27" s="48"/>
      <c r="U27" s="48"/>
      <c r="V27" s="48"/>
      <c r="W27" s="48"/>
      <c r="DK27" s="77"/>
      <c r="DL27" s="77"/>
      <c r="DM27" s="77"/>
      <c r="DN27" s="77"/>
      <c r="DO27" s="77"/>
      <c r="DP27" s="77"/>
      <c r="WVP27" s="2"/>
      <c r="WVQ27" s="2"/>
      <c r="WVR27" s="2"/>
      <c r="WVS27" s="2"/>
      <c r="WVT27" s="2"/>
      <c r="WVU27" s="2"/>
    </row>
    <row r="28" spans="1:120 16136:16141" ht="16" customHeight="1">
      <c r="A28" s="1"/>
      <c r="B28" s="299">
        <f t="array" aca="1" ref="B28" ca="1">IF($N$16="MANUAL",IFERROR(INDEX(Items!B$6:B$678,SMALL(IF(Items!B$6:B$678&lt;&gt;"",ROW(Items!B$6:B$678)-MIN(ROW(Items!B$6:B$678))+1),Items!N14)),""),IF($N$16="AUTOMATE",IFERROR(INDEX(Items!A$6:A$678,SMALL(IF(Items!A$6:A$678&lt;&gt;"",ROW(Items!A$6:A$678)-MIN(ROW(Items!A$6:A$678))+1),Items!N14)),""),""))</f>
        <v>2</v>
      </c>
      <c r="C28" s="284" t="str">
        <f t="array" aca="1" ref="C28" ca="1">IFERROR(INDEX(Items!O:O,SMALL(IF(Items!$O$6:$O$675&lt;&gt;"",ROW(Items!$O$6:$O$675)),Items!N14)),"")</f>
        <v>Victron Solar Busbar 150A 2P with 10 screws +cover</v>
      </c>
      <c r="D28" s="285"/>
      <c r="E28" s="285"/>
      <c r="F28" s="285"/>
      <c r="G28" s="285"/>
      <c r="H28" s="285"/>
      <c r="I28" s="285"/>
      <c r="J28" s="285"/>
      <c r="K28" s="290">
        <f ca="1">IF(N$13="DISPLAY TAX",IF($N$18="Retail",IF($L$16="USD",IF(ISNA(VLOOKUP(C28,Items!C$6:F$597,4,0)),"",(VLOOKUP(C28,Items!C$6:F$597,4,0))),IF($L$16="GH₵",IF(ISNA(VLOOKUP(C28,Items!C$6:G$597,5,0)),"",(VLOOKUP(C28,Items!C$6:G$597,5,0))),"")),IF($N$18="Super Dealer",IF($L$16="USD",IF(ISNA(VLOOKUP(C28,Items!C$6:I$597,6,0)),"",(VLOOKUP(C28,Items!C$6:I$597,6,0))),IF($L$16="GH₵",IF(ISNA(VLOOKUP(C28,Items!C$6:I$597,7,0)),"",(VLOOKUP(C28,Items!C$6:I$597,7,0))),"")),"")),IF(N$13="DO NOT DISPLAY TAX",IF($N$18="Retail",IF($L$16="USD",IF(ISNA(VLOOKUP(C28,Items!C$6:F$597,2,0)),"",(VLOOKUP(C28,Items!C$6:F$597,2,0))),IF($L$16="GH₵",IF(ISNA(VLOOKUP(C28,Items!C$6:G$597,2,0)),"",O$6*(VLOOKUP(C28,Items!C$6:G$597,2,0))),"")),IF($N$18="Super Dealer",IF($L$16="USD",IF(ISNA(VLOOKUP(C28,Items!C$6:I$597,3,0)),"",(VLOOKUP(C28,Items!C$6:I$597,3,0))),IF($L$16="GH₵",IF(ISNA(VLOOKUP(C28,Items!C$6:I$597,3,0)),"",O$6*(VLOOKUP(C28,Items!C$6:I$597,3,0))),"")),"")),""))</f>
        <v>259.62</v>
      </c>
      <c r="L28" s="287">
        <f t="shared" ca="1" si="1"/>
        <v>519.24</v>
      </c>
      <c r="M28" s="50"/>
      <c r="N28" s="76"/>
      <c r="O28" s="76"/>
      <c r="P28" s="76"/>
      <c r="Q28" s="48">
        <f t="shared" ref="Q28:W28" si="2">COUNT(D20:D58)</f>
        <v>0</v>
      </c>
      <c r="R28" s="48">
        <f t="shared" si="2"/>
        <v>0</v>
      </c>
      <c r="S28" s="48">
        <f t="shared" si="2"/>
        <v>0</v>
      </c>
      <c r="T28" s="48">
        <f t="shared" si="2"/>
        <v>0</v>
      </c>
      <c r="U28" s="48">
        <f t="shared" si="2"/>
        <v>0</v>
      </c>
      <c r="V28" s="48">
        <f t="shared" si="2"/>
        <v>0</v>
      </c>
      <c r="W28" s="48">
        <f t="shared" si="2"/>
        <v>0</v>
      </c>
      <c r="DK28" s="77"/>
      <c r="DL28" s="77"/>
      <c r="DM28" s="77"/>
      <c r="DN28" s="77"/>
      <c r="DO28" s="77"/>
      <c r="DP28" s="77"/>
      <c r="WVP28" s="2"/>
      <c r="WVQ28" s="2"/>
      <c r="WVR28" s="2"/>
      <c r="WVS28" s="2"/>
      <c r="WVT28" s="2"/>
      <c r="WVU28" s="2"/>
    </row>
    <row r="29" spans="1:120 16136:16141" ht="16" customHeight="1">
      <c r="A29" s="1"/>
      <c r="B29" s="299">
        <f t="array" aca="1" ref="B29" ca="1">IF($N$16="MANUAL",IFERROR(INDEX(Items!B$6:B$678,SMALL(IF(Items!B$6:B$678&lt;&gt;"",ROW(Items!B$6:B$678)-MIN(ROW(Items!B$6:B$678))+1),Items!N15)),""),IF($N$16="AUTOMATE",IFERROR(INDEX(Items!A$6:A$678,SMALL(IF(Items!A$6:A$678&lt;&gt;"",ROW(Items!A$6:A$678)-MIN(ROW(Items!A$6:A$678))+1),Items!N15)),""),""))</f>
        <v>1</v>
      </c>
      <c r="C29" s="284" t="str">
        <f t="array" aca="1" ref="C29" ca="1">IFERROR(INDEX(Items!O:O,SMALL(IF(Items!$O$6:$O$675&lt;&gt;"",ROW(Items!$O$6:$O$675)),Items!N15)),"")</f>
        <v>Solar DC Combiner BHS 2/1</v>
      </c>
      <c r="D29" s="285"/>
      <c r="E29" s="285"/>
      <c r="F29" s="285"/>
      <c r="G29" s="285"/>
      <c r="H29" s="285"/>
      <c r="I29" s="285"/>
      <c r="J29" s="285"/>
      <c r="K29" s="290">
        <f ca="1">IF(N$13="DISPLAY TAX",IF($N$18="Retail",IF($L$16="USD",IF(ISNA(VLOOKUP(C29,Items!C$6:F$597,4,0)),"",(VLOOKUP(C29,Items!C$6:F$597,4,0))),IF($L$16="GH₵",IF(ISNA(VLOOKUP(C29,Items!C$6:G$597,5,0)),"",(VLOOKUP(C29,Items!C$6:G$597,5,0))),"")),IF($N$18="Super Dealer",IF($L$16="USD",IF(ISNA(VLOOKUP(C29,Items!C$6:I$597,6,0)),"",(VLOOKUP(C29,Items!C$6:I$597,6,0))),IF($L$16="GH₵",IF(ISNA(VLOOKUP(C29,Items!C$6:I$597,7,0)),"",(VLOOKUP(C29,Items!C$6:I$597,7,0))),"")),"")),IF(N$13="DO NOT DISPLAY TAX",IF($N$18="Retail",IF($L$16="USD",IF(ISNA(VLOOKUP(C29,Items!C$6:F$597,2,0)),"",(VLOOKUP(C29,Items!C$6:F$597,2,0))),IF($L$16="GH₵",IF(ISNA(VLOOKUP(C29,Items!C$6:G$597,2,0)),"",O$6*(VLOOKUP(C29,Items!C$6:G$597,2,0))),"")),IF($N$18="Super Dealer",IF($L$16="USD",IF(ISNA(VLOOKUP(C29,Items!C$6:I$597,3,0)),"",(VLOOKUP(C29,Items!C$6:I$597,3,0))),IF($L$16="GH₵",IF(ISNA(VLOOKUP(C29,Items!C$6:I$597,3,0)),"",O$6*(VLOOKUP(C29,Items!C$6:I$597,3,0))),"")),"")),""))</f>
        <v>1649.46</v>
      </c>
      <c r="L29" s="287">
        <f t="shared" ca="1" si="1"/>
        <v>1649.46</v>
      </c>
      <c r="M29" s="50"/>
      <c r="N29" s="76"/>
      <c r="O29" s="76"/>
      <c r="P29" s="76"/>
      <c r="Q29" s="48"/>
      <c r="R29" s="48"/>
      <c r="S29" s="48"/>
      <c r="T29" s="48"/>
      <c r="U29" s="48"/>
      <c r="V29" s="48"/>
      <c r="W29" s="48"/>
      <c r="DK29" s="77"/>
      <c r="DL29" s="77"/>
      <c r="DM29" s="77"/>
      <c r="DN29" s="77"/>
      <c r="DO29" s="77"/>
      <c r="DP29" s="77"/>
      <c r="WVP29" s="2"/>
      <c r="WVQ29" s="2"/>
      <c r="WVR29" s="2"/>
      <c r="WVS29" s="2"/>
      <c r="WVT29" s="2"/>
      <c r="WVU29" s="2"/>
    </row>
    <row r="30" spans="1:120 16136:16141" ht="16" customHeight="1">
      <c r="A30" s="1"/>
      <c r="B30" s="299">
        <f t="array" aca="1" ref="B30" ca="1">IF($N$16="MANUAL",IFERROR(INDEX(Items!B$6:B$678,SMALL(IF(Items!B$6:B$678&lt;&gt;"",ROW(Items!B$6:B$678)-MIN(ROW(Items!B$6:B$678))+1),Items!N16)),""),IF($N$16="AUTOMATE",IFERROR(INDEX(Items!A$6:A$678,SMALL(IF(Items!A$6:A$678&lt;&gt;"",ROW(Items!A$6:A$678)-MIN(ROW(Items!A$6:A$678))+1),Items!N16)),""),""))</f>
        <v>3</v>
      </c>
      <c r="C30" s="284" t="str">
        <f t="array" aca="1" ref="C30" ca="1">IFERROR(INDEX(Items!O:O,SMALL(IF(Items!$O$6:$O$675&lt;&gt;"",ROW(Items!$O$6:$O$675)),Items!N16)),"")</f>
        <v>Solar DC Combiner BHS 3/1</v>
      </c>
      <c r="D30" s="285"/>
      <c r="E30" s="285"/>
      <c r="F30" s="285"/>
      <c r="G30" s="285"/>
      <c r="H30" s="285"/>
      <c r="I30" s="285"/>
      <c r="J30" s="285"/>
      <c r="K30" s="290">
        <f ca="1">IF(N$13="DISPLAY TAX",IF($N$18="Retail",IF($L$16="USD",IF(ISNA(VLOOKUP(C30,Items!C$6:F$597,4,0)),"",(VLOOKUP(C30,Items!C$6:F$597,4,0))),IF($L$16="GH₵",IF(ISNA(VLOOKUP(C30,Items!C$6:G$597,5,0)),"",(VLOOKUP(C30,Items!C$6:G$597,5,0))),"")),IF($N$18="Super Dealer",IF($L$16="USD",IF(ISNA(VLOOKUP(C30,Items!C$6:I$597,6,0)),"",(VLOOKUP(C30,Items!C$6:I$597,6,0))),IF($L$16="GH₵",IF(ISNA(VLOOKUP(C30,Items!C$6:I$597,7,0)),"",(VLOOKUP(C30,Items!C$6:I$597,7,0))),"")),"")),IF(N$13="DO NOT DISPLAY TAX",IF($N$18="Retail",IF($L$16="USD",IF(ISNA(VLOOKUP(C30,Items!C$6:F$597,2,0)),"",(VLOOKUP(C30,Items!C$6:F$597,2,0))),IF($L$16="GH₵",IF(ISNA(VLOOKUP(C30,Items!C$6:G$597,2,0)),"",O$6*(VLOOKUP(C30,Items!C$6:G$597,2,0))),"")),IF($N$18="Super Dealer",IF($L$16="USD",IF(ISNA(VLOOKUP(C30,Items!C$6:I$597,3,0)),"",(VLOOKUP(C30,Items!C$6:I$597,3,0))),IF($L$16="GH₵",IF(ISNA(VLOOKUP(C30,Items!C$6:I$597,3,0)),"",O$6*(VLOOKUP(C30,Items!C$6:I$597,3,0))),"")),"")),""))</f>
        <v>1731.93</v>
      </c>
      <c r="L30" s="287">
        <f t="shared" ca="1" si="1"/>
        <v>5195.79</v>
      </c>
      <c r="M30" s="50"/>
      <c r="N30" s="76"/>
      <c r="O30" s="76"/>
      <c r="P30" s="76"/>
      <c r="Q30" s="48"/>
      <c r="R30" s="48"/>
      <c r="S30" s="48"/>
      <c r="T30" s="48"/>
      <c r="U30" s="48"/>
      <c r="V30" s="48"/>
      <c r="W30" s="48"/>
      <c r="DK30" s="77"/>
      <c r="DL30" s="77"/>
      <c r="DM30" s="77"/>
      <c r="DN30" s="77"/>
      <c r="DO30" s="77"/>
      <c r="DP30" s="77"/>
      <c r="WVP30" s="2"/>
      <c r="WVQ30" s="2"/>
      <c r="WVR30" s="2"/>
      <c r="WVS30" s="2"/>
      <c r="WVT30" s="2"/>
      <c r="WVU30" s="2"/>
    </row>
    <row r="31" spans="1:120 16136:16141" ht="16" customHeight="1">
      <c r="A31" s="1"/>
      <c r="B31" s="299">
        <f t="array" aca="1" ref="B31" ca="1">IF($N$16="MANUAL",IFERROR(INDEX(Items!B$6:B$678,SMALL(IF(Items!B$6:B$678&lt;&gt;"",ROW(Items!B$6:B$678)-MIN(ROW(Items!B$6:B$678))+1),Items!N17)),""),IF($N$16="AUTOMATE",IFERROR(INDEX(Items!A$6:A$678,SMALL(IF(Items!A$6:A$678&lt;&gt;"",ROW(Items!A$6:A$678)-MIN(ROW(Items!A$6:A$678))+1),Items!N17)),""),""))</f>
        <v>1</v>
      </c>
      <c r="C31" s="284" t="str">
        <f t="array" aca="1" ref="C31" ca="1">IFERROR(INDEX(Items!O:O,SMALL(IF(Items!$O$6:$O$675&lt;&gt;"",ROW(Items!$O$6:$O$675)),Items!N17)),"")</f>
        <v>Citel AC Surge Protection Device DAC50VGS-11-275/G VAC 1-Phase</v>
      </c>
      <c r="D31" s="285"/>
      <c r="E31" s="285"/>
      <c r="F31" s="285"/>
      <c r="G31" s="285"/>
      <c r="H31" s="285"/>
      <c r="I31" s="285"/>
      <c r="J31" s="285"/>
      <c r="K31" s="290">
        <f ca="1">IF(N$13="DISPLAY TAX",IF($N$18="Retail",IF($L$16="USD",IF(ISNA(VLOOKUP(C31,Items!C$6:F$597,4,0)),"",(VLOOKUP(C31,Items!C$6:F$597,4,0))),IF($L$16="GH₵",IF(ISNA(VLOOKUP(C31,Items!C$6:G$597,5,0)),"",(VLOOKUP(C31,Items!C$6:G$597,5,0))),"")),IF($N$18="Super Dealer",IF($L$16="USD",IF(ISNA(VLOOKUP(C31,Items!C$6:I$597,6,0)),"",(VLOOKUP(C31,Items!C$6:I$597,6,0))),IF($L$16="GH₵",IF(ISNA(VLOOKUP(C31,Items!C$6:I$597,7,0)),"",(VLOOKUP(C31,Items!C$6:I$597,7,0))),"")),"")),IF(N$13="DO NOT DISPLAY TAX",IF($N$18="Retail",IF($L$16="USD",IF(ISNA(VLOOKUP(C31,Items!C$6:F$597,2,0)),"",(VLOOKUP(C31,Items!C$6:F$597,2,0))),IF($L$16="GH₵",IF(ISNA(VLOOKUP(C31,Items!C$6:G$597,2,0)),"",O$6*(VLOOKUP(C31,Items!C$6:G$597,2,0))),"")),IF($N$18="Super Dealer",IF($L$16="USD",IF(ISNA(VLOOKUP(C31,Items!C$6:I$597,3,0)),"",(VLOOKUP(C31,Items!C$6:I$597,3,0))),IF($L$16="GH₵",IF(ISNA(VLOOKUP(C31,Items!C$6:I$597,3,0)),"",O$6*(VLOOKUP(C31,Items!C$6:I$597,3,0))),"")),"")),""))</f>
        <v>669.24</v>
      </c>
      <c r="L31" s="287">
        <f t="shared" ca="1" si="1"/>
        <v>669.24</v>
      </c>
      <c r="M31" s="50"/>
      <c r="N31" s="76"/>
      <c r="O31" s="76"/>
      <c r="P31" s="76"/>
      <c r="Q31" s="48"/>
      <c r="R31" s="48"/>
      <c r="S31" s="48"/>
      <c r="T31" s="48"/>
      <c r="U31" s="48"/>
      <c r="V31" s="48"/>
      <c r="W31" s="48"/>
      <c r="DK31" s="77"/>
      <c r="DL31" s="77"/>
      <c r="DM31" s="77"/>
      <c r="DN31" s="77"/>
      <c r="DO31" s="77"/>
      <c r="DP31" s="77"/>
      <c r="WVP31" s="2"/>
      <c r="WVQ31" s="2"/>
      <c r="WVR31" s="2"/>
      <c r="WVS31" s="2"/>
      <c r="WVT31" s="2"/>
      <c r="WVU31" s="2"/>
    </row>
    <row r="32" spans="1:120 16136:16141" ht="16" customHeight="1">
      <c r="A32" s="1"/>
      <c r="B32" s="299">
        <f t="array" aca="1" ref="B32" ca="1">IF($N$16="MANUAL",IFERROR(INDEX(Items!B$6:B$678,SMALL(IF(Items!B$6:B$678&lt;&gt;"",ROW(Items!B$6:B$678)-MIN(ROW(Items!B$6:B$678))+1),Items!N18)),""),IF($N$16="AUTOMATE",IFERROR(INDEX(Items!A$6:A$678,SMALL(IF(Items!A$6:A$678&lt;&gt;"",ROW(Items!A$6:A$678)-MIN(ROW(Items!A$6:A$678))+1),Items!N18)),""),""))</f>
        <v>1</v>
      </c>
      <c r="C32" s="284" t="str">
        <f t="array" aca="1" ref="C32" ca="1">IFERROR(INDEX(Items!O:O,SMALL(IF(Items!$O$6:$O$675&lt;&gt;"",ROW(Items!$O$6:$O$675)),Items!N18)),"")</f>
        <v>Citel DC Surge Protection Device DS50VGPVS-1000/51</v>
      </c>
      <c r="D32" s="285"/>
      <c r="E32" s="285"/>
      <c r="F32" s="288"/>
      <c r="G32" s="288"/>
      <c r="H32" s="288"/>
      <c r="I32" s="288"/>
      <c r="J32" s="288"/>
      <c r="K32" s="290">
        <f ca="1">IF(N$13="DISPLAY TAX",IF($N$18="Retail",IF($L$16="USD",IF(ISNA(VLOOKUP(C32,Items!C$6:F$597,4,0)),"",(VLOOKUP(C32,Items!C$6:F$597,4,0))),IF($L$16="GH₵",IF(ISNA(VLOOKUP(C32,Items!C$6:G$597,5,0)),"",(VLOOKUP(C32,Items!C$6:G$597,5,0))),"")),IF($N$18="Super Dealer",IF($L$16="USD",IF(ISNA(VLOOKUP(C32,Items!C$6:I$597,6,0)),"",(VLOOKUP(C32,Items!C$6:I$597,6,0))),IF($L$16="GH₵",IF(ISNA(VLOOKUP(C32,Items!C$6:I$597,7,0)),"",(VLOOKUP(C32,Items!C$6:I$597,7,0))),"")),"")),IF(N$13="DO NOT DISPLAY TAX",IF($N$18="Retail",IF($L$16="USD",IF(ISNA(VLOOKUP(C32,Items!C$6:F$597,2,0)),"",(VLOOKUP(C32,Items!C$6:F$597,2,0))),IF($L$16="GH₵",IF(ISNA(VLOOKUP(C32,Items!C$6:G$597,2,0)),"",O$6*(VLOOKUP(C32,Items!C$6:G$597,2,0))),"")),IF($N$18="Super Dealer",IF($L$16="USD",IF(ISNA(VLOOKUP(C32,Items!C$6:I$597,3,0)),"",(VLOOKUP(C32,Items!C$6:I$597,3,0))),IF($L$16="GH₵",IF(ISNA(VLOOKUP(C32,Items!C$6:I$597,3,0)),"",O$6*(VLOOKUP(C32,Items!C$6:I$597,3,0))),"")),"")),""))</f>
        <v>1431.77</v>
      </c>
      <c r="L32" s="287">
        <f t="shared" ca="1" si="1"/>
        <v>1431.77</v>
      </c>
      <c r="M32" s="50"/>
      <c r="N32" s="76"/>
      <c r="O32" s="76"/>
      <c r="P32" s="76"/>
      <c r="Q32" s="48"/>
      <c r="R32" s="48"/>
      <c r="S32" s="48"/>
      <c r="T32" s="48"/>
      <c r="U32" s="48"/>
      <c r="V32" s="48"/>
      <c r="W32" s="48"/>
      <c r="DK32" s="77"/>
      <c r="DL32" s="77"/>
      <c r="DM32" s="77"/>
      <c r="DN32" s="77"/>
      <c r="DO32" s="77"/>
      <c r="DP32" s="77"/>
      <c r="WVP32" s="2"/>
      <c r="WVQ32" s="2"/>
      <c r="WVR32" s="2"/>
      <c r="WVS32" s="2"/>
      <c r="WVT32" s="2"/>
      <c r="WVU32" s="2"/>
    </row>
    <row r="33" spans="1:120 16136:16141" ht="16" customHeight="1">
      <c r="A33" s="1"/>
      <c r="B33" s="299">
        <f t="array" aca="1" ref="B33" ca="1">IF($N$16="MANUAL",IFERROR(INDEX(Items!B$6:B$678,SMALL(IF(Items!B$6:B$678&lt;&gt;"",ROW(Items!B$6:B$678)-MIN(ROW(Items!B$6:B$678))+1),Items!N19)),""),IF($N$16="AUTOMATE",IFERROR(INDEX(Items!A$6:A$678,SMALL(IF(Items!A$6:A$678&lt;&gt;"",ROW(Items!A$6:A$678)-MIN(ROW(Items!A$6:A$678))+1),Items!N19)),""),""))</f>
        <v>144</v>
      </c>
      <c r="C33" s="284" t="str">
        <f t="array" aca="1" ref="C33" ca="1">IFERROR(INDEX(Items!O:O,SMALL(IF(Items!$O$6:$O$675&lt;&gt;"",ROW(Items!$O$6:$O$675)),Items!N19)),"")</f>
        <v>Hikra Sol DC Solar cable 1x10mm2 1500V H1Z2Z2</v>
      </c>
      <c r="D33" s="285"/>
      <c r="E33" s="285"/>
      <c r="F33" s="285"/>
      <c r="G33" s="285"/>
      <c r="H33" s="285"/>
      <c r="I33" s="285"/>
      <c r="J33" s="285"/>
      <c r="K33" s="290">
        <f ca="1">IF(N$13="DISPLAY TAX",IF($N$18="Retail",IF($L$16="USD",IF(ISNA(VLOOKUP(C33,Items!C$6:F$597,4,0)),"",(VLOOKUP(C33,Items!C$6:F$597,4,0))),IF($L$16="GH₵",IF(ISNA(VLOOKUP(C33,Items!C$6:G$597,5,0)),"",(VLOOKUP(C33,Items!C$6:G$597,5,0))),"")),IF($N$18="Super Dealer",IF($L$16="USD",IF(ISNA(VLOOKUP(C33,Items!C$6:I$597,6,0)),"",(VLOOKUP(C33,Items!C$6:I$597,6,0))),IF($L$16="GH₵",IF(ISNA(VLOOKUP(C33,Items!C$6:I$597,7,0)),"",(VLOOKUP(C33,Items!C$6:I$597,7,0))),"")),"")),IF(N$13="DO NOT DISPLAY TAX",IF($N$18="Retail",IF($L$16="USD",IF(ISNA(VLOOKUP(C33,Items!C$6:F$597,2,0)),"",(VLOOKUP(C33,Items!C$6:F$597,2,0))),IF($L$16="GH₵",IF(ISNA(VLOOKUP(C33,Items!C$6:G$597,2,0)),"",O$6*(VLOOKUP(C33,Items!C$6:G$597,2,0))),"")),IF($N$18="Super Dealer",IF($L$16="USD",IF(ISNA(VLOOKUP(C33,Items!C$6:I$597,3,0)),"",(VLOOKUP(C33,Items!C$6:I$597,3,0))),IF($L$16="GH₵",IF(ISNA(VLOOKUP(C33,Items!C$6:I$597,3,0)),"",O$6*(VLOOKUP(C33,Items!C$6:I$597,3,0))),"")),"")),""))</f>
        <v>32.199999999999996</v>
      </c>
      <c r="L33" s="287">
        <f t="shared" ref="L33:L64" ca="1" si="3">IFERROR(SUM(B33*K33),"")</f>
        <v>4636.7999999999993</v>
      </c>
      <c r="M33" s="50"/>
      <c r="N33" s="76"/>
      <c r="O33" s="76"/>
      <c r="P33" s="76"/>
      <c r="Q33" s="48"/>
      <c r="R33" s="48"/>
      <c r="S33" s="48"/>
      <c r="T33" s="48"/>
      <c r="U33" s="48"/>
      <c r="V33" s="48"/>
      <c r="W33" s="48"/>
      <c r="DK33" s="77"/>
      <c r="DL33" s="77"/>
      <c r="DM33" s="77"/>
      <c r="DN33" s="77"/>
      <c r="DO33" s="77"/>
      <c r="DP33" s="77"/>
      <c r="WVP33" s="2"/>
      <c r="WVQ33" s="2"/>
      <c r="WVR33" s="2"/>
      <c r="WVS33" s="2"/>
      <c r="WVT33" s="2"/>
      <c r="WVU33" s="2"/>
    </row>
    <row r="34" spans="1:120 16136:16141" ht="16" customHeight="1">
      <c r="A34" s="1"/>
      <c r="B34" s="299">
        <f t="array" aca="1" ref="B34" ca="1">IF($N$16="MANUAL",IFERROR(INDEX(Items!B$6:B$678,SMALL(IF(Items!B$6:B$678&lt;&gt;"",ROW(Items!B$6:B$678)-MIN(ROW(Items!B$6:B$678))+1),Items!N20)),""),IF($N$16="AUTOMATE",IFERROR(INDEX(Items!A$6:A$678,SMALL(IF(Items!A$6:A$678&lt;&gt;"",ROW(Items!A$6:A$678)-MIN(ROW(Items!A$6:A$678))+1),Items!N20)),""),""))</f>
        <v>60</v>
      </c>
      <c r="C34" s="284" t="str">
        <f t="array" aca="1" ref="C34" ca="1">IFERROR(INDEX(Items!O:O,SMALL(IF(Items!$O$6:$O$675&lt;&gt;"",ROW(Items!$O$6:$O$675)),Items!N20)),"")</f>
        <v>Hikra Sol DC Solar cable 1x16mm2 1500V H1Z2Z2</v>
      </c>
      <c r="D34" s="289"/>
      <c r="E34" s="289"/>
      <c r="F34" s="289"/>
      <c r="G34" s="289"/>
      <c r="H34" s="289"/>
      <c r="I34" s="289"/>
      <c r="J34" s="289"/>
      <c r="K34" s="290">
        <f ca="1">IF(N$13="DISPLAY TAX",IF($N$18="Retail",IF($L$16="USD",IF(ISNA(VLOOKUP(C34,Items!C$6:F$597,4,0)),"",(VLOOKUP(C34,Items!C$6:F$597,4,0))),IF($L$16="GH₵",IF(ISNA(VLOOKUP(C34,Items!C$6:G$597,5,0)),"",(VLOOKUP(C34,Items!C$6:G$597,5,0))),"")),IF($N$18="Super Dealer",IF($L$16="USD",IF(ISNA(VLOOKUP(C34,Items!C$6:I$597,6,0)),"",(VLOOKUP(C34,Items!C$6:I$597,6,0))),IF($L$16="GH₵",IF(ISNA(VLOOKUP(C34,Items!C$6:I$597,7,0)),"",(VLOOKUP(C34,Items!C$6:I$597,7,0))),"")),"")),IF(N$13="DO NOT DISPLAY TAX",IF($N$18="Retail",IF($L$16="USD",IF(ISNA(VLOOKUP(C34,Items!C$6:F$597,2,0)),"",(VLOOKUP(C34,Items!C$6:F$597,2,0))),IF($L$16="GH₵",IF(ISNA(VLOOKUP(C34,Items!C$6:G$597,2,0)),"",O$6*(VLOOKUP(C34,Items!C$6:G$597,2,0))),"")),IF($N$18="Super Dealer",IF($L$16="USD",IF(ISNA(VLOOKUP(C34,Items!C$6:I$597,3,0)),"",(VLOOKUP(C34,Items!C$6:I$597,3,0))),IF($L$16="GH₵",IF(ISNA(VLOOKUP(C34,Items!C$6:I$597,3,0)),"",O$6*(VLOOKUP(C34,Items!C$6:I$597,3,0))),"")),"")),""))</f>
        <v>62.059999999999995</v>
      </c>
      <c r="L34" s="287">
        <f t="shared" ca="1" si="3"/>
        <v>3723.6</v>
      </c>
      <c r="M34" s="50"/>
      <c r="N34" s="76"/>
      <c r="O34" s="76"/>
      <c r="P34" s="76"/>
      <c r="Q34" s="48"/>
      <c r="R34" s="48"/>
      <c r="S34" s="48"/>
      <c r="T34" s="48"/>
      <c r="U34" s="48"/>
      <c r="V34" s="48"/>
      <c r="W34" s="48"/>
    </row>
    <row r="35" spans="1:120 16136:16141" ht="16" customHeight="1">
      <c r="A35" s="1"/>
      <c r="B35" s="299">
        <f t="array" aca="1" ref="B35" ca="1">IF($N$16="MANUAL",IFERROR(INDEX(Items!B$6:B$678,SMALL(IF(Items!B$6:B$678&lt;&gt;"",ROW(Items!B$6:B$678)-MIN(ROW(Items!B$6:B$678))+1),Items!N21)),""),IF($N$16="AUTOMATE",IFERROR(INDEX(Items!A$6:A$678,SMALL(IF(Items!A$6:A$678&lt;&gt;"",ROW(Items!A$6:A$678)-MIN(ROW(Items!A$6:A$678))+1),Items!N21)),""),""))</f>
        <v>25</v>
      </c>
      <c r="C35" s="284" t="str">
        <f t="array" aca="1" ref="C35" ca="1">IFERROR(INDEX(Items!O:O,SMALL(IF(Items!$O$6:$O$675&lt;&gt;"",ROW(Items!$O$6:$O$675)),Items!N21)),"")</f>
        <v>Hikra Sol DC Solar cable 1x25mm2 1500V H1Z2Z2</v>
      </c>
      <c r="D35" s="289"/>
      <c r="E35" s="289"/>
      <c r="F35" s="289"/>
      <c r="G35" s="289"/>
      <c r="H35" s="289"/>
      <c r="I35" s="289"/>
      <c r="J35" s="289"/>
      <c r="K35" s="290">
        <f ca="1">IF(N$13="DISPLAY TAX",IF($N$18="Retail",IF($L$16="USD",IF(ISNA(VLOOKUP(C35,Items!C$6:F$597,4,0)),"",(VLOOKUP(C35,Items!C$6:F$597,4,0))),IF($L$16="GH₵",IF(ISNA(VLOOKUP(C35,Items!C$6:G$597,5,0)),"",(VLOOKUP(C35,Items!C$6:G$597,5,0))),"")),IF($N$18="Super Dealer",IF($L$16="USD",IF(ISNA(VLOOKUP(C35,Items!C$6:I$597,6,0)),"",(VLOOKUP(C35,Items!C$6:I$597,6,0))),IF($L$16="GH₵",IF(ISNA(VLOOKUP(C35,Items!C$6:I$597,7,0)),"",(VLOOKUP(C35,Items!C$6:I$597,7,0))),"")),"")),IF(N$13="DO NOT DISPLAY TAX",IF($N$18="Retail",IF($L$16="USD",IF(ISNA(VLOOKUP(C35,Items!C$6:F$597,2,0)),"",(VLOOKUP(C35,Items!C$6:F$597,2,0))),IF($L$16="GH₵",IF(ISNA(VLOOKUP(C35,Items!C$6:G$597,2,0)),"",O$6*(VLOOKUP(C35,Items!C$6:G$597,2,0))),"")),IF($N$18="Super Dealer",IF($L$16="USD",IF(ISNA(VLOOKUP(C35,Items!C$6:I$597,3,0)),"",(VLOOKUP(C35,Items!C$6:I$597,3,0))),IF($L$16="GH₵",IF(ISNA(VLOOKUP(C35,Items!C$6:I$597,3,0)),"",O$6*(VLOOKUP(C35,Items!C$6:I$597,3,0))),"")),"")),""))</f>
        <v>113.03</v>
      </c>
      <c r="L35" s="287">
        <f t="shared" ca="1" si="3"/>
        <v>2825.75</v>
      </c>
      <c r="M35" s="50"/>
      <c r="N35" s="76"/>
      <c r="O35" s="76"/>
      <c r="P35" s="76"/>
      <c r="Q35" s="48"/>
      <c r="R35" s="48"/>
      <c r="S35" s="48"/>
      <c r="T35" s="48"/>
      <c r="U35" s="48"/>
      <c r="V35" s="48"/>
      <c r="W35" s="48"/>
    </row>
    <row r="36" spans="1:120 16136:16141" ht="16" customHeight="1">
      <c r="A36" s="1"/>
      <c r="B36" s="299">
        <f t="array" aca="1" ref="B36" ca="1">IF($N$16="MANUAL",IFERROR(INDEX(Items!B$6:B$678,SMALL(IF(Items!B$6:B$678&lt;&gt;"",ROW(Items!B$6:B$678)-MIN(ROW(Items!B$6:B$678))+1),Items!N22)),""),IF($N$16="AUTOMATE",IFERROR(INDEX(Items!A$6:A$678,SMALL(IF(Items!A$6:A$678&lt;&gt;"",ROW(Items!A$6:A$678)-MIN(ROW(Items!A$6:A$678))+1),Items!N22)),""),""))</f>
        <v>10</v>
      </c>
      <c r="C36" s="284" t="str">
        <f t="array" aca="1" ref="C36" ca="1">IFERROR(INDEX(Items!O:O,SMALL(IF(Items!$O$6:$O$675&lt;&gt;"",ROW(Items!$O$6:$O$675)),Items!N22)),"")</f>
        <v>Top Cable AC solar cable 5x4mm2 RV-K 0.6/1KV</v>
      </c>
      <c r="D36" s="289"/>
      <c r="E36" s="289"/>
      <c r="F36" s="289"/>
      <c r="G36" s="289"/>
      <c r="H36" s="289"/>
      <c r="I36" s="289"/>
      <c r="J36" s="289"/>
      <c r="K36" s="290">
        <f ca="1">IF(N$13="DISPLAY TAX",IF($N$18="Retail",IF($L$16="USD",IF(ISNA(VLOOKUP(C36,Items!C$6:F$597,4,0)),"",(VLOOKUP(C36,Items!C$6:F$597,4,0))),IF($L$16="GH₵",IF(ISNA(VLOOKUP(C36,Items!C$6:G$597,5,0)),"",(VLOOKUP(C36,Items!C$6:G$597,5,0))),"")),IF($N$18="Super Dealer",IF($L$16="USD",IF(ISNA(VLOOKUP(C36,Items!C$6:I$597,6,0)),"",(VLOOKUP(C36,Items!C$6:I$597,6,0))),IF($L$16="GH₵",IF(ISNA(VLOOKUP(C36,Items!C$6:I$597,7,0)),"",(VLOOKUP(C36,Items!C$6:I$597,7,0))),"")),"")),IF(N$13="DO NOT DISPLAY TAX",IF($N$18="Retail",IF($L$16="USD",IF(ISNA(VLOOKUP(C36,Items!C$6:F$597,2,0)),"",(VLOOKUP(C36,Items!C$6:F$597,2,0))),IF($L$16="GH₵",IF(ISNA(VLOOKUP(C36,Items!C$6:G$597,2,0)),"",O$6*(VLOOKUP(C36,Items!C$6:G$597,2,0))),"")),IF($N$18="Super Dealer",IF($L$16="USD",IF(ISNA(VLOOKUP(C36,Items!C$6:I$597,3,0)),"",(VLOOKUP(C36,Items!C$6:I$597,3,0))),IF($L$16="GH₵",IF(ISNA(VLOOKUP(C36,Items!C$6:I$597,3,0)),"",O$6*(VLOOKUP(C36,Items!C$6:I$597,3,0))),"")),"")),""))</f>
        <v>143.98999999999998</v>
      </c>
      <c r="L36" s="287">
        <f ca="1">IFERROR(SUM(B36*K36),"")</f>
        <v>1439.8999999999999</v>
      </c>
      <c r="M36" s="50"/>
      <c r="N36" s="76"/>
      <c r="O36" s="76"/>
      <c r="P36" s="76"/>
      <c r="Q36" s="48"/>
      <c r="R36" s="48"/>
      <c r="S36" s="48"/>
      <c r="T36" s="48"/>
      <c r="U36" s="48"/>
      <c r="V36" s="48"/>
      <c r="W36" s="48"/>
    </row>
    <row r="37" spans="1:120 16136:16141" ht="16" customHeight="1">
      <c r="A37" s="1"/>
      <c r="B37" s="299">
        <f t="array" aca="1" ref="B37" ca="1">IF($N$16="MANUAL",IFERROR(INDEX(Items!B$6:B$678,SMALL(IF(Items!B$6:B$678&lt;&gt;"",ROW(Items!B$6:B$678)-MIN(ROW(Items!B$6:B$678))+1),Items!N23)),""),IF($N$16="AUTOMATE",IFERROR(INDEX(Items!A$6:A$678,SMALL(IF(Items!A$6:A$678&lt;&gt;"",ROW(Items!A$6:A$678)-MIN(ROW(Items!A$6:A$678))+1),Items!N23)),""),""))</f>
        <v>60</v>
      </c>
      <c r="C37" s="284" t="str">
        <f t="array" aca="1" ref="C37" ca="1">IFERROR(INDEX(Items!O:O,SMALL(IF(Items!$O$6:$O$675&lt;&gt;"",ROW(Items!$O$6:$O$675)),Items!N23)),"")</f>
        <v>1x6mm2 RV-K 0.6/1KV Yellow/Green Earth Cable</v>
      </c>
      <c r="D37" s="289"/>
      <c r="E37" s="289"/>
      <c r="F37" s="289"/>
      <c r="G37" s="289"/>
      <c r="H37" s="289"/>
      <c r="I37" s="289"/>
      <c r="J37" s="289"/>
      <c r="K37" s="290">
        <f ca="1">IF(N$13="DISPLAY TAX",IF($N$18="Retail",IF($L$16="USD",IF(ISNA(VLOOKUP(C37,Items!C$6:F$597,4,0)),"",(VLOOKUP(C37,Items!C$6:F$597,4,0))),IF($L$16="GH₵",IF(ISNA(VLOOKUP(C37,Items!C$6:G$597,5,0)),"",(VLOOKUP(C37,Items!C$6:G$597,5,0))),"")),IF($N$18="Super Dealer",IF($L$16="USD",IF(ISNA(VLOOKUP(C37,Items!C$6:I$597,6,0)),"",(VLOOKUP(C37,Items!C$6:I$597,6,0))),IF($L$16="GH₵",IF(ISNA(VLOOKUP(C37,Items!C$6:I$597,7,0)),"",(VLOOKUP(C37,Items!C$6:I$597,7,0))),"")),"")),IF(N$13="DO NOT DISPLAY TAX",IF($N$18="Retail",IF($L$16="USD",IF(ISNA(VLOOKUP(C37,Items!C$6:F$597,2,0)),"",(VLOOKUP(C37,Items!C$6:F$597,2,0))),IF($L$16="GH₵",IF(ISNA(VLOOKUP(C37,Items!C$6:G$597,2,0)),"",O$6*(VLOOKUP(C37,Items!C$6:G$597,2,0))),"")),IF($N$18="Super Dealer",IF($L$16="USD",IF(ISNA(VLOOKUP(C37,Items!C$6:I$597,3,0)),"",(VLOOKUP(C37,Items!C$6:I$597,3,0))),IF($L$16="GH₵",IF(ISNA(VLOOKUP(C37,Items!C$6:I$597,3,0)),"",O$6*(VLOOKUP(C37,Items!C$6:I$597,3,0))),"")),"")),""))</f>
        <v>30.14</v>
      </c>
      <c r="L37" s="287">
        <f t="shared" ca="1" si="3"/>
        <v>1808.4</v>
      </c>
      <c r="M37" s="50"/>
      <c r="N37" s="76"/>
      <c r="O37" s="76"/>
      <c r="P37" s="76"/>
      <c r="Q37" s="48"/>
      <c r="R37" s="48"/>
      <c r="S37" s="48"/>
      <c r="T37" s="48"/>
      <c r="U37" s="48"/>
      <c r="V37" s="48"/>
      <c r="W37" s="48"/>
    </row>
    <row r="38" spans="1:120 16136:16141" ht="16" customHeight="1">
      <c r="A38" s="1"/>
      <c r="B38" s="299">
        <f t="array" aca="1" ref="B38" ca="1">IF($N$16="MANUAL",IFERROR(INDEX(Items!B$6:B$678,SMALL(IF(Items!B$6:B$678&lt;&gt;"",ROW(Items!B$6:B$678)-MIN(ROW(Items!B$6:B$678))+1),Items!N24)),""),IF($N$16="AUTOMATE",IFERROR(INDEX(Items!A$6:A$678,SMALL(IF(Items!A$6:A$678&lt;&gt;"",ROW(Items!A$6:A$678)-MIN(ROW(Items!A$6:A$678))+1),Items!N24)),""),""))</f>
        <v>2</v>
      </c>
      <c r="C38" s="284" t="str">
        <f t="array" aca="1" ref="C38" ca="1">IFERROR(INDEX(Items!O:O,SMALL(IF(Items!$O$6:$O$675&lt;&gt;"",ROW(Items!$O$6:$O$675)),Items!N24)),"")</f>
        <v>Victron RJ45 UTP Cable 3 m</v>
      </c>
      <c r="D38" s="289"/>
      <c r="E38" s="289"/>
      <c r="F38" s="289"/>
      <c r="G38" s="289"/>
      <c r="H38" s="289"/>
      <c r="I38" s="289"/>
      <c r="J38" s="289"/>
      <c r="K38" s="290">
        <f ca="1">IF(N$13="DISPLAY TAX",IF($N$18="Retail",IF($L$16="USD",IF(ISNA(VLOOKUP(C38,Items!C$6:F$597,4,0)),"",(VLOOKUP(C38,Items!C$6:F$597,4,0))),IF($L$16="GH₵",IF(ISNA(VLOOKUP(C38,Items!C$6:G$597,5,0)),"",(VLOOKUP(C38,Items!C$6:G$597,5,0))),"")),IF($N$18="Super Dealer",IF($L$16="USD",IF(ISNA(VLOOKUP(C38,Items!C$6:I$597,6,0)),"",(VLOOKUP(C38,Items!C$6:I$597,6,0))),IF($L$16="GH₵",IF(ISNA(VLOOKUP(C38,Items!C$6:I$597,7,0)),"",(VLOOKUP(C38,Items!C$6:I$597,7,0))),"")),"")),IF(N$13="DO NOT DISPLAY TAX",IF($N$18="Retail",IF($L$16="USD",IF(ISNA(VLOOKUP(C38,Items!C$6:F$597,2,0)),"",(VLOOKUP(C38,Items!C$6:F$597,2,0))),IF($L$16="GH₵",IF(ISNA(VLOOKUP(C38,Items!C$6:G$597,2,0)),"",O$6*(VLOOKUP(C38,Items!C$6:G$597,2,0))),"")),IF($N$18="Super Dealer",IF($L$16="USD",IF(ISNA(VLOOKUP(C38,Items!C$6:I$597,3,0)),"",(VLOOKUP(C38,Items!C$6:I$597,3,0))),IF($L$16="GH₵",IF(ISNA(VLOOKUP(C38,Items!C$6:I$597,3,0)),"",O$6*(VLOOKUP(C38,Items!C$6:I$597,3,0))),"")),"")),""))</f>
        <v>173.17</v>
      </c>
      <c r="L38" s="287">
        <f t="shared" ref="L38" ca="1" si="4">IFERROR(SUM(B38*K38),"")</f>
        <v>346.34</v>
      </c>
      <c r="M38" s="50"/>
      <c r="N38" s="76"/>
      <c r="O38" s="76"/>
      <c r="P38" s="76"/>
      <c r="Q38" s="48"/>
      <c r="R38" s="48"/>
      <c r="S38" s="48"/>
      <c r="T38" s="48"/>
      <c r="U38" s="48"/>
      <c r="V38" s="48"/>
      <c r="W38" s="48"/>
    </row>
    <row r="39" spans="1:120 16136:16141" ht="16" customHeight="1">
      <c r="A39" s="1"/>
      <c r="B39" s="299">
        <f t="array" aca="1" ref="B39" ca="1">IF($N$16="MANUAL",IFERROR(INDEX(Items!B$6:B$678,SMALL(IF(Items!B$6:B$678&lt;&gt;"",ROW(Items!B$6:B$678)-MIN(ROW(Items!B$6:B$678))+1),Items!N25)),""),IF($N$16="AUTOMATE",IFERROR(INDEX(Items!A$6:A$678,SMALL(IF(Items!A$6:A$678&lt;&gt;"",ROW(Items!A$6:A$678)-MIN(ROW(Items!A$6:A$678))+1),Items!N25)),""),""))</f>
        <v>4</v>
      </c>
      <c r="C39" s="284" t="str">
        <f t="array" aca="1" ref="C39" ca="1">IFERROR(INDEX(Items!O:O,SMALL(IF(Items!$O$6:$O$675&lt;&gt;"",ROW(Items!$O$6:$O$675)),Items!N25)),"")</f>
        <v>Victron VE.Direct Cable 1,8m</v>
      </c>
      <c r="D39" s="289"/>
      <c r="E39" s="289"/>
      <c r="F39" s="289"/>
      <c r="G39" s="289"/>
      <c r="H39" s="289"/>
      <c r="I39" s="289"/>
      <c r="J39" s="289"/>
      <c r="K39" s="290">
        <f ca="1">IF(N$13="DISPLAY TAX",IF($N$18="Retail",IF($L$16="USD",IF(ISNA(VLOOKUP(C39,Items!C$6:F$597,4,0)),"",(VLOOKUP(C39,Items!C$6:F$597,4,0))),IF($L$16="GH₵",IF(ISNA(VLOOKUP(C39,Items!C$6:G$597,5,0)),"",(VLOOKUP(C39,Items!C$6:G$597,5,0))),"")),IF($N$18="Super Dealer",IF($L$16="USD",IF(ISNA(VLOOKUP(C39,Items!C$6:I$597,6,0)),"",(VLOOKUP(C39,Items!C$6:I$597,6,0))),IF($L$16="GH₵",IF(ISNA(VLOOKUP(C39,Items!C$6:I$597,7,0)),"",(VLOOKUP(C39,Items!C$6:I$597,7,0))),"")),"")),IF(N$13="DO NOT DISPLAY TAX",IF($N$18="Retail",IF($L$16="USD",IF(ISNA(VLOOKUP(C39,Items!C$6:F$597,2,0)),"",(VLOOKUP(C39,Items!C$6:F$597,2,0))),IF($L$16="GH₵",IF(ISNA(VLOOKUP(C39,Items!C$6:G$597,2,0)),"",O$6*(VLOOKUP(C39,Items!C$6:G$597,2,0))),"")),IF($N$18="Super Dealer",IF($L$16="USD",IF(ISNA(VLOOKUP(C39,Items!C$6:I$597,3,0)),"",(VLOOKUP(C39,Items!C$6:I$597,3,0))),IF($L$16="GH₵",IF(ISNA(VLOOKUP(C39,Items!C$6:I$597,3,0)),"",O$6*(VLOOKUP(C39,Items!C$6:I$597,3,0))),"")),"")),""))</f>
        <v>185.64</v>
      </c>
      <c r="L39" s="287">
        <f t="shared" ca="1" si="3"/>
        <v>742.56</v>
      </c>
      <c r="M39" s="50"/>
      <c r="N39" s="76"/>
      <c r="O39" s="76"/>
      <c r="P39" s="76"/>
      <c r="Q39" s="48"/>
      <c r="R39" s="48"/>
      <c r="S39" s="48"/>
      <c r="T39" s="48"/>
      <c r="U39" s="48"/>
      <c r="V39" s="48"/>
      <c r="W39" s="48"/>
    </row>
    <row r="40" spans="1:120 16136:16141" ht="16" customHeight="1">
      <c r="A40" s="1"/>
      <c r="B40" s="299">
        <f t="array" aca="1" ref="B40" ca="1">IF($N$16="MANUAL",IFERROR(INDEX(Items!B$6:B$678,SMALL(IF(Items!B$6:B$678&lt;&gt;"",ROW(Items!B$6:B$678)-MIN(ROW(Items!B$6:B$678))+1),Items!N26)),""),IF($N$16="AUTOMATE",IFERROR(INDEX(Items!A$6:A$678,SMALL(IF(Items!A$6:A$678&lt;&gt;"",ROW(Items!A$6:A$678)-MIN(ROW(Items!A$6:A$678))+1),Items!N26)),""),""))</f>
        <v>1</v>
      </c>
      <c r="C40" s="284" t="str">
        <f t="array" aca="1" ref="C40" ca="1">IFERROR(INDEX(Items!O:O,SMALL(IF(Items!$O$6:$O$675&lt;&gt;"",ROW(Items!$O$6:$O$675)),Items!N26)),"")</f>
        <v>Victron VE.Can to CAN-bus BMS type A Cable 1.8m</v>
      </c>
      <c r="D40" s="289"/>
      <c r="E40" s="289"/>
      <c r="F40" s="289"/>
      <c r="G40" s="289"/>
      <c r="H40" s="289"/>
      <c r="I40" s="289"/>
      <c r="J40" s="289"/>
      <c r="K40" s="290">
        <f ca="1">IF(N$13="DISPLAY TAX",IF($N$18="Retail",IF($L$16="USD",IF(ISNA(VLOOKUP(C40,Items!C$6:F$597,4,0)),"",(VLOOKUP(C40,Items!C$6:F$597,4,0))),IF($L$16="GH₵",IF(ISNA(VLOOKUP(C40,Items!C$6:G$597,5,0)),"",(VLOOKUP(C40,Items!C$6:G$597,5,0))),"")),IF($N$18="Super Dealer",IF($L$16="USD",IF(ISNA(VLOOKUP(C40,Items!C$6:I$597,6,0)),"",(VLOOKUP(C40,Items!C$6:I$597,6,0))),IF($L$16="GH₵",IF(ISNA(VLOOKUP(C40,Items!C$6:I$597,7,0)),"",(VLOOKUP(C40,Items!C$6:I$597,7,0))),"")),"")),IF(N$13="DO NOT DISPLAY TAX",IF($N$18="Retail",IF($L$16="USD",IF(ISNA(VLOOKUP(C40,Items!C$6:F$597,2,0)),"",(VLOOKUP(C40,Items!C$6:F$597,2,0))),IF($L$16="GH₵",IF(ISNA(VLOOKUP(C40,Items!C$6:G$597,2,0)),"",O$6*(VLOOKUP(C40,Items!C$6:G$597,2,0))),"")),IF($N$18="Super Dealer",IF($L$16="USD",IF(ISNA(VLOOKUP(C40,Items!C$6:I$597,3,0)),"",(VLOOKUP(C40,Items!C$6:I$597,3,0))),IF($L$16="GH₵",IF(ISNA(VLOOKUP(C40,Items!C$6:I$597,3,0)),"",O$6*(VLOOKUP(C40,Items!C$6:I$597,3,0))),"")),"")),""))</f>
        <v>197.97</v>
      </c>
      <c r="L40" s="287">
        <f t="shared" ref="L40" ca="1" si="5">IFERROR(SUM(B40*K40),"")</f>
        <v>197.97</v>
      </c>
      <c r="M40" s="50"/>
      <c r="N40" s="76"/>
      <c r="O40" s="76"/>
      <c r="P40" s="76"/>
      <c r="Q40" s="48"/>
      <c r="R40" s="48"/>
      <c r="S40" s="48"/>
      <c r="T40" s="48"/>
      <c r="U40" s="48"/>
      <c r="V40" s="48"/>
      <c r="W40" s="48"/>
    </row>
    <row r="41" spans="1:120 16136:16141" ht="16" customHeight="1">
      <c r="A41" s="1"/>
      <c r="B41" s="299">
        <f t="array" aca="1" ref="B41" ca="1">IF($N$16="MANUAL",IFERROR(INDEX(Items!B$6:B$678,SMALL(IF(Items!B$6:B$678&lt;&gt;"",ROW(Items!B$6:B$678)-MIN(ROW(Items!B$6:B$678))+1),Items!N27)),""),IF($N$16="AUTOMATE",IFERROR(INDEX(Items!A$6:A$678,SMALL(IF(Items!A$6:A$678&lt;&gt;"",ROW(Items!A$6:A$678)-MIN(ROW(Items!A$6:A$678))+1),Items!N27)),""),""))</f>
        <v>1</v>
      </c>
      <c r="C41" s="284" t="str">
        <f t="array" aca="1" ref="C41" ca="1">IFERROR(INDEX(Items!O:O,SMALL(IF(Items!$O$6:$O$675&lt;&gt;"",ROW(Items!$O$6:$O$675)),Items!N27)),"")</f>
        <v>63A Manual Transfer Switch</v>
      </c>
      <c r="D41" s="289"/>
      <c r="E41" s="289"/>
      <c r="F41" s="289"/>
      <c r="G41" s="289"/>
      <c r="H41" s="289"/>
      <c r="I41" s="289"/>
      <c r="J41" s="289"/>
      <c r="K41" s="290">
        <f ca="1">IF(N$13="DISPLAY TAX",IF($N$18="Retail",IF($L$16="USD",IF(ISNA(VLOOKUP(C41,Items!C$6:F$597,4,0)),"",(VLOOKUP(C41,Items!C$6:F$597,4,0))),IF($L$16="GH₵",IF(ISNA(VLOOKUP(C41,Items!C$6:G$597,5,0)),"",(VLOOKUP(C41,Items!C$6:G$597,5,0))),"")),IF($N$18="Super Dealer",IF($L$16="USD",IF(ISNA(VLOOKUP(C41,Items!C$6:I$597,6,0)),"",(VLOOKUP(C41,Items!C$6:I$597,6,0))),IF($L$16="GH₵",IF(ISNA(VLOOKUP(C41,Items!C$6:I$597,7,0)),"",(VLOOKUP(C41,Items!C$6:I$597,7,0))),"")),"")),IF(N$13="DO NOT DISPLAY TAX",IF($N$18="Retail",IF($L$16="USD",IF(ISNA(VLOOKUP(C41,Items!C$6:F$597,2,0)),"",(VLOOKUP(C41,Items!C$6:F$597,2,0))),IF($L$16="GH₵",IF(ISNA(VLOOKUP(C41,Items!C$6:G$597,2,0)),"",O$6*(VLOOKUP(C41,Items!C$6:G$597,2,0))),"")),IF($N$18="Super Dealer",IF($L$16="USD",IF(ISNA(VLOOKUP(C41,Items!C$6:I$597,3,0)),"",(VLOOKUP(C41,Items!C$6:I$597,3,0))),IF($L$16="GH₵",IF(ISNA(VLOOKUP(C41,Items!C$6:I$597,3,0)),"",O$6*(VLOOKUP(C41,Items!C$6:I$597,3,0))),"")),"")),""))</f>
        <v>966.11</v>
      </c>
      <c r="L41" s="287">
        <f t="shared" ca="1" si="3"/>
        <v>966.11</v>
      </c>
      <c r="M41" s="50"/>
      <c r="N41" s="76"/>
      <c r="O41" s="76"/>
      <c r="P41" s="76"/>
      <c r="Q41" s="48"/>
      <c r="R41" s="48"/>
      <c r="S41" s="48"/>
      <c r="T41" s="48"/>
      <c r="U41" s="48"/>
      <c r="V41" s="48"/>
      <c r="W41" s="48"/>
    </row>
    <row r="42" spans="1:120 16136:16141" ht="16" customHeight="1">
      <c r="A42" s="1"/>
      <c r="B42" s="299">
        <f t="array" aca="1" ref="B42" ca="1">IF($N$16="MANUAL",IFERROR(INDEX(Items!B$6:B$678,SMALL(IF(Items!B$6:B$678&lt;&gt;"",ROW(Items!B$6:B$678)-MIN(ROW(Items!B$6:B$678))+1),Items!N28)),""),IF($N$16="AUTOMATE",IFERROR(INDEX(Items!A$6:A$678,SMALL(IF(Items!A$6:A$678&lt;&gt;"",ROW(Items!A$6:A$678)-MIN(ROW(Items!A$6:A$678))+1),Items!N28)),""),""))</f>
        <v>2</v>
      </c>
      <c r="C42" s="284" t="str">
        <f t="array" aca="1" ref="C42" ca="1">IFERROR(INDEX(Items!O:O,SMALL(IF(Items!$O$6:$O$675&lt;&gt;"",ROW(Items!$O$6:$O$675)),Items!N28)),"")</f>
        <v>32A 2-Pole AC Circuit Breaker</v>
      </c>
      <c r="D42" s="289"/>
      <c r="E42" s="289"/>
      <c r="F42" s="289"/>
      <c r="G42" s="289"/>
      <c r="H42" s="289"/>
      <c r="I42" s="289"/>
      <c r="J42" s="289"/>
      <c r="K42" s="290">
        <f ca="1">IF(N$13="DISPLAY TAX",IF($N$18="Retail",IF($L$16="USD",IF(ISNA(VLOOKUP(C42,Items!C$6:F$597,4,0)),"",(VLOOKUP(C42,Items!C$6:F$597,4,0))),IF($L$16="GH₵",IF(ISNA(VLOOKUP(C42,Items!C$6:G$597,5,0)),"",(VLOOKUP(C42,Items!C$6:G$597,5,0))),"")),IF($N$18="Super Dealer",IF($L$16="USD",IF(ISNA(VLOOKUP(C42,Items!C$6:I$597,6,0)),"",(VLOOKUP(C42,Items!C$6:I$597,6,0))),IF($L$16="GH₵",IF(ISNA(VLOOKUP(C42,Items!C$6:I$597,7,0)),"",(VLOOKUP(C42,Items!C$6:I$597,7,0))),"")),"")),IF(N$13="DO NOT DISPLAY TAX",IF($N$18="Retail",IF($L$16="USD",IF(ISNA(VLOOKUP(C42,Items!C$6:F$597,2,0)),"",(VLOOKUP(C42,Items!C$6:F$597,2,0))),IF($L$16="GH₵",IF(ISNA(VLOOKUP(C42,Items!C$6:G$597,2,0)),"",O$6*(VLOOKUP(C42,Items!C$6:G$597,2,0))),"")),IF($N$18="Super Dealer",IF($L$16="USD",IF(ISNA(VLOOKUP(C42,Items!C$6:I$597,3,0)),"",(VLOOKUP(C42,Items!C$6:I$597,3,0))),IF($L$16="GH₵",IF(ISNA(VLOOKUP(C42,Items!C$6:I$597,3,0)),"",O$6*(VLOOKUP(C42,Items!C$6:I$597,3,0))),"")),"")),""))</f>
        <v>671.29</v>
      </c>
      <c r="L42" s="287">
        <f t="shared" ca="1" si="3"/>
        <v>1342.58</v>
      </c>
      <c r="M42" s="50"/>
      <c r="N42" s="76"/>
      <c r="O42" s="76"/>
      <c r="P42" s="76"/>
      <c r="Q42" s="48"/>
      <c r="R42" s="48"/>
      <c r="S42" s="48"/>
      <c r="T42" s="48"/>
      <c r="U42" s="48"/>
      <c r="V42" s="48"/>
      <c r="W42" s="48"/>
    </row>
    <row r="43" spans="1:120 16136:16141" ht="16" customHeight="1">
      <c r="A43" s="1"/>
      <c r="B43" s="299">
        <f t="array" aca="1" ref="B43" ca="1">IF($N$16="MANUAL",IFERROR(INDEX(Items!B$6:B$678,SMALL(IF(Items!B$6:B$678&lt;&gt;"",ROW(Items!B$6:B$678)-MIN(ROW(Items!B$6:B$678))+1),Items!N29)),""),IF($N$16="AUTOMATE",IFERROR(INDEX(Items!A$6:A$678,SMALL(IF(Items!A$6:A$678&lt;&gt;"",ROW(Items!A$6:A$678)-MIN(ROW(Items!A$6:A$678))+1),Items!N29)),""),""))</f>
        <v>17</v>
      </c>
      <c r="C43" s="284" t="str">
        <f t="array" aca="1" ref="C43" ca="1">IFERROR(INDEX(Items!O:O,SMALL(IF(Items!$O$6:$O$675&lt;&gt;"",ROW(Items!$O$6:$O$675)),Items!N29)),"")</f>
        <v>Victron MC4 Solar connector pair MC4, 1x Male/1x Female</v>
      </c>
      <c r="D43" s="289"/>
      <c r="E43" s="289"/>
      <c r="F43" s="289"/>
      <c r="G43" s="289"/>
      <c r="H43" s="289"/>
      <c r="I43" s="289"/>
      <c r="J43" s="289"/>
      <c r="K43" s="290">
        <f ca="1">IF(N$13="DISPLAY TAX",IF($N$18="Retail",IF($L$16="USD",IF(ISNA(VLOOKUP(C43,Items!C$6:F$597,4,0)),"",(VLOOKUP(C43,Items!C$6:F$597,4,0))),IF($L$16="GH₵",IF(ISNA(VLOOKUP(C43,Items!C$6:G$597,5,0)),"",(VLOOKUP(C43,Items!C$6:G$597,5,0))),"")),IF($N$18="Super Dealer",IF($L$16="USD",IF(ISNA(VLOOKUP(C43,Items!C$6:I$597,6,0)),"",(VLOOKUP(C43,Items!C$6:I$597,6,0))),IF($L$16="GH₵",IF(ISNA(VLOOKUP(C43,Items!C$6:I$597,7,0)),"",(VLOOKUP(C43,Items!C$6:I$597,7,0))),"")),"")),IF(N$13="DO NOT DISPLAY TAX",IF($N$18="Retail",IF($L$16="USD",IF(ISNA(VLOOKUP(C43,Items!C$6:F$597,2,0)),"",(VLOOKUP(C43,Items!C$6:F$597,2,0))),IF($L$16="GH₵",IF(ISNA(VLOOKUP(C43,Items!C$6:G$597,2,0)),"",O$6*(VLOOKUP(C43,Items!C$6:G$597,2,0))),"")),IF($N$18="Super Dealer",IF($L$16="USD",IF(ISNA(VLOOKUP(C43,Items!C$6:I$597,3,0)),"",(VLOOKUP(C43,Items!C$6:I$597,3,0))),IF($L$16="GH₵",IF(ISNA(VLOOKUP(C43,Items!C$6:I$597,3,0)),"",O$6*(VLOOKUP(C43,Items!C$6:I$597,3,0))),"")),"")),""))</f>
        <v>123.71000000000001</v>
      </c>
      <c r="L43" s="287">
        <f t="shared" ref="L43" ca="1" si="6">IFERROR(SUM(B43*K43),"")</f>
        <v>2103.0700000000002</v>
      </c>
      <c r="M43" s="50"/>
      <c r="N43" s="76"/>
      <c r="O43" s="76"/>
      <c r="P43" s="76"/>
      <c r="Q43" s="48"/>
      <c r="R43" s="48"/>
      <c r="S43" s="48"/>
      <c r="T43" s="48"/>
      <c r="U43" s="48"/>
      <c r="V43" s="48"/>
      <c r="W43" s="48"/>
    </row>
    <row r="44" spans="1:120 16136:16141" ht="16" customHeight="1">
      <c r="A44" s="1"/>
      <c r="B44" s="299">
        <f t="array" aca="1" ref="B44" ca="1">IF($N$16="MANUAL",IFERROR(INDEX(Items!B$6:B$678,SMALL(IF(Items!B$6:B$678&lt;&gt;"",ROW(Items!B$6:B$678)-MIN(ROW(Items!B$6:B$678))+1),Items!N30)),""),IF($N$16="AUTOMATE",IFERROR(INDEX(Items!A$6:A$678,SMALL(IF(Items!A$6:A$678&lt;&gt;"",ROW(Items!A$6:A$678)-MIN(ROW(Items!A$6:A$678))+1),Items!N30)),""),""))</f>
        <v>1</v>
      </c>
      <c r="C44" s="284" t="str">
        <f t="array" aca="1" ref="C44" ca="1">IFERROR(INDEX(Items!O:O,SMALL(IF(Items!$O$6:$O$675&lt;&gt;"",ROW(Items!$O$6:$O$675)),Items!N30)),"")</f>
        <v>50x200mm Enclosure with Dinrail</v>
      </c>
      <c r="D44" s="289"/>
      <c r="E44" s="289"/>
      <c r="F44" s="289"/>
      <c r="G44" s="289"/>
      <c r="H44" s="289"/>
      <c r="I44" s="289"/>
      <c r="J44" s="289"/>
      <c r="K44" s="290">
        <f ca="1">IF(N$13="DISPLAY TAX",IF($N$18="Retail",IF($L$16="USD",IF(ISNA(VLOOKUP(C44,Items!C$6:F$597,4,0)),"",(VLOOKUP(C44,Items!C$6:F$597,4,0))),IF($L$16="GH₵",IF(ISNA(VLOOKUP(C44,Items!C$6:G$597,5,0)),"",(VLOOKUP(C44,Items!C$6:G$597,5,0))),"")),IF($N$18="Super Dealer",IF($L$16="USD",IF(ISNA(VLOOKUP(C44,Items!C$6:I$597,6,0)),"",(VLOOKUP(C44,Items!C$6:I$597,6,0))),IF($L$16="GH₵",IF(ISNA(VLOOKUP(C44,Items!C$6:I$597,7,0)),"",(VLOOKUP(C44,Items!C$6:I$597,7,0))),"")),"")),IF(N$13="DO NOT DISPLAY TAX",IF($N$18="Retail",IF($L$16="USD",IF(ISNA(VLOOKUP(C44,Items!C$6:F$597,2,0)),"",(VLOOKUP(C44,Items!C$6:F$597,2,0))),IF($L$16="GH₵",IF(ISNA(VLOOKUP(C44,Items!C$6:G$597,2,0)),"",O$6*(VLOOKUP(C44,Items!C$6:G$597,2,0))),"")),IF($N$18="Super Dealer",IF($L$16="USD",IF(ISNA(VLOOKUP(C44,Items!C$6:I$597,3,0)),"",(VLOOKUP(C44,Items!C$6:I$597,3,0))),IF($L$16="GH₵",IF(ISNA(VLOOKUP(C44,Items!C$6:I$597,3,0)),"",O$6*(VLOOKUP(C44,Items!C$6:I$597,3,0))),"")),"")),""))</f>
        <v>232.2</v>
      </c>
      <c r="L44" s="287">
        <f t="shared" ca="1" si="3"/>
        <v>232.2</v>
      </c>
      <c r="M44" s="50"/>
      <c r="N44" s="76"/>
      <c r="O44" s="76"/>
      <c r="P44" s="76"/>
      <c r="Q44" s="48"/>
      <c r="R44" s="48"/>
      <c r="S44" s="48"/>
      <c r="T44" s="48"/>
      <c r="U44" s="48"/>
      <c r="V44" s="48"/>
      <c r="W44" s="48"/>
    </row>
    <row r="45" spans="1:120 16136:16141" ht="16" customHeight="1">
      <c r="A45" s="1"/>
      <c r="B45" s="299">
        <f t="array" aca="1" ref="B45" ca="1">IF($N$16="MANUAL",IFERROR(INDEX(Items!B$6:B$678,SMALL(IF(Items!B$6:B$678&lt;&gt;"",ROW(Items!B$6:B$678)-MIN(ROW(Items!B$6:B$678))+1),Items!N31)),""),IF($N$16="AUTOMATE",IFERROR(INDEX(Items!A$6:A$678,SMALL(IF(Items!A$6:A$678&lt;&gt;"",ROW(Items!A$6:A$678)-MIN(ROW(Items!A$6:A$678))+1),Items!N31)),""),""))</f>
        <v>1</v>
      </c>
      <c r="C45" s="284" t="str">
        <f t="array" aca="1" ref="C45" ca="1">IFERROR(INDEX(Items!O:O,SMALL(IF(Items!$O$6:$O$675&lt;&gt;"",ROW(Items!$O$6:$O$675)),Items!N31)),"")</f>
        <v>Network Router</v>
      </c>
      <c r="D45" s="289"/>
      <c r="E45" s="289"/>
      <c r="F45" s="289"/>
      <c r="G45" s="289"/>
      <c r="H45" s="289"/>
      <c r="I45" s="289"/>
      <c r="J45" s="289"/>
      <c r="K45" s="290">
        <f ca="1">IF(N$13="DISPLAY TAX",IF($N$18="Retail",IF($L$16="USD",IF(ISNA(VLOOKUP(C45,Items!C$6:F$597,4,0)),"",(VLOOKUP(C45,Items!C$6:F$597,4,0))),IF($L$16="GH₵",IF(ISNA(VLOOKUP(C45,Items!C$6:G$597,5,0)),"",(VLOOKUP(C45,Items!C$6:G$597,5,0))),"")),IF($N$18="Super Dealer",IF($L$16="USD",IF(ISNA(VLOOKUP(C45,Items!C$6:I$597,6,0)),"",(VLOOKUP(C45,Items!C$6:I$597,6,0))),IF($L$16="GH₵",IF(ISNA(VLOOKUP(C45,Items!C$6:I$597,7,0)),"",(VLOOKUP(C45,Items!C$6:I$597,7,0))),"")),"")),IF(N$13="DO NOT DISPLAY TAX",IF($N$18="Retail",IF($L$16="USD",IF(ISNA(VLOOKUP(C45,Items!C$6:F$597,2,0)),"",(VLOOKUP(C45,Items!C$6:F$597,2,0))),IF($L$16="GH₵",IF(ISNA(VLOOKUP(C45,Items!C$6:G$597,2,0)),"",O$6*(VLOOKUP(C45,Items!C$6:G$597,2,0))),"")),IF($N$18="Super Dealer",IF($L$16="USD",IF(ISNA(VLOOKUP(C45,Items!C$6:I$597,3,0)),"",(VLOOKUP(C45,Items!C$6:I$597,3,0))),IF($L$16="GH₵",IF(ISNA(VLOOKUP(C45,Items!C$6:I$597,3,0)),"",O$6*(VLOOKUP(C45,Items!C$6:I$597,3,0))),"")),"")),""))</f>
        <v>1643.98</v>
      </c>
      <c r="L45" s="287">
        <f t="shared" ca="1" si="3"/>
        <v>1643.98</v>
      </c>
      <c r="M45" s="50"/>
      <c r="N45" s="76"/>
      <c r="O45" s="76"/>
      <c r="P45" s="76"/>
      <c r="Q45" s="48"/>
      <c r="R45" s="48"/>
      <c r="S45" s="48"/>
      <c r="T45" s="48"/>
      <c r="U45" s="48"/>
      <c r="V45" s="48"/>
      <c r="W45" s="48"/>
    </row>
    <row r="46" spans="1:120 16136:16141" ht="16" customHeight="1">
      <c r="A46" s="1"/>
      <c r="B46" s="299">
        <f t="array" aca="1" ref="B46" ca="1">IF($N$16="MANUAL",IFERROR(INDEX(Items!B$6:B$678,SMALL(IF(Items!B$6:B$678&lt;&gt;"",ROW(Items!B$6:B$678)-MIN(ROW(Items!B$6:B$678))+1),Items!N32)),""),IF($N$16="AUTOMATE",IFERROR(INDEX(Items!A$6:A$678,SMALL(IF(Items!A$6:A$678&lt;&gt;"",ROW(Items!A$6:A$678)-MIN(ROW(Items!A$6:A$678))+1),Items!N32)),""),""))</f>
        <v>10</v>
      </c>
      <c r="C46" s="284" t="str">
        <f t="array" aca="1" ref="C46" ca="1">IFERROR(INDEX(Items!O:O,SMALL(IF(Items!$O$6:$O$675&lt;&gt;"",ROW(Items!$O$6:$O$675)),Items!N32)),"")</f>
        <v>Mounting Structure for Metal/ Tile Roof (per set of 4 panels) - 4.64 meter</v>
      </c>
      <c r="D46" s="289"/>
      <c r="E46" s="289"/>
      <c r="F46" s="289"/>
      <c r="G46" s="289"/>
      <c r="H46" s="289"/>
      <c r="I46" s="289"/>
      <c r="J46" s="289"/>
      <c r="K46" s="290">
        <f ca="1">IF(N$13="DISPLAY TAX",IF($N$18="Retail",IF($L$16="USD",IF(ISNA(VLOOKUP(C46,Items!C$6:F$597,4,0)),"",(VLOOKUP(C46,Items!C$6:F$597,4,0))),IF($L$16="GH₵",IF(ISNA(VLOOKUP(C46,Items!C$6:G$597,5,0)),"",(VLOOKUP(C46,Items!C$6:G$597,5,0))),"")),IF($N$18="Super Dealer",IF($L$16="USD",IF(ISNA(VLOOKUP(C46,Items!C$6:I$597,6,0)),"",(VLOOKUP(C46,Items!C$6:I$597,6,0))),IF($L$16="GH₵",IF(ISNA(VLOOKUP(C46,Items!C$6:I$597,7,0)),"",(VLOOKUP(C46,Items!C$6:I$597,7,0))),"")),"")),IF(N$13="DO NOT DISPLAY TAX",IF($N$18="Retail",IF($L$16="USD",IF(ISNA(VLOOKUP(C46,Items!C$6:F$597,2,0)),"",(VLOOKUP(C46,Items!C$6:F$597,2,0))),IF($L$16="GH₵",IF(ISNA(VLOOKUP(C46,Items!C$6:G$597,2,0)),"",O$6*(VLOOKUP(C46,Items!C$6:G$597,2,0))),"")),IF($N$18="Super Dealer",IF($L$16="USD",IF(ISNA(VLOOKUP(C46,Items!C$6:I$597,3,0)),"",(VLOOKUP(C46,Items!C$6:I$597,3,0))),IF($L$16="GH₵",IF(ISNA(VLOOKUP(C46,Items!C$6:I$597,3,0)),"",O$6*(VLOOKUP(C46,Items!C$6:I$597,3,0))),"")),"")),""))</f>
        <v>1178.18</v>
      </c>
      <c r="L46" s="287">
        <f t="shared" ca="1" si="3"/>
        <v>11781.800000000001</v>
      </c>
      <c r="M46" s="50"/>
      <c r="N46" s="76"/>
      <c r="O46" s="76"/>
      <c r="P46" s="76"/>
      <c r="Q46" s="48"/>
      <c r="R46" s="48"/>
      <c r="S46" s="48"/>
      <c r="T46" s="48"/>
      <c r="U46" s="48"/>
      <c r="V46" s="48"/>
      <c r="W46" s="48"/>
    </row>
    <row r="47" spans="1:120 16136:16141" ht="16" customHeight="1">
      <c r="A47" s="1"/>
      <c r="B47" s="299">
        <f t="array" aca="1" ref="B47" ca="1">IF($N$16="MANUAL",IFERROR(INDEX(Items!B$6:B$678,SMALL(IF(Items!B$6:B$678&lt;&gt;"",ROW(Items!B$6:B$678)-MIN(ROW(Items!B$6:B$678))+1),Items!N33)),""),IF($N$16="AUTOMATE",IFERROR(INDEX(Items!A$6:A$678,SMALL(IF(Items!A$6:A$678&lt;&gt;"",ROW(Items!A$6:A$678)-MIN(ROW(Items!A$6:A$678))+1),Items!N33)),""),""))</f>
        <v>1</v>
      </c>
      <c r="C47" s="284" t="str">
        <f t="array" aca="1" ref="C47" ca="1">IFERROR(INDEX(Items!O:O,SMALL(IF(Items!$O$6:$O$675&lt;&gt;"",ROW(Items!$O$6:$O$675)),Items!N33)),"")</f>
        <v>Battery Rack for up to 12 Batteries - Lithium Batteries</v>
      </c>
      <c r="D47" s="285"/>
      <c r="E47" s="285"/>
      <c r="F47" s="285"/>
      <c r="G47" s="285"/>
      <c r="H47" s="285"/>
      <c r="I47" s="285"/>
      <c r="J47" s="285"/>
      <c r="K47" s="290">
        <f ca="1">IF(N$13="DISPLAY TAX",IF($N$18="Retail",IF($L$16="USD",IF(ISNA(VLOOKUP(C47,Items!C$6:F$597,4,0)),"",(VLOOKUP(C47,Items!C$6:F$597,4,0))),IF($L$16="GH₵",IF(ISNA(VLOOKUP(C47,Items!C$6:G$597,5,0)),"",(VLOOKUP(C47,Items!C$6:G$597,5,0))),"")),IF($N$18="Super Dealer",IF($L$16="USD",IF(ISNA(VLOOKUP(C47,Items!C$6:I$597,6,0)),"",(VLOOKUP(C47,Items!C$6:I$597,6,0))),IF($L$16="GH₵",IF(ISNA(VLOOKUP(C47,Items!C$6:I$597,7,0)),"",(VLOOKUP(C47,Items!C$6:I$597,7,0))),"")),"")),IF(N$13="DO NOT DISPLAY TAX",IF($N$18="Retail",IF($L$16="USD",IF(ISNA(VLOOKUP(C47,Items!C$6:F$597,2,0)),"",(VLOOKUP(C47,Items!C$6:F$597,2,0))),IF($L$16="GH₵",IF(ISNA(VLOOKUP(C47,Items!C$6:G$597,2,0)),"",O$6*(VLOOKUP(C47,Items!C$6:G$597,2,0))),"")),IF($N$18="Super Dealer",IF($L$16="USD",IF(ISNA(VLOOKUP(C47,Items!C$6:I$597,3,0)),"",(VLOOKUP(C47,Items!C$6:I$597,3,0))),IF($L$16="GH₵",IF(ISNA(VLOOKUP(C47,Items!C$6:I$597,3,0)),"",O$6*(VLOOKUP(C47,Items!C$6:I$597,3,0))),"")),"")),""))</f>
        <v>4179.5300000000007</v>
      </c>
      <c r="L47" s="287">
        <f t="shared" ca="1" si="3"/>
        <v>4179.5300000000007</v>
      </c>
      <c r="M47" s="50"/>
      <c r="N47" s="76"/>
      <c r="O47" s="76"/>
      <c r="P47" s="76"/>
      <c r="Q47" s="48"/>
      <c r="R47" s="48"/>
      <c r="S47" s="48"/>
      <c r="T47" s="48"/>
      <c r="U47" s="48"/>
      <c r="V47" s="48"/>
      <c r="W47" s="48"/>
    </row>
    <row r="48" spans="1:120 16136:16141" ht="16" customHeight="1">
      <c r="A48" s="1"/>
      <c r="B48" s="299">
        <f t="array" aca="1" ref="B48" ca="1">IF($N$16="MANUAL",IFERROR(INDEX(Items!B$6:B$678,SMALL(IF(Items!B$6:B$678&lt;&gt;"",ROW(Items!B$6:B$678)-MIN(ROW(Items!B$6:B$678))+1),Items!N34)),""),IF($N$16="AUTOMATE",IFERROR(INDEX(Items!A$6:A$678,SMALL(IF(Items!A$6:A$678&lt;&gt;"",ROW(Items!A$6:A$678)-MIN(ROW(Items!A$6:A$678))+1),Items!N34)),""),""))</f>
        <v>1</v>
      </c>
      <c r="C48" s="284" t="str">
        <f t="array" aca="1" ref="C48" ca="1">IFERROR(INDEX(Items!O:O,SMALL(IF(Items!$O$6:$O$675&lt;&gt;"",ROW(Items!$O$6:$O$675)),Items!N34)),"")</f>
        <v>PVC Pipes, Trunking, Cable Lugs and Assessories</v>
      </c>
      <c r="D48" s="285"/>
      <c r="E48" s="285"/>
      <c r="F48" s="285"/>
      <c r="G48" s="285"/>
      <c r="H48" s="285"/>
      <c r="I48" s="285"/>
      <c r="J48" s="285"/>
      <c r="K48" s="290">
        <f ca="1">IF(N$13="DISPLAY TAX",IF($N$18="Retail",IF($L$16="USD",IF(ISNA(VLOOKUP(C48,Items!C$6:F$597,4,0)),"",(VLOOKUP(C48,Items!C$6:F$597,4,0))),IF($L$16="GH₵",IF(ISNA(VLOOKUP(C48,Items!C$6:G$597,5,0)),"",(VLOOKUP(C48,Items!C$6:G$597,5,0))),"")),IF($N$18="Super Dealer",IF($L$16="USD",IF(ISNA(VLOOKUP(C48,Items!C$6:I$597,6,0)),"",(VLOOKUP(C48,Items!C$6:I$597,6,0))),IF($L$16="GH₵",IF(ISNA(VLOOKUP(C48,Items!C$6:I$597,7,0)),"",(VLOOKUP(C48,Items!C$6:I$597,7,0))),"")),"")),IF(N$13="DO NOT DISPLAY TAX",IF($N$18="Retail",IF($L$16="USD",IF(ISNA(VLOOKUP(C48,Items!C$6:F$597,2,0)),"",(VLOOKUP(C48,Items!C$6:F$597,2,0))),IF($L$16="GH₵",IF(ISNA(VLOOKUP(C48,Items!C$6:G$597,2,0)),"",O$6*(VLOOKUP(C48,Items!C$6:G$597,2,0))),"")),IF($N$18="Super Dealer",IF($L$16="USD",IF(ISNA(VLOOKUP(C48,Items!C$6:I$597,3,0)),"",(VLOOKUP(C48,Items!C$6:I$597,3,0))),IF($L$16="GH₵",IF(ISNA(VLOOKUP(C48,Items!C$6:I$597,3,0)),"",O$6*(VLOOKUP(C48,Items!C$6:I$597,3,0))),"")),"")),""))</f>
        <v>1730</v>
      </c>
      <c r="L48" s="287">
        <f t="shared" ca="1" si="3"/>
        <v>1730</v>
      </c>
      <c r="M48" s="50"/>
      <c r="N48" s="76"/>
      <c r="O48" s="76"/>
      <c r="P48" s="76"/>
      <c r="Q48" s="48"/>
      <c r="R48" s="48"/>
      <c r="S48" s="48"/>
      <c r="T48" s="48"/>
      <c r="U48" s="48"/>
      <c r="V48" s="48"/>
      <c r="W48" s="48"/>
    </row>
    <row r="49" spans="1:123" ht="16" customHeight="1">
      <c r="A49" s="1"/>
      <c r="B49" s="299">
        <f t="array" aca="1" ref="B49" ca="1">IF($N$16="MANUAL",IFERROR(INDEX(Items!B$6:B$678,SMALL(IF(Items!B$6:B$678&lt;&gt;"",ROW(Items!B$6:B$678)-MIN(ROW(Items!B$6:B$678))+1),Items!N35)),""),IF($N$16="AUTOMATE",IFERROR(INDEX(Items!A$6:A$678,SMALL(IF(Items!A$6:A$678&lt;&gt;"",ROW(Items!A$6:A$678)-MIN(ROW(Items!A$6:A$678))+1),Items!N35)),""),""))</f>
        <v>1</v>
      </c>
      <c r="C49" s="284" t="str">
        <f t="array" aca="1" ref="C49" ca="1">IFERROR(INDEX(Items!O:O,SMALL(IF(Items!$O$6:$O$675&lt;&gt;"",ROW(Items!$O$6:$O$675)),Items!N35)),"")</f>
        <v>Engineering, Transportation and Installation Services</v>
      </c>
      <c r="D49" s="285"/>
      <c r="E49" s="285"/>
      <c r="F49" s="285"/>
      <c r="G49" s="285"/>
      <c r="H49" s="285"/>
      <c r="I49" s="285"/>
      <c r="J49" s="285"/>
      <c r="K49" s="290">
        <f ca="1">IF(N$13="DISPLAY TAX",IF($N$18="Retail",IF($L$16="USD",IF(ISNA(VLOOKUP(C49,Items!C$6:F$597,4,0)),"",(VLOOKUP(C49,Items!C$6:F$597,4,0))),IF($L$16="GH₵",IF(ISNA(VLOOKUP(C49,Items!C$6:G$597,5,0)),"",(VLOOKUP(C49,Items!C$6:G$597,5,0))),"")),IF($N$18="Super Dealer",IF($L$16="USD",IF(ISNA(VLOOKUP(C49,Items!C$6:I$597,6,0)),"",(VLOOKUP(C49,Items!C$6:I$597,6,0))),IF($L$16="GH₵",IF(ISNA(VLOOKUP(C49,Items!C$6:I$597,7,0)),"",(VLOOKUP(C49,Items!C$6:I$597,7,0))),"")),"")),IF(N$13="DO NOT DISPLAY TAX",IF($N$18="Retail",IF($L$16="USD",IF(ISNA(VLOOKUP(C49,Items!C$6:F$597,2,0)),"",(VLOOKUP(C49,Items!C$6:F$597,2,0))),IF($L$16="GH₵",IF(ISNA(VLOOKUP(C49,Items!C$6:G$597,2,0)),"",O$6*(VLOOKUP(C49,Items!C$6:G$597,2,0))),"")),IF($N$18="Super Dealer",IF($L$16="USD",IF(ISNA(VLOOKUP(C49,Items!C$6:I$597,3,0)),"",(VLOOKUP(C49,Items!C$6:I$597,3,0))),IF($L$16="GH₵",IF(ISNA(VLOOKUP(C49,Items!C$6:I$597,3,0)),"",O$6*(VLOOKUP(C49,Items!C$6:I$597,3,0))),"")),"")),""))</f>
        <v>5560</v>
      </c>
      <c r="L49" s="287">
        <f t="shared" ref="L49:L61" ca="1" si="7">IFERROR(SUM(B49*K49),"")</f>
        <v>5560</v>
      </c>
      <c r="M49" s="50"/>
      <c r="N49" s="76"/>
      <c r="O49" s="76"/>
      <c r="P49" s="76"/>
      <c r="Q49" s="48"/>
      <c r="R49" s="48"/>
      <c r="S49" s="48"/>
      <c r="T49" s="48"/>
      <c r="U49" s="48"/>
      <c r="V49" s="48"/>
      <c r="W49" s="48"/>
    </row>
    <row r="50" spans="1:123" ht="16" customHeight="1">
      <c r="A50" s="1"/>
      <c r="B50" s="299" t="str">
        <f t="array" aca="1" ref="B50" ca="1">IF($N$16="MANUAL",IFERROR(INDEX(Items!B$6:B$678,SMALL(IF(Items!B$6:B$678&lt;&gt;"",ROW(Items!B$6:B$678)-MIN(ROW(Items!B$6:B$678))+1),Items!N36)),""),IF($N$16="AUTOMATE",IFERROR(INDEX(Items!A$6:A$678,SMALL(IF(Items!A$6:A$678&lt;&gt;"",ROW(Items!A$6:A$678)-MIN(ROW(Items!A$6:A$678))+1),Items!N36)),""),""))</f>
        <v/>
      </c>
      <c r="C50" s="284" t="str">
        <f t="array" aca="1" ref="C50" ca="1">IFERROR(INDEX(Items!O:O,SMALL(IF(Items!$O$6:$O$675&lt;&gt;"",ROW(Items!$O$6:$O$675)),Items!N36)),"")</f>
        <v/>
      </c>
      <c r="D50" s="285"/>
      <c r="E50" s="285"/>
      <c r="F50" s="285"/>
      <c r="G50" s="285"/>
      <c r="H50" s="285"/>
      <c r="I50" s="285"/>
      <c r="J50" s="285"/>
      <c r="K50" s="290" t="str">
        <f ca="1">IF(N$13="DISPLAY TAX",IF($N$18="Retail",IF($L$16="USD",IF(ISNA(VLOOKUP(C50,Items!C$6:F$597,4,0)),"",(VLOOKUP(C50,Items!C$6:F$597,4,0))),IF($L$16="GH₵",IF(ISNA(VLOOKUP(C50,Items!C$6:G$597,5,0)),"",(VLOOKUP(C50,Items!C$6:G$597,5,0))),"")),IF($N$18="Super Dealer",IF($L$16="USD",IF(ISNA(VLOOKUP(C50,Items!C$6:I$597,6,0)),"",(VLOOKUP(C50,Items!C$6:I$597,6,0))),IF($L$16="GH₵",IF(ISNA(VLOOKUP(C50,Items!C$6:I$597,7,0)),"",(VLOOKUP(C50,Items!C$6:I$597,7,0))),"")),"")),IF(N$13="DO NOT DISPLAY TAX",IF($N$18="Retail",IF($L$16="USD",IF(ISNA(VLOOKUP(C50,Items!C$6:F$597,2,0)),"",(VLOOKUP(C50,Items!C$6:F$597,2,0))),IF($L$16="GH₵",IF(ISNA(VLOOKUP(C50,Items!C$6:G$597,2,0)),"",O$6*(VLOOKUP(C50,Items!C$6:G$597,2,0))),"")),IF($N$18="Super Dealer",IF($L$16="USD",IF(ISNA(VLOOKUP(C50,Items!C$6:I$597,3,0)),"",(VLOOKUP(C50,Items!C$6:I$597,3,0))),IF($L$16="GH₵",IF(ISNA(VLOOKUP(C50,Items!C$6:I$597,3,0)),"",O$6*(VLOOKUP(C50,Items!C$6:I$597,3,0))),"")),"")),""))</f>
        <v/>
      </c>
      <c r="L50" s="287" t="str">
        <f t="shared" ca="1" si="7"/>
        <v/>
      </c>
      <c r="M50" s="50"/>
      <c r="N50" s="76"/>
      <c r="O50" s="76"/>
      <c r="P50" s="76"/>
      <c r="Q50" s="48"/>
      <c r="R50" s="48"/>
      <c r="S50" s="48"/>
      <c r="T50" s="48"/>
      <c r="U50" s="48"/>
      <c r="V50" s="48"/>
      <c r="W50" s="48"/>
    </row>
    <row r="51" spans="1:123" ht="16" customHeight="1">
      <c r="A51" s="1"/>
      <c r="B51" s="299" t="str">
        <f t="array" aca="1" ref="B51" ca="1">IF($N$16="MANUAL",IFERROR(INDEX(Items!B$6:B$678,SMALL(IF(Items!B$6:B$678&lt;&gt;"",ROW(Items!B$6:B$678)-MIN(ROW(Items!B$6:B$678))+1),Items!N37)),""),IF($N$16="AUTOMATE",IFERROR(INDEX(Items!A$6:A$678,SMALL(IF(Items!A$6:A$678&lt;&gt;"",ROW(Items!A$6:A$678)-MIN(ROW(Items!A$6:A$678))+1),Items!N37)),""),""))</f>
        <v/>
      </c>
      <c r="C51" s="284" t="str">
        <f t="array" aca="1" ref="C51" ca="1">IFERROR(INDEX(Items!O:O,SMALL(IF(Items!$O$6:$O$675&lt;&gt;"",ROW(Items!$O$6:$O$675)),Items!N37)),"")</f>
        <v/>
      </c>
      <c r="D51" s="285"/>
      <c r="E51" s="285"/>
      <c r="F51" s="285"/>
      <c r="G51" s="285"/>
      <c r="H51" s="285"/>
      <c r="I51" s="285"/>
      <c r="J51" s="285"/>
      <c r="K51" s="290" t="str">
        <f ca="1">IF(N$13="DISPLAY TAX",IF($N$18="Retail",IF($L$16="USD",IF(ISNA(VLOOKUP(C51,Items!C$6:F$597,4,0)),"",(VLOOKUP(C51,Items!C$6:F$597,4,0))),IF($L$16="GH₵",IF(ISNA(VLOOKUP(C51,Items!C$6:G$597,5,0)),"",(VLOOKUP(C51,Items!C$6:G$597,5,0))),"")),IF($N$18="Super Dealer",IF($L$16="USD",IF(ISNA(VLOOKUP(C51,Items!C$6:I$597,6,0)),"",(VLOOKUP(C51,Items!C$6:I$597,6,0))),IF($L$16="GH₵",IF(ISNA(VLOOKUP(C51,Items!C$6:I$597,7,0)),"",(VLOOKUP(C51,Items!C$6:I$597,7,0))),"")),"")),IF(N$13="DO NOT DISPLAY TAX",IF($N$18="Retail",IF($L$16="USD",IF(ISNA(VLOOKUP(C51,Items!C$6:F$597,2,0)),"",(VLOOKUP(C51,Items!C$6:F$597,2,0))),IF($L$16="GH₵",IF(ISNA(VLOOKUP(C51,Items!C$6:G$597,2,0)),"",O$6*(VLOOKUP(C51,Items!C$6:G$597,2,0))),"")),IF($N$18="Super Dealer",IF($L$16="USD",IF(ISNA(VLOOKUP(C51,Items!C$6:I$597,3,0)),"",(VLOOKUP(C51,Items!C$6:I$597,3,0))),IF($L$16="GH₵",IF(ISNA(VLOOKUP(C51,Items!C$6:I$597,3,0)),"",O$6*(VLOOKUP(C51,Items!C$6:I$597,3,0))),"")),"")),""))</f>
        <v/>
      </c>
      <c r="L51" s="287" t="str">
        <f t="shared" ca="1" si="7"/>
        <v/>
      </c>
      <c r="M51" s="50"/>
      <c r="N51" s="76"/>
      <c r="O51" s="76"/>
      <c r="P51" s="76"/>
      <c r="Q51" s="48"/>
      <c r="R51" s="48"/>
      <c r="S51" s="48"/>
      <c r="T51" s="48"/>
      <c r="U51" s="48"/>
      <c r="V51" s="48"/>
      <c r="W51" s="48"/>
    </row>
    <row r="52" spans="1:123" ht="16" customHeight="1">
      <c r="A52" s="1"/>
      <c r="B52" s="299" t="str">
        <f t="array" aca="1" ref="B52" ca="1">IF($N$16="MANUAL",IFERROR(INDEX(Items!B$6:B$678,SMALL(IF(Items!B$6:B$678&lt;&gt;"",ROW(Items!B$6:B$678)-MIN(ROW(Items!B$6:B$678))+1),Items!N38)),""),IF($N$16="AUTOMATE",IFERROR(INDEX(Items!A$6:A$678,SMALL(IF(Items!A$6:A$678&lt;&gt;"",ROW(Items!A$6:A$678)-MIN(ROW(Items!A$6:A$678))+1),Items!N38)),""),""))</f>
        <v/>
      </c>
      <c r="C52" s="284" t="str">
        <f t="array" aca="1" ref="C52" ca="1">IFERROR(INDEX(Items!O:O,SMALL(IF(Items!$O$6:$O$675&lt;&gt;"",ROW(Items!$O$6:$O$675)),Items!N38)),"")</f>
        <v/>
      </c>
      <c r="D52" s="285"/>
      <c r="E52" s="285"/>
      <c r="F52" s="285"/>
      <c r="G52" s="285"/>
      <c r="H52" s="285"/>
      <c r="I52" s="285"/>
      <c r="J52" s="285"/>
      <c r="K52" s="290" t="str">
        <f ca="1">IF(N$13="DISPLAY TAX",IF($N$18="Retail",IF($L$16="USD",IF(ISNA(VLOOKUP(C52,Items!C$6:F$597,4,0)),"",(VLOOKUP(C52,Items!C$6:F$597,4,0))),IF($L$16="GH₵",IF(ISNA(VLOOKUP(C52,Items!C$6:G$597,5,0)),"",(VLOOKUP(C52,Items!C$6:G$597,5,0))),"")),IF($N$18="Super Dealer",IF($L$16="USD",IF(ISNA(VLOOKUP(C52,Items!C$6:I$597,6,0)),"",(VLOOKUP(C52,Items!C$6:I$597,6,0))),IF($L$16="GH₵",IF(ISNA(VLOOKUP(C52,Items!C$6:I$597,7,0)),"",(VLOOKUP(C52,Items!C$6:I$597,7,0))),"")),"")),IF(N$13="DO NOT DISPLAY TAX",IF($N$18="Retail",IF($L$16="USD",IF(ISNA(VLOOKUP(C52,Items!C$6:F$597,2,0)),"",(VLOOKUP(C52,Items!C$6:F$597,2,0))),IF($L$16="GH₵",IF(ISNA(VLOOKUP(C52,Items!C$6:G$597,2,0)),"",O$6*(VLOOKUP(C52,Items!C$6:G$597,2,0))),"")),IF($N$18="Super Dealer",IF($L$16="USD",IF(ISNA(VLOOKUP(C52,Items!C$6:I$597,3,0)),"",(VLOOKUP(C52,Items!C$6:I$597,3,0))),IF($L$16="GH₵",IF(ISNA(VLOOKUP(C52,Items!C$6:I$597,3,0)),"",O$6*(VLOOKUP(C52,Items!C$6:I$597,3,0))),"")),"")),""))</f>
        <v/>
      </c>
      <c r="L52" s="287" t="str">
        <f t="shared" ca="1" si="7"/>
        <v/>
      </c>
      <c r="M52" s="50"/>
      <c r="N52" s="76"/>
      <c r="O52" s="76"/>
      <c r="P52" s="76"/>
      <c r="Q52" s="48"/>
      <c r="R52" s="48"/>
      <c r="S52" s="48"/>
      <c r="T52" s="48"/>
      <c r="U52" s="48"/>
      <c r="V52" s="48"/>
      <c r="W52" s="48"/>
    </row>
    <row r="53" spans="1:123" ht="16" customHeight="1">
      <c r="A53" s="1"/>
      <c r="B53" s="299" t="str">
        <f t="array" aca="1" ref="B53" ca="1">IF($N$16="MANUAL",IFERROR(INDEX(Items!B$6:B$678,SMALL(IF(Items!B$6:B$678&lt;&gt;"",ROW(Items!B$6:B$678)-MIN(ROW(Items!B$6:B$678))+1),Items!N39)),""),IF($N$16="AUTOMATE",IFERROR(INDEX(Items!A$6:A$678,SMALL(IF(Items!A$6:A$678&lt;&gt;"",ROW(Items!A$6:A$678)-MIN(ROW(Items!A$6:A$678))+1),Items!N39)),""),""))</f>
        <v/>
      </c>
      <c r="C53" s="284" t="str">
        <f t="array" aca="1" ref="C53" ca="1">IFERROR(INDEX(Items!O:O,SMALL(IF(Items!$O$6:$O$675&lt;&gt;"",ROW(Items!$O$6:$O$675)),Items!N39)),"")</f>
        <v/>
      </c>
      <c r="D53" s="285"/>
      <c r="E53" s="285"/>
      <c r="F53" s="285"/>
      <c r="G53" s="285"/>
      <c r="H53" s="285"/>
      <c r="I53" s="285"/>
      <c r="J53" s="285"/>
      <c r="K53" s="290" t="str">
        <f ca="1">IF(N$13="DISPLAY TAX",IF($N$18="Retail",IF($L$16="USD",IF(ISNA(VLOOKUP(C53,Items!C$6:F$597,4,0)),"",(VLOOKUP(C53,Items!C$6:F$597,4,0))),IF($L$16="GH₵",IF(ISNA(VLOOKUP(C53,Items!C$6:G$597,5,0)),"",(VLOOKUP(C53,Items!C$6:G$597,5,0))),"")),IF($N$18="Super Dealer",IF($L$16="USD",IF(ISNA(VLOOKUP(C53,Items!C$6:I$597,6,0)),"",(VLOOKUP(C53,Items!C$6:I$597,6,0))),IF($L$16="GH₵",IF(ISNA(VLOOKUP(C53,Items!C$6:I$597,7,0)),"",(VLOOKUP(C53,Items!C$6:I$597,7,0))),"")),"")),IF(N$13="DO NOT DISPLAY TAX",IF($N$18="Retail",IF($L$16="USD",IF(ISNA(VLOOKUP(C53,Items!C$6:F$597,2,0)),"",(VLOOKUP(C53,Items!C$6:F$597,2,0))),IF($L$16="GH₵",IF(ISNA(VLOOKUP(C53,Items!C$6:G$597,2,0)),"",O$6*(VLOOKUP(C53,Items!C$6:G$597,2,0))),"")),IF($N$18="Super Dealer",IF($L$16="USD",IF(ISNA(VLOOKUP(C53,Items!C$6:I$597,3,0)),"",(VLOOKUP(C53,Items!C$6:I$597,3,0))),IF($L$16="GH₵",IF(ISNA(VLOOKUP(C53,Items!C$6:I$597,3,0)),"",O$6*(VLOOKUP(C53,Items!C$6:I$597,3,0))),"")),"")),""))</f>
        <v/>
      </c>
      <c r="L53" s="287" t="str">
        <f t="shared" ca="1" si="7"/>
        <v/>
      </c>
      <c r="M53" s="50"/>
      <c r="N53" s="76"/>
      <c r="O53" s="76"/>
      <c r="P53" s="76"/>
      <c r="Q53" s="48"/>
      <c r="R53" s="48"/>
      <c r="S53" s="48"/>
      <c r="T53" s="48"/>
      <c r="U53" s="48"/>
      <c r="V53" s="48"/>
      <c r="W53" s="48"/>
    </row>
    <row r="54" spans="1:123" ht="16" customHeight="1">
      <c r="A54" s="1"/>
      <c r="B54" s="299" t="str">
        <f t="array" aca="1" ref="B54" ca="1">IF($N$16="MANUAL",IFERROR(INDEX(Items!B$6:B$678,SMALL(IF(Items!B$6:B$678&lt;&gt;"",ROW(Items!B$6:B$678)-MIN(ROW(Items!B$6:B$678))+1),Items!N40)),""),IF($N$16="AUTOMATE",IFERROR(INDEX(Items!A$6:A$678,SMALL(IF(Items!A$6:A$678&lt;&gt;"",ROW(Items!A$6:A$678)-MIN(ROW(Items!A$6:A$678))+1),Items!N40)),""),""))</f>
        <v/>
      </c>
      <c r="C54" s="284" t="str">
        <f t="array" aca="1" ref="C54" ca="1">IFERROR(INDEX(Items!O:O,SMALL(IF(Items!$O$6:$O$675&lt;&gt;"",ROW(Items!$O$6:$O$675)),Items!N40)),"")</f>
        <v/>
      </c>
      <c r="D54" s="285"/>
      <c r="E54" s="285"/>
      <c r="F54" s="285"/>
      <c r="G54" s="285"/>
      <c r="H54" s="285"/>
      <c r="I54" s="285"/>
      <c r="J54" s="285"/>
      <c r="K54" s="290" t="str">
        <f ca="1">IF(N$13="DISPLAY TAX",IF($N$18="Retail",IF($L$16="USD",IF(ISNA(VLOOKUP(C54,Items!C$6:F$597,4,0)),"",(VLOOKUP(C54,Items!C$6:F$597,4,0))),IF($L$16="GH₵",IF(ISNA(VLOOKUP(C54,Items!C$6:G$597,5,0)),"",(VLOOKUP(C54,Items!C$6:G$597,5,0))),"")),IF($N$18="Super Dealer",IF($L$16="USD",IF(ISNA(VLOOKUP(C54,Items!C$6:I$597,6,0)),"",(VLOOKUP(C54,Items!C$6:I$597,6,0))),IF($L$16="GH₵",IF(ISNA(VLOOKUP(C54,Items!C$6:I$597,7,0)),"",(VLOOKUP(C54,Items!C$6:I$597,7,0))),"")),"")),IF(N$13="DO NOT DISPLAY TAX",IF($N$18="Retail",IF($L$16="USD",IF(ISNA(VLOOKUP(C54,Items!C$6:F$597,2,0)),"",(VLOOKUP(C54,Items!C$6:F$597,2,0))),IF($L$16="GH₵",IF(ISNA(VLOOKUP(C54,Items!C$6:G$597,2,0)),"",O$6*(VLOOKUP(C54,Items!C$6:G$597,2,0))),"")),IF($N$18="Super Dealer",IF($L$16="USD",IF(ISNA(VLOOKUP(C54,Items!C$6:I$597,3,0)),"",(VLOOKUP(C54,Items!C$6:I$597,3,0))),IF($L$16="GH₵",IF(ISNA(VLOOKUP(C54,Items!C$6:I$597,3,0)),"",O$6*(VLOOKUP(C54,Items!C$6:I$597,3,0))),"")),"")),""))</f>
        <v/>
      </c>
      <c r="L54" s="287" t="str">
        <f t="shared" ca="1" si="7"/>
        <v/>
      </c>
      <c r="M54" s="50"/>
      <c r="N54" s="76"/>
      <c r="O54" s="76"/>
      <c r="P54" s="76"/>
      <c r="Q54" s="48"/>
      <c r="R54" s="48"/>
      <c r="S54" s="48"/>
      <c r="T54" s="48"/>
      <c r="U54" s="48"/>
      <c r="V54" s="48"/>
      <c r="W54" s="48"/>
    </row>
    <row r="55" spans="1:123" ht="16" customHeight="1">
      <c r="A55" s="1"/>
      <c r="B55" s="299" t="str">
        <f t="array" aca="1" ref="B55" ca="1">IF($N$16="MANUAL",IFERROR(INDEX(Items!B$6:B$678,SMALL(IF(Items!B$6:B$678&lt;&gt;"",ROW(Items!B$6:B$678)-MIN(ROW(Items!B$6:B$678))+1),Items!N41)),""),IF($N$16="AUTOMATE",IFERROR(INDEX(Items!A$6:A$678,SMALL(IF(Items!A$6:A$678&lt;&gt;"",ROW(Items!A$6:A$678)-MIN(ROW(Items!A$6:A$678))+1),Items!N41)),""),""))</f>
        <v/>
      </c>
      <c r="C55" s="284" t="str">
        <f t="array" aca="1" ref="C55" ca="1">IFERROR(INDEX(Items!O:O,SMALL(IF(Items!$O$6:$O$675&lt;&gt;"",ROW(Items!$O$6:$O$675)),Items!N41)),"")</f>
        <v/>
      </c>
      <c r="D55" s="285"/>
      <c r="E55" s="285"/>
      <c r="F55" s="285"/>
      <c r="G55" s="285"/>
      <c r="H55" s="285"/>
      <c r="I55" s="285"/>
      <c r="J55" s="285"/>
      <c r="K55" s="290" t="str">
        <f ca="1">IF(N$13="DISPLAY TAX",IF($N$18="Retail",IF($L$16="USD",IF(ISNA(VLOOKUP(C55,Items!C$6:F$597,4,0)),"",(VLOOKUP(C55,Items!C$6:F$597,4,0))),IF($L$16="GH₵",IF(ISNA(VLOOKUP(C55,Items!C$6:G$597,5,0)),"",(VLOOKUP(C55,Items!C$6:G$597,5,0))),"")),IF($N$18="Super Dealer",IF($L$16="USD",IF(ISNA(VLOOKUP(C55,Items!C$6:I$597,6,0)),"",(VLOOKUP(C55,Items!C$6:I$597,6,0))),IF($L$16="GH₵",IF(ISNA(VLOOKUP(C55,Items!C$6:I$597,7,0)),"",(VLOOKUP(C55,Items!C$6:I$597,7,0))),"")),"")),IF(N$13="DO NOT DISPLAY TAX",IF($N$18="Retail",IF($L$16="USD",IF(ISNA(VLOOKUP(C55,Items!C$6:F$597,2,0)),"",(VLOOKUP(C55,Items!C$6:F$597,2,0))),IF($L$16="GH₵",IF(ISNA(VLOOKUP(C55,Items!C$6:G$597,2,0)),"",O$6*(VLOOKUP(C55,Items!C$6:G$597,2,0))),"")),IF($N$18="Super Dealer",IF($L$16="USD",IF(ISNA(VLOOKUP(C55,Items!C$6:I$597,3,0)),"",(VLOOKUP(C55,Items!C$6:I$597,3,0))),IF($L$16="GH₵",IF(ISNA(VLOOKUP(C55,Items!C$6:I$597,3,0)),"",O$6*(VLOOKUP(C55,Items!C$6:I$597,3,0))),"")),"")),""))</f>
        <v/>
      </c>
      <c r="L55" s="287" t="str">
        <f t="shared" ca="1" si="7"/>
        <v/>
      </c>
      <c r="M55" s="50"/>
      <c r="N55" s="76"/>
      <c r="O55" s="76"/>
      <c r="P55" s="76"/>
      <c r="Q55" s="48"/>
      <c r="R55" s="48"/>
      <c r="S55" s="48"/>
      <c r="T55" s="48"/>
      <c r="U55" s="48"/>
      <c r="V55" s="48"/>
      <c r="W55" s="48"/>
    </row>
    <row r="56" spans="1:123" ht="16" customHeight="1">
      <c r="A56" s="1"/>
      <c r="B56" s="299" t="str">
        <f t="array" aca="1" ref="B56" ca="1">IF($N$16="MANUAL",IFERROR(INDEX(Items!B$6:B$678,SMALL(IF(Items!B$6:B$678&lt;&gt;"",ROW(Items!B$6:B$678)-MIN(ROW(Items!B$6:B$678))+1),Items!N42)),""),IF($N$16="AUTOMATE",IFERROR(INDEX(Items!A$6:A$678,SMALL(IF(Items!A$6:A$678&lt;&gt;"",ROW(Items!A$6:A$678)-MIN(ROW(Items!A$6:A$678))+1),Items!N42)),""),""))</f>
        <v/>
      </c>
      <c r="C56" s="284" t="str">
        <f t="array" aca="1" ref="C56" ca="1">IFERROR(INDEX(Items!O:O,SMALL(IF(Items!$O$6:$O$675&lt;&gt;"",ROW(Items!$O$6:$O$675)),Items!N42)),"")</f>
        <v/>
      </c>
      <c r="D56" s="285"/>
      <c r="E56" s="285"/>
      <c r="F56" s="285"/>
      <c r="G56" s="285"/>
      <c r="H56" s="285"/>
      <c r="I56" s="285"/>
      <c r="J56" s="285"/>
      <c r="K56" s="290" t="str">
        <f ca="1">IF(N$13="DISPLAY TAX",IF($N$18="Retail",IF($L$16="USD",IF(ISNA(VLOOKUP(C56,Items!C$6:F$597,4,0)),"",(VLOOKUP(C56,Items!C$6:F$597,4,0))),IF($L$16="GH₵",IF(ISNA(VLOOKUP(C56,Items!C$6:G$597,5,0)),"",(VLOOKUP(C56,Items!C$6:G$597,5,0))),"")),IF($N$18="Super Dealer",IF($L$16="USD",IF(ISNA(VLOOKUP(C56,Items!C$6:I$597,6,0)),"",(VLOOKUP(C56,Items!C$6:I$597,6,0))),IF($L$16="GH₵",IF(ISNA(VLOOKUP(C56,Items!C$6:I$597,7,0)),"",(VLOOKUP(C56,Items!C$6:I$597,7,0))),"")),"")),IF(N$13="DO NOT DISPLAY TAX",IF($N$18="Retail",IF($L$16="USD",IF(ISNA(VLOOKUP(C56,Items!C$6:F$597,2,0)),"",(VLOOKUP(C56,Items!C$6:F$597,2,0))),IF($L$16="GH₵",IF(ISNA(VLOOKUP(C56,Items!C$6:G$597,2,0)),"",O$6*(VLOOKUP(C56,Items!C$6:G$597,2,0))),"")),IF($N$18="Super Dealer",IF($L$16="USD",IF(ISNA(VLOOKUP(C56,Items!C$6:I$597,3,0)),"",(VLOOKUP(C56,Items!C$6:I$597,3,0))),IF($L$16="GH₵",IF(ISNA(VLOOKUP(C56,Items!C$6:I$597,3,0)),"",O$6*(VLOOKUP(C56,Items!C$6:I$597,3,0))),"")),"")),""))</f>
        <v/>
      </c>
      <c r="L56" s="287" t="str">
        <f t="shared" ca="1" si="7"/>
        <v/>
      </c>
      <c r="M56" s="50"/>
      <c r="N56" s="76"/>
      <c r="O56" s="76"/>
      <c r="P56" s="76"/>
      <c r="Q56" s="48"/>
      <c r="R56" s="48"/>
      <c r="S56" s="48"/>
      <c r="T56" s="48"/>
      <c r="U56" s="48"/>
      <c r="V56" s="48"/>
      <c r="W56" s="48"/>
    </row>
    <row r="57" spans="1:123" ht="16" customHeight="1">
      <c r="A57" s="1"/>
      <c r="B57" s="299" t="str">
        <f t="array" aca="1" ref="B57" ca="1">IF($N$16="MANUAL",IFERROR(INDEX(Items!B$6:B$678,SMALL(IF(Items!B$6:B$678&lt;&gt;"",ROW(Items!B$6:B$678)-MIN(ROW(Items!B$6:B$678))+1),Items!N43)),""),IF($N$16="AUTOMATE",IFERROR(INDEX(Items!A$6:A$678,SMALL(IF(Items!A$6:A$678&lt;&gt;"",ROW(Items!A$6:A$678)-MIN(ROW(Items!A$6:A$678))+1),Items!N43)),""),""))</f>
        <v/>
      </c>
      <c r="C57" s="284" t="str">
        <f t="array" aca="1" ref="C57" ca="1">IFERROR(INDEX(Items!O:O,SMALL(IF(Items!$O$6:$O$675&lt;&gt;"",ROW(Items!$O$6:$O$675)),Items!N43)),"")</f>
        <v/>
      </c>
      <c r="D57" s="285"/>
      <c r="E57" s="285"/>
      <c r="F57" s="285"/>
      <c r="G57" s="285"/>
      <c r="H57" s="285"/>
      <c r="I57" s="285"/>
      <c r="J57" s="285"/>
      <c r="K57" s="290" t="str">
        <f ca="1">IF(N$13="DISPLAY TAX",IF($N$18="Retail",IF($L$16="USD",IF(ISNA(VLOOKUP(C57,Items!C$6:F$597,4,0)),"",(VLOOKUP(C57,Items!C$6:F$597,4,0))),IF($L$16="GH₵",IF(ISNA(VLOOKUP(C57,Items!C$6:G$597,5,0)),"",(VLOOKUP(C57,Items!C$6:G$597,5,0))),"")),IF($N$18="Super Dealer",IF($L$16="USD",IF(ISNA(VLOOKUP(C57,Items!C$6:I$597,6,0)),"",(VLOOKUP(C57,Items!C$6:I$597,6,0))),IF($L$16="GH₵",IF(ISNA(VLOOKUP(C57,Items!C$6:I$597,7,0)),"",(VLOOKUP(C57,Items!C$6:I$597,7,0))),"")),"")),IF(N$13="DO NOT DISPLAY TAX",IF($N$18="Retail",IF($L$16="USD",IF(ISNA(VLOOKUP(C57,Items!C$6:F$597,2,0)),"",(VLOOKUP(C57,Items!C$6:F$597,2,0))),IF($L$16="GH₵",IF(ISNA(VLOOKUP(C57,Items!C$6:G$597,2,0)),"",O$6*(VLOOKUP(C57,Items!C$6:G$597,2,0))),"")),IF($N$18="Super Dealer",IF($L$16="USD",IF(ISNA(VLOOKUP(C57,Items!C$6:I$597,3,0)),"",(VLOOKUP(C57,Items!C$6:I$597,3,0))),IF($L$16="GH₵",IF(ISNA(VLOOKUP(C57,Items!C$6:I$597,3,0)),"",O$6*(VLOOKUP(C57,Items!C$6:I$597,3,0))),"")),"")),""))</f>
        <v/>
      </c>
      <c r="L57" s="287" t="str">
        <f t="shared" ca="1" si="7"/>
        <v/>
      </c>
      <c r="M57" s="50"/>
      <c r="N57" s="76"/>
      <c r="O57" s="76"/>
      <c r="P57" s="76"/>
      <c r="Q57" s="48"/>
      <c r="R57" s="48"/>
      <c r="S57" s="48"/>
      <c r="T57" s="48"/>
      <c r="U57" s="48"/>
      <c r="V57" s="48"/>
      <c r="W57" s="48"/>
    </row>
    <row r="58" spans="1:123" ht="16" customHeight="1">
      <c r="A58" s="1"/>
      <c r="B58" s="299" t="str">
        <f t="array" aca="1" ref="B58" ca="1">IF($N$16="MANUAL",IFERROR(INDEX(Items!B$6:B$678,SMALL(IF(Items!B$6:B$678&lt;&gt;"",ROW(Items!B$6:B$678)-MIN(ROW(Items!B$6:B$678))+1),Items!N44)),""),IF($N$16="AUTOMATE",IFERROR(INDEX(Items!A$6:A$678,SMALL(IF(Items!A$6:A$678&lt;&gt;"",ROW(Items!A$6:A$678)-MIN(ROW(Items!A$6:A$678))+1),Items!N44)),""),""))</f>
        <v/>
      </c>
      <c r="C58" s="284" t="str">
        <f t="array" aca="1" ref="C58" ca="1">IFERROR(INDEX(Items!O:O,SMALL(IF(Items!$O$6:$O$675&lt;&gt;"",ROW(Items!$O$6:$O$675)),Items!N44)),"")</f>
        <v/>
      </c>
      <c r="D58" s="285"/>
      <c r="E58" s="285"/>
      <c r="F58" s="285"/>
      <c r="G58" s="285"/>
      <c r="H58" s="285"/>
      <c r="I58" s="285"/>
      <c r="J58" s="285"/>
      <c r="K58" s="290" t="str">
        <f ca="1">IF(N$13="DISPLAY TAX",IF($N$18="Retail",IF($L$16="USD",IF(ISNA(VLOOKUP(C58,Items!C$6:F$597,4,0)),"",(VLOOKUP(C58,Items!C$6:F$597,4,0))),IF($L$16="GH₵",IF(ISNA(VLOOKUP(C58,Items!C$6:G$597,5,0)),"",(VLOOKUP(C58,Items!C$6:G$597,5,0))),"")),IF($N$18="Super Dealer",IF($L$16="USD",IF(ISNA(VLOOKUP(C58,Items!C$6:I$597,6,0)),"",(VLOOKUP(C58,Items!C$6:I$597,6,0))),IF($L$16="GH₵",IF(ISNA(VLOOKUP(C58,Items!C$6:I$597,7,0)),"",(VLOOKUP(C58,Items!C$6:I$597,7,0))),"")),"")),IF(N$13="DO NOT DISPLAY TAX",IF($N$18="Retail",IF($L$16="USD",IF(ISNA(VLOOKUP(C58,Items!C$6:F$597,2,0)),"",(VLOOKUP(C58,Items!C$6:F$597,2,0))),IF($L$16="GH₵",IF(ISNA(VLOOKUP(C58,Items!C$6:G$597,2,0)),"",O$6*(VLOOKUP(C58,Items!C$6:G$597,2,0))),"")),IF($N$18="Super Dealer",IF($L$16="USD",IF(ISNA(VLOOKUP(C58,Items!C$6:I$597,3,0)),"",(VLOOKUP(C58,Items!C$6:I$597,3,0))),IF($L$16="GH₵",IF(ISNA(VLOOKUP(C58,Items!C$6:I$597,3,0)),"",O$6*(VLOOKUP(C58,Items!C$6:I$597,3,0))),"")),"")),""))</f>
        <v/>
      </c>
      <c r="L58" s="287" t="str">
        <f t="shared" ca="1" si="7"/>
        <v/>
      </c>
      <c r="M58" s="50"/>
      <c r="N58" s="76"/>
      <c r="O58" s="76"/>
      <c r="P58" s="76"/>
      <c r="Q58" s="48"/>
      <c r="R58" s="48"/>
      <c r="S58" s="48"/>
      <c r="T58" s="48"/>
      <c r="U58" s="48"/>
      <c r="V58" s="48"/>
      <c r="W58" s="48"/>
    </row>
    <row r="59" spans="1:123" ht="16" customHeight="1">
      <c r="A59" s="1"/>
      <c r="B59" s="300"/>
      <c r="C59" s="32" t="s">
        <v>18</v>
      </c>
      <c r="D59" s="42"/>
      <c r="E59" s="42"/>
      <c r="F59" s="42"/>
      <c r="G59" s="42"/>
      <c r="H59" s="42"/>
      <c r="I59" s="42"/>
      <c r="J59" s="42"/>
      <c r="K59" s="290" t="str">
        <f>IF(N$13="DISPLAY TAX",IF($N$18="Retail",IF($L$16="USD",IF(ISNA(VLOOKUP(C59,Items!C$6:F$597,4,0)),"",(VLOOKUP(C59,Items!C$6:F$597,4,0))),IF($L$16="GH₵",IF(ISNA(VLOOKUP(C59,Items!C$6:G$597,5,0)),"",(VLOOKUP(C59,Items!C$6:G$597,5,0))),"")),IF($N$18="Super Dealer",IF($L$16="USD",IF(ISNA(VLOOKUP(C59,Items!C$6:I$597,6,0)),"",(VLOOKUP(C59,Items!C$6:I$597,6,0))),IF($L$16="GH₵",IF(ISNA(VLOOKUP(C59,Items!C$6:I$597,7,0)),"",(VLOOKUP(C59,Items!C$6:I$597,7,0))),"")),"")),IF(N$13="DO NOT DISPLAY TAX",IF($N$18="Retail",IF($L$16="USD",IF(ISNA(VLOOKUP(C59,Items!C$6:F$597,2,0)),"",(VLOOKUP(C59,Items!C$6:F$597,2,0))),IF($L$16="GH₵",IF(ISNA(VLOOKUP(C59,Items!C$6:G$597,2,0)),"",O$6*(VLOOKUP(C59,Items!C$6:G$597,2,0))),"")),IF($N$18="Super Dealer",IF($L$16="USD",IF(ISNA(VLOOKUP(C59,Items!C$6:I$597,3,0)),"",(VLOOKUP(C59,Items!C$6:I$597,3,0))),IF($L$16="GH₵",IF(ISNA(VLOOKUP(C59,Items!C$6:I$597,3,0)),"",O$6*(VLOOKUP(C59,Items!C$6:I$597,3,0))),"")),"")),""))</f>
        <v/>
      </c>
      <c r="L59" s="287" t="str">
        <f t="shared" si="7"/>
        <v/>
      </c>
      <c r="M59" s="50"/>
      <c r="N59" s="76"/>
      <c r="O59" s="76"/>
      <c r="P59" s="76"/>
      <c r="Q59" s="48"/>
      <c r="R59" s="48"/>
      <c r="S59" s="48"/>
      <c r="T59" s="48"/>
      <c r="U59" s="48"/>
      <c r="V59" s="48"/>
      <c r="W59" s="48"/>
    </row>
    <row r="60" spans="1:123">
      <c r="A60" s="1"/>
      <c r="B60" s="300"/>
      <c r="C60" s="30" t="s">
        <v>1925</v>
      </c>
      <c r="D60" s="29"/>
      <c r="E60" s="29"/>
      <c r="F60" s="29"/>
      <c r="G60" s="29"/>
      <c r="H60" s="29"/>
      <c r="I60" s="29"/>
      <c r="J60" s="29"/>
      <c r="K60" s="290" t="str">
        <f>IF(N$13="DISPLAY TAX",IF($N$18="Retail",IF($L$16="USD",IF(ISNA(VLOOKUP(C60,Items!C$6:F$597,4,0)),"",(VLOOKUP(C60,Items!C$6:F$597,4,0))),IF($L$16="GH₵",IF(ISNA(VLOOKUP(C60,Items!C$6:G$597,5,0)),"",(VLOOKUP(C60,Items!C$6:G$597,5,0))),"")),IF($N$18="Super Dealer",IF($L$16="USD",IF(ISNA(VLOOKUP(C60,Items!C$6:I$597,6,0)),"",(VLOOKUP(C60,Items!C$6:I$597,6,0))),IF($L$16="GH₵",IF(ISNA(VLOOKUP(C60,Items!C$6:I$597,7,0)),"",(VLOOKUP(C60,Items!C$6:I$597,7,0))),"")),"")),IF(N$13="DO NOT DISPLAY TAX",IF($N$18="Retail",IF($L$16="USD",IF(ISNA(VLOOKUP(C60,Items!C$6:F$597,2,0)),"",(VLOOKUP(C60,Items!C$6:F$597,2,0))),IF($L$16="GH₵",IF(ISNA(VLOOKUP(C60,Items!C$6:G$597,2,0)),"",O$6*(VLOOKUP(C60,Items!C$6:G$597,2,0))),"")),IF($N$18="Super Dealer",IF($L$16="USD",IF(ISNA(VLOOKUP(C60,Items!C$6:I$597,3,0)),"",(VLOOKUP(C60,Items!C$6:I$597,3,0))),IF($L$16="GH₵",IF(ISNA(VLOOKUP(C60,Items!C$6:I$597,3,0)),"",O$6*(VLOOKUP(C60,Items!C$6:I$597,3,0))),"")),"")),""))</f>
        <v/>
      </c>
      <c r="L60" s="287" t="str">
        <f t="shared" si="7"/>
        <v/>
      </c>
      <c r="M60" s="50"/>
      <c r="N60" s="76"/>
      <c r="O60" s="76"/>
      <c r="P60" s="76"/>
      <c r="Q60" s="48"/>
      <c r="R60" s="48"/>
      <c r="S60" s="48"/>
      <c r="T60" s="48"/>
      <c r="U60" s="48"/>
      <c r="V60" s="48"/>
      <c r="W60" s="48"/>
    </row>
    <row r="61" spans="1:123" s="20" customFormat="1" ht="13">
      <c r="A61" s="4"/>
      <c r="B61" s="300"/>
      <c r="C61" s="30" t="s">
        <v>2632</v>
      </c>
      <c r="D61" s="29"/>
      <c r="E61" s="29"/>
      <c r="F61" s="29"/>
      <c r="G61" s="29"/>
      <c r="H61" s="29"/>
      <c r="I61" s="29"/>
      <c r="J61" s="29"/>
      <c r="K61" s="290" t="str">
        <f>IF(N$13="DISPLAY TAX",IF($N$18="Retail",IF($L$16="USD",IF(ISNA(VLOOKUP(C61,Items!C$6:F$597,4,0)),"",(VLOOKUP(C61,Items!C$6:F$597,4,0))),IF($L$16="GH₵",IF(ISNA(VLOOKUP(C61,Items!C$6:G$597,5,0)),"",(VLOOKUP(C61,Items!C$6:G$597,5,0))),"")),IF($N$18="Super Dealer",IF($L$16="USD",IF(ISNA(VLOOKUP(C61,Items!C$6:I$597,6,0)),"",(VLOOKUP(C61,Items!C$6:I$597,6,0))),IF($L$16="GH₵",IF(ISNA(VLOOKUP(C61,Items!C$6:I$597,7,0)),"",(VLOOKUP(C61,Items!C$6:I$597,7,0))),"")),"")),IF(N$13="DO NOT DISPLAY TAX",IF($N$18="Retail",IF($L$16="USD",IF(ISNA(VLOOKUP(C61,Items!C$6:F$597,2,0)),"",(VLOOKUP(C61,Items!C$6:F$597,2,0))),IF($L$16="GH₵",IF(ISNA(VLOOKUP(C61,Items!C$6:G$597,2,0)),"",O$6*(VLOOKUP(C61,Items!C$6:G$597,2,0))),"")),IF($N$18="Super Dealer",IF($L$16="USD",IF(ISNA(VLOOKUP(C61,Items!C$6:I$597,3,0)),"",(VLOOKUP(C61,Items!C$6:I$597,3,0))),IF($L$16="GH₵",IF(ISNA(VLOOKUP(C61,Items!C$6:I$597,3,0)),"",O$6*(VLOOKUP(C61,Items!C$6:I$597,3,0))),"")),"")),""))</f>
        <v/>
      </c>
      <c r="L61" s="287" t="str">
        <f t="shared" si="7"/>
        <v/>
      </c>
      <c r="M61" s="50"/>
      <c r="N61" s="76"/>
      <c r="O61" s="76"/>
      <c r="P61" s="76"/>
      <c r="Q61" s="48"/>
      <c r="R61" s="48"/>
      <c r="S61" s="48"/>
      <c r="T61" s="48"/>
      <c r="U61" s="48"/>
      <c r="V61" s="48"/>
      <c r="W61" s="48"/>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76"/>
      <c r="BD61" s="76"/>
      <c r="BE61" s="76"/>
      <c r="BF61" s="76"/>
      <c r="BG61" s="76"/>
      <c r="BH61" s="76"/>
      <c r="BI61" s="76"/>
      <c r="BJ61" s="76"/>
      <c r="BK61" s="76"/>
      <c r="BL61" s="76"/>
      <c r="BM61" s="76"/>
      <c r="BN61" s="76"/>
      <c r="BO61" s="76"/>
      <c r="BP61" s="76"/>
      <c r="BQ61" s="76"/>
      <c r="BR61" s="76"/>
      <c r="BS61" s="76"/>
      <c r="BT61" s="76"/>
      <c r="BU61" s="76"/>
      <c r="BV61" s="76"/>
      <c r="BW61" s="76"/>
      <c r="BX61" s="76"/>
      <c r="BY61" s="76"/>
      <c r="BZ61" s="76"/>
      <c r="CA61" s="76"/>
      <c r="CB61" s="76"/>
      <c r="CC61" s="76"/>
      <c r="CD61" s="76"/>
      <c r="CE61" s="76"/>
      <c r="CF61" s="76"/>
      <c r="CG61" s="76"/>
      <c r="CH61" s="76"/>
      <c r="CI61" s="76"/>
      <c r="CJ61" s="76"/>
      <c r="CK61" s="76"/>
      <c r="CL61" s="76"/>
      <c r="CM61" s="76"/>
      <c r="CN61" s="76"/>
      <c r="CO61" s="76"/>
      <c r="CP61" s="76"/>
      <c r="CQ61" s="76"/>
      <c r="CR61" s="76"/>
      <c r="CS61" s="76"/>
      <c r="CT61" s="76"/>
      <c r="CU61" s="76"/>
      <c r="CV61" s="76"/>
      <c r="CW61" s="76"/>
      <c r="CX61" s="76"/>
      <c r="CY61" s="76"/>
      <c r="CZ61" s="76"/>
      <c r="DA61" s="76"/>
      <c r="DB61" s="76"/>
      <c r="DC61" s="76"/>
      <c r="DD61" s="76"/>
      <c r="DE61" s="76"/>
      <c r="DF61" s="76"/>
      <c r="DG61" s="76"/>
      <c r="DH61" s="76"/>
      <c r="DI61" s="76"/>
      <c r="DJ61" s="76"/>
      <c r="DK61" s="76"/>
      <c r="DL61" s="76"/>
      <c r="DM61" s="76"/>
      <c r="DN61" s="76"/>
      <c r="DO61" s="76"/>
      <c r="DP61" s="76"/>
      <c r="DQ61" s="76"/>
      <c r="DR61" s="76"/>
      <c r="DS61" s="76"/>
    </row>
    <row r="62" spans="1:123">
      <c r="A62" s="1"/>
      <c r="B62" s="300"/>
      <c r="C62" s="30" t="s">
        <v>2789</v>
      </c>
      <c r="D62" s="29"/>
      <c r="E62" s="29"/>
      <c r="F62" s="29"/>
      <c r="G62" s="29"/>
      <c r="H62" s="29"/>
      <c r="I62" s="29"/>
      <c r="J62" s="29"/>
      <c r="K62" s="290"/>
      <c r="L62" s="287">
        <f t="shared" si="3"/>
        <v>0</v>
      </c>
      <c r="M62" s="50"/>
      <c r="N62" s="76"/>
      <c r="O62" s="76"/>
      <c r="P62" s="76"/>
      <c r="Q62" s="48"/>
      <c r="R62" s="48"/>
      <c r="S62" s="48"/>
      <c r="T62" s="48"/>
      <c r="U62" s="48"/>
      <c r="V62" s="48"/>
      <c r="W62" s="48"/>
    </row>
    <row r="63" spans="1:123">
      <c r="A63" s="1"/>
      <c r="B63" s="300"/>
      <c r="C63" s="30" t="s">
        <v>2846</v>
      </c>
      <c r="D63" s="29"/>
      <c r="E63" s="29"/>
      <c r="F63" s="29"/>
      <c r="G63" s="29"/>
      <c r="H63" s="29"/>
      <c r="I63" s="29"/>
      <c r="J63" s="31"/>
      <c r="K63" s="290"/>
      <c r="L63" s="287">
        <f t="shared" si="3"/>
        <v>0</v>
      </c>
      <c r="M63" s="50"/>
      <c r="N63" s="76"/>
      <c r="O63" s="82"/>
      <c r="P63" s="76"/>
      <c r="Q63" s="48"/>
      <c r="R63" s="48"/>
      <c r="S63" s="48"/>
      <c r="T63" s="48"/>
      <c r="U63" s="48"/>
      <c r="V63" s="48"/>
      <c r="W63" s="48"/>
    </row>
    <row r="64" spans="1:123" s="23" customFormat="1" ht="15" customHeight="1">
      <c r="A64" s="21"/>
      <c r="B64" s="300"/>
      <c r="C64" s="30" t="s">
        <v>1214</v>
      </c>
      <c r="D64" s="38"/>
      <c r="E64" s="38"/>
      <c r="F64" s="38"/>
      <c r="G64" s="38"/>
      <c r="H64" s="38"/>
      <c r="I64" s="38"/>
      <c r="J64" s="39"/>
      <c r="K64" s="291"/>
      <c r="L64" s="287">
        <f t="shared" si="3"/>
        <v>0</v>
      </c>
      <c r="M64" s="50"/>
      <c r="N64" s="76"/>
      <c r="O64" s="76"/>
      <c r="P64" s="76"/>
      <c r="Q64" s="48"/>
      <c r="R64" s="48"/>
      <c r="S64" s="48"/>
      <c r="T64" s="48"/>
      <c r="U64" s="48"/>
      <c r="V64" s="48"/>
      <c r="W64" s="48"/>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76"/>
      <c r="BX64" s="76"/>
      <c r="BY64" s="76"/>
      <c r="BZ64" s="76"/>
      <c r="CA64" s="76"/>
      <c r="CB64" s="76"/>
      <c r="CC64" s="76"/>
      <c r="CD64" s="76"/>
      <c r="CE64" s="76"/>
      <c r="CF64" s="76"/>
      <c r="CG64" s="76"/>
      <c r="CH64" s="76"/>
      <c r="CI64" s="76"/>
      <c r="CJ64" s="76"/>
      <c r="CK64" s="76"/>
      <c r="CL64" s="76"/>
      <c r="CM64" s="76"/>
      <c r="CN64" s="76"/>
      <c r="CO64" s="76"/>
      <c r="CP64" s="76"/>
      <c r="CQ64" s="76"/>
      <c r="CR64" s="76"/>
      <c r="CS64" s="76"/>
      <c r="CT64" s="76"/>
      <c r="CU64" s="76"/>
      <c r="CV64" s="76"/>
      <c r="CW64" s="76"/>
      <c r="CX64" s="76"/>
      <c r="CY64" s="76"/>
      <c r="CZ64" s="76"/>
      <c r="DA64" s="76"/>
      <c r="DB64" s="76"/>
      <c r="DC64" s="76"/>
      <c r="DD64" s="76"/>
      <c r="DE64" s="76"/>
      <c r="DF64" s="76"/>
      <c r="DG64" s="76"/>
      <c r="DH64" s="76"/>
      <c r="DI64" s="76"/>
      <c r="DJ64" s="76"/>
      <c r="DK64" s="76"/>
      <c r="DL64" s="76"/>
      <c r="DM64" s="76"/>
      <c r="DN64" s="76"/>
      <c r="DO64" s="76"/>
      <c r="DP64" s="76"/>
      <c r="DQ64" s="78"/>
      <c r="DR64" s="78"/>
      <c r="DS64" s="78"/>
    </row>
    <row r="65" spans="1:123" s="23" customFormat="1" ht="15" customHeight="1">
      <c r="A65" s="21"/>
      <c r="B65" s="22"/>
      <c r="C65" s="298"/>
      <c r="D65" s="29"/>
      <c r="E65" s="29"/>
      <c r="F65" s="29"/>
      <c r="G65" s="29"/>
      <c r="H65" s="29"/>
      <c r="I65" s="29"/>
      <c r="J65" s="31"/>
      <c r="K65" s="291"/>
      <c r="L65" s="287"/>
      <c r="M65" s="48"/>
      <c r="N65" s="76"/>
      <c r="O65" s="76"/>
      <c r="P65" s="76"/>
      <c r="Q65" s="48"/>
      <c r="R65" s="48"/>
      <c r="S65" s="48"/>
      <c r="T65" s="48"/>
      <c r="U65" s="48"/>
      <c r="V65" s="48"/>
      <c r="W65" s="48"/>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76"/>
      <c r="BX65" s="76"/>
      <c r="BY65" s="76"/>
      <c r="BZ65" s="76"/>
      <c r="CA65" s="76"/>
      <c r="CB65" s="76"/>
      <c r="CC65" s="76"/>
      <c r="CD65" s="76"/>
      <c r="CE65" s="76"/>
      <c r="CF65" s="76"/>
      <c r="CG65" s="76"/>
      <c r="CH65" s="76"/>
      <c r="CI65" s="76"/>
      <c r="CJ65" s="76"/>
      <c r="CK65" s="76"/>
      <c r="CL65" s="76"/>
      <c r="CM65" s="76"/>
      <c r="CN65" s="76"/>
      <c r="CO65" s="76"/>
      <c r="CP65" s="76"/>
      <c r="CQ65" s="76"/>
      <c r="CR65" s="76"/>
      <c r="CS65" s="76"/>
      <c r="CT65" s="76"/>
      <c r="CU65" s="76"/>
      <c r="CV65" s="76"/>
      <c r="CW65" s="76"/>
      <c r="CX65" s="76"/>
      <c r="CY65" s="76"/>
      <c r="CZ65" s="76"/>
      <c r="DA65" s="76"/>
      <c r="DB65" s="76"/>
      <c r="DC65" s="76"/>
      <c r="DD65" s="76"/>
      <c r="DE65" s="76"/>
      <c r="DF65" s="76"/>
      <c r="DG65" s="76"/>
      <c r="DH65" s="76"/>
      <c r="DI65" s="76"/>
      <c r="DJ65" s="76"/>
      <c r="DK65" s="76"/>
      <c r="DL65" s="76"/>
      <c r="DM65" s="76"/>
      <c r="DN65" s="76"/>
      <c r="DO65" s="76"/>
      <c r="DP65" s="76"/>
      <c r="DQ65" s="78"/>
      <c r="DR65" s="78"/>
      <c r="DS65" s="78"/>
    </row>
    <row r="66" spans="1:123" s="23" customFormat="1" ht="13">
      <c r="A66" s="21"/>
      <c r="B66" s="22"/>
      <c r="C66" s="298" t="s">
        <v>2847</v>
      </c>
      <c r="D66" s="29"/>
      <c r="E66" s="29"/>
      <c r="F66" s="29"/>
      <c r="G66" s="29"/>
      <c r="H66" s="29"/>
      <c r="I66" s="29"/>
      <c r="J66" s="31"/>
      <c r="K66" s="291"/>
      <c r="L66" s="287"/>
      <c r="M66" s="48"/>
      <c r="N66" s="76"/>
      <c r="O66" s="82"/>
      <c r="P66" s="76"/>
      <c r="Q66" s="48"/>
      <c r="R66" s="48"/>
      <c r="S66" s="48"/>
      <c r="T66" s="48"/>
      <c r="U66" s="48"/>
      <c r="V66" s="48"/>
      <c r="W66" s="48"/>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76"/>
      <c r="BX66" s="76"/>
      <c r="BY66" s="76"/>
      <c r="BZ66" s="76"/>
      <c r="CA66" s="76"/>
      <c r="CB66" s="76"/>
      <c r="CC66" s="76"/>
      <c r="CD66" s="76"/>
      <c r="CE66" s="76"/>
      <c r="CF66" s="76"/>
      <c r="CG66" s="76"/>
      <c r="CH66" s="76"/>
      <c r="CI66" s="76"/>
      <c r="CJ66" s="76"/>
      <c r="CK66" s="76"/>
      <c r="CL66" s="76"/>
      <c r="CM66" s="76"/>
      <c r="CN66" s="76"/>
      <c r="CO66" s="76"/>
      <c r="CP66" s="76"/>
      <c r="CQ66" s="76"/>
      <c r="CR66" s="76"/>
      <c r="CS66" s="76"/>
      <c r="CT66" s="76"/>
      <c r="CU66" s="76"/>
      <c r="CV66" s="76"/>
      <c r="CW66" s="76"/>
      <c r="CX66" s="76"/>
      <c r="CY66" s="76"/>
      <c r="CZ66" s="76"/>
      <c r="DA66" s="76"/>
      <c r="DB66" s="76"/>
      <c r="DC66" s="76"/>
      <c r="DD66" s="76"/>
      <c r="DE66" s="76"/>
      <c r="DF66" s="76"/>
      <c r="DG66" s="76"/>
      <c r="DH66" s="76"/>
      <c r="DI66" s="76"/>
      <c r="DJ66" s="76"/>
      <c r="DK66" s="76"/>
      <c r="DL66" s="76"/>
      <c r="DM66" s="76"/>
      <c r="DN66" s="76"/>
      <c r="DO66" s="76"/>
      <c r="DP66" s="76"/>
      <c r="DQ66" s="78"/>
      <c r="DR66" s="78"/>
      <c r="DS66" s="78"/>
    </row>
    <row r="67" spans="1:123">
      <c r="A67" s="1"/>
      <c r="B67" s="24"/>
      <c r="C67" s="47"/>
      <c r="D67" s="43"/>
      <c r="E67" s="43"/>
      <c r="F67" s="43"/>
      <c r="G67" s="43"/>
      <c r="H67" s="43"/>
      <c r="I67" s="43"/>
      <c r="J67" s="44"/>
      <c r="K67" s="292"/>
      <c r="L67" s="287" t="str">
        <f>IF(C67="","",B67*K67)</f>
        <v/>
      </c>
      <c r="N67" s="76"/>
      <c r="O67" s="82"/>
      <c r="P67" s="76"/>
      <c r="Q67" s="48"/>
      <c r="R67" s="48"/>
      <c r="S67" s="48"/>
      <c r="T67" s="48"/>
      <c r="U67" s="48"/>
      <c r="V67" s="48"/>
      <c r="W67" s="48"/>
    </row>
    <row r="68" spans="1:123">
      <c r="A68" s="1"/>
      <c r="B68" s="13"/>
      <c r="C68" s="33" t="s">
        <v>1453</v>
      </c>
      <c r="D68" s="13"/>
      <c r="E68" s="13"/>
      <c r="F68" s="13"/>
      <c r="G68" s="13"/>
      <c r="H68" s="13"/>
      <c r="I68" s="13"/>
      <c r="J68" s="13"/>
      <c r="K68" s="25" t="s">
        <v>15</v>
      </c>
      <c r="L68" s="293">
        <f ca="1">IF(NOW()&gt;V15,"",IF(SUM(L19:L67)&gt;0,ROUND(SUM(L19:L67),2),""))</f>
        <v>352707.4</v>
      </c>
      <c r="N68" s="76"/>
      <c r="O68" s="76"/>
      <c r="P68" s="76"/>
      <c r="Q68" s="48"/>
      <c r="R68" s="48"/>
      <c r="S68" s="48"/>
      <c r="T68" s="48"/>
      <c r="U68" s="48"/>
      <c r="V68" s="48"/>
      <c r="W68" s="48"/>
    </row>
    <row r="69" spans="1:123">
      <c r="A69" s="1"/>
      <c r="B69" s="13"/>
      <c r="C69" s="17" t="str">
        <f>IFERROR(VLOOKUP(C$68,Items!AD:AJ,2,0),"")</f>
        <v>Account No: 1441002237313 (GHS)</v>
      </c>
      <c r="D69" s="13"/>
      <c r="E69" s="13"/>
      <c r="F69" s="13"/>
      <c r="G69" s="13"/>
      <c r="H69" s="13"/>
      <c r="I69" s="13"/>
      <c r="J69" s="13"/>
      <c r="K69" s="41" t="str">
        <f>IF(N13="DISPLAY TAX","6% NHIL/GETFUND/COVID19 Levy",IF(N13="DO NOT DISPLAY TAX",""))</f>
        <v>6% NHIL/GETFUND/COVID19 Levy</v>
      </c>
      <c r="L69" s="293">
        <f ca="1">IF(K69="","",IFERROR(6%*L68,0))</f>
        <v>21162.444</v>
      </c>
      <c r="N69" s="76"/>
      <c r="O69" s="76"/>
      <c r="P69" s="76"/>
      <c r="Q69" s="48"/>
      <c r="R69" s="48"/>
      <c r="S69" s="48"/>
      <c r="T69" s="48"/>
      <c r="U69" s="48"/>
      <c r="V69" s="48"/>
      <c r="W69" s="48"/>
    </row>
    <row r="70" spans="1:123">
      <c r="A70" s="1"/>
      <c r="B70" s="13"/>
      <c r="C70" s="17" t="str">
        <f>IFERROR(VLOOKUP(C$68,Items!AD:AJ,3,0),"")</f>
        <v>Account No: 3441002198840 (USD)</v>
      </c>
      <c r="D70" s="13"/>
      <c r="E70" s="13"/>
      <c r="F70" s="13"/>
      <c r="G70" s="13"/>
      <c r="H70" s="13"/>
      <c r="I70" s="13"/>
      <c r="J70" s="13"/>
      <c r="K70" s="25" t="str">
        <f>IF(K69="","","SubTotal  ")</f>
        <v xml:space="preserve">SubTotal  </v>
      </c>
      <c r="L70" s="293">
        <f ca="1">IF(L69="","",ROUND(SUM(L68:L69),2))</f>
        <v>373869.84</v>
      </c>
      <c r="N70" s="76"/>
      <c r="O70" s="76"/>
      <c r="P70" s="76"/>
      <c r="Q70" s="48"/>
      <c r="R70" s="48"/>
      <c r="S70" s="48"/>
      <c r="T70" s="48"/>
      <c r="U70" s="48"/>
      <c r="V70" s="48"/>
      <c r="W70" s="48"/>
    </row>
    <row r="71" spans="1:123">
      <c r="A71" s="1"/>
      <c r="B71" s="13"/>
      <c r="C71" s="17" t="str">
        <f>IFERROR(VLOOKUP(C$68,Items!AD:AJ,4,0),"")</f>
        <v>Account Name: Tino Solutions Limited</v>
      </c>
      <c r="D71" s="17"/>
      <c r="E71" s="17"/>
      <c r="F71" s="13"/>
      <c r="G71" s="13"/>
      <c r="H71" s="13"/>
      <c r="I71" s="13"/>
      <c r="J71" s="13"/>
      <c r="K71" s="25" t="str">
        <f>IF(N13="DISPLAY TAX","15% VAT",IF(N13="DO NOT DISPLAY TAX",""))</f>
        <v>15% VAT</v>
      </c>
      <c r="L71" s="293">
        <f ca="1">IF(K71="","",IFERROR(15%*L70,0))</f>
        <v>56080.476000000002</v>
      </c>
      <c r="N71" s="76"/>
      <c r="O71" s="76"/>
      <c r="P71" s="76"/>
      <c r="Q71" s="48"/>
      <c r="R71" s="48"/>
      <c r="S71" s="48"/>
      <c r="T71" s="48"/>
      <c r="U71" s="48"/>
      <c r="V71" s="48"/>
      <c r="W71" s="48"/>
    </row>
    <row r="72" spans="1:123" ht="16">
      <c r="A72" s="1"/>
      <c r="B72" s="13"/>
      <c r="C72" s="17" t="str">
        <f>IFERROR(VLOOKUP(C$68,Items!AD:AJ,5,0),"")</f>
        <v>Swift Code: ECOCGHACXXX</v>
      </c>
      <c r="D72" s="17"/>
      <c r="E72" s="17"/>
      <c r="F72" s="13"/>
      <c r="G72" s="13"/>
      <c r="H72" s="13"/>
      <c r="I72" s="13"/>
      <c r="J72" s="13"/>
      <c r="K72" s="26" t="s">
        <v>16</v>
      </c>
      <c r="L72" s="294" t="str">
        <f ca="1">IF(L71="",L16&amp;" "&amp;TEXT(L68,"#,##0.00"),L16&amp;" "&amp;TEXT(ROUND(SUM(L70:L71),2),"#,##0.00"))</f>
        <v>GH₵ 429,950.32</v>
      </c>
      <c r="N72" s="76"/>
      <c r="O72" s="76"/>
      <c r="P72" s="76"/>
      <c r="Q72" s="48"/>
      <c r="R72" s="48"/>
      <c r="S72" s="48"/>
      <c r="T72" s="48"/>
      <c r="U72" s="48"/>
      <c r="V72" s="48"/>
      <c r="W72" s="48"/>
    </row>
    <row r="73" spans="1:123">
      <c r="A73" s="1"/>
      <c r="B73" s="25"/>
      <c r="C73" s="17" t="str">
        <f>IFERROR(VLOOKUP(C$68,Items!AD:AJ,6,0),"")</f>
        <v>Sort Code: 130111</v>
      </c>
      <c r="D73" s="33"/>
      <c r="E73" s="33"/>
      <c r="F73" s="13"/>
      <c r="G73" s="27"/>
      <c r="H73" s="27"/>
      <c r="I73" s="13"/>
      <c r="J73" s="13"/>
      <c r="K73" s="13"/>
      <c r="L73" s="13"/>
      <c r="N73" s="76"/>
      <c r="O73" s="76"/>
      <c r="P73" s="76"/>
      <c r="Q73" s="48"/>
      <c r="R73" s="48"/>
      <c r="S73" s="48"/>
      <c r="T73" s="48"/>
      <c r="U73" s="48"/>
      <c r="V73" s="48"/>
      <c r="W73" s="48"/>
    </row>
    <row r="74" spans="1:123" ht="15" customHeight="1">
      <c r="A74" s="1"/>
      <c r="B74" s="25"/>
      <c r="C74" s="17" t="str">
        <f>IFERROR(VLOOKUP(C$68,Items!AD:AJ,7,0),"")</f>
        <v>Bank Branch: Abeka Lapaz</v>
      </c>
      <c r="D74" s="34"/>
      <c r="E74" s="34"/>
      <c r="F74" s="13"/>
      <c r="G74" s="13"/>
      <c r="H74" s="13"/>
      <c r="I74" s="367" t="s">
        <v>17</v>
      </c>
      <c r="J74" s="368"/>
      <c r="K74" s="368"/>
      <c r="L74" s="369"/>
      <c r="N74" s="76"/>
      <c r="O74" s="76"/>
      <c r="P74" s="76"/>
      <c r="Q74" s="48"/>
      <c r="R74" s="48"/>
      <c r="S74" s="48"/>
      <c r="T74" s="48"/>
      <c r="U74" s="48"/>
      <c r="V74" s="48"/>
      <c r="W74" s="48"/>
    </row>
    <row r="75" spans="1:123">
      <c r="A75" s="1"/>
      <c r="B75" s="25"/>
      <c r="C75" s="36"/>
      <c r="D75" s="35"/>
      <c r="E75" s="35"/>
      <c r="F75" s="13"/>
      <c r="G75" s="13"/>
      <c r="H75" s="13"/>
      <c r="I75" s="370"/>
      <c r="J75" s="371"/>
      <c r="K75" s="371"/>
      <c r="L75" s="372"/>
      <c r="N75" s="76"/>
      <c r="O75" s="76"/>
      <c r="P75" s="76"/>
      <c r="Q75" s="48"/>
      <c r="R75" s="48"/>
      <c r="S75" s="48"/>
      <c r="T75" s="48"/>
      <c r="U75" s="48"/>
      <c r="V75" s="48"/>
      <c r="W75" s="48"/>
    </row>
    <row r="76" spans="1:123">
      <c r="A76" s="1"/>
      <c r="B76" s="13"/>
      <c r="C76" s="37" t="s">
        <v>969</v>
      </c>
      <c r="D76" s="13"/>
      <c r="E76" s="13"/>
      <c r="F76" s="13"/>
      <c r="G76" s="13"/>
      <c r="H76" s="13"/>
      <c r="I76" s="373"/>
      <c r="J76" s="374"/>
      <c r="K76" s="374"/>
      <c r="L76" s="375"/>
      <c r="N76" s="76"/>
      <c r="O76" s="76"/>
      <c r="P76" s="76"/>
      <c r="Q76" s="48"/>
      <c r="R76" s="48"/>
      <c r="S76" s="48"/>
      <c r="T76" s="48"/>
      <c r="U76" s="48"/>
      <c r="V76" s="48"/>
      <c r="W76" s="48"/>
    </row>
    <row r="77" spans="1:123" ht="12.75" customHeight="1">
      <c r="A77" s="1"/>
      <c r="B77" s="36"/>
      <c r="C77" s="36"/>
      <c r="D77" s="36"/>
      <c r="E77" s="36"/>
      <c r="F77" s="36"/>
      <c r="G77" s="36"/>
      <c r="H77" s="36"/>
      <c r="I77" s="36"/>
      <c r="J77" s="36"/>
      <c r="K77" s="36"/>
      <c r="L77" s="36"/>
      <c r="N77" s="76"/>
      <c r="O77" s="76"/>
      <c r="P77" s="76"/>
      <c r="Q77" s="48"/>
      <c r="R77" s="48"/>
      <c r="S77" s="48"/>
      <c r="T77" s="48"/>
      <c r="U77" s="48"/>
      <c r="V77" s="48"/>
      <c r="W77" s="48"/>
    </row>
    <row r="78" spans="1:123" ht="12.75" customHeight="1">
      <c r="A78" s="1"/>
      <c r="B78" s="36"/>
      <c r="C78" s="37"/>
      <c r="D78" s="36"/>
      <c r="E78" s="36"/>
      <c r="F78" s="36"/>
      <c r="G78" s="36"/>
      <c r="H78" s="36"/>
      <c r="I78" s="36"/>
      <c r="J78" s="36"/>
      <c r="K78" s="36"/>
      <c r="L78" s="36"/>
      <c r="N78" s="76"/>
      <c r="O78" s="76"/>
      <c r="P78" s="76"/>
      <c r="Q78" s="48"/>
      <c r="R78" s="48"/>
      <c r="S78" s="48"/>
      <c r="T78" s="48"/>
      <c r="U78" s="48"/>
      <c r="V78" s="48"/>
      <c r="W78" s="48"/>
    </row>
    <row r="79" spans="1:123" ht="16" thickBot="1">
      <c r="A79" s="1"/>
      <c r="B79" s="361" t="s">
        <v>2812</v>
      </c>
      <c r="C79" s="13"/>
      <c r="D79" s="13"/>
      <c r="E79" s="13"/>
      <c r="F79" s="13"/>
      <c r="G79" s="13"/>
      <c r="H79" s="13"/>
      <c r="I79" s="13"/>
      <c r="J79" s="13"/>
      <c r="K79" s="13"/>
      <c r="L79" s="13"/>
      <c r="N79" s="76"/>
      <c r="O79" s="76"/>
      <c r="P79" s="76"/>
      <c r="Q79" s="48"/>
      <c r="R79" s="48"/>
      <c r="S79" s="48"/>
      <c r="T79" s="48"/>
      <c r="U79" s="48"/>
      <c r="V79" s="48"/>
      <c r="W79" s="48"/>
    </row>
    <row r="80" spans="1:123" ht="16" thickTop="1">
      <c r="A80" s="1"/>
      <c r="B80" s="362" t="s">
        <v>2811</v>
      </c>
      <c r="C80" s="28"/>
      <c r="D80" s="28"/>
      <c r="E80" s="28"/>
      <c r="F80" s="28"/>
      <c r="G80" s="28"/>
      <c r="H80" s="28"/>
      <c r="I80" s="28"/>
      <c r="J80" s="28"/>
      <c r="K80" s="28"/>
      <c r="L80" s="28"/>
      <c r="N80" s="76"/>
      <c r="O80" s="76"/>
      <c r="P80" s="76"/>
      <c r="Q80" s="48"/>
      <c r="R80" s="48"/>
      <c r="S80" s="48"/>
      <c r="T80" s="48"/>
      <c r="U80" s="48"/>
      <c r="V80" s="48"/>
      <c r="W80" s="48"/>
    </row>
    <row r="81" spans="1:16141">
      <c r="A81" s="1"/>
      <c r="B81" s="13"/>
      <c r="C81" s="365"/>
      <c r="D81" s="365"/>
      <c r="E81" s="365"/>
      <c r="F81" s="365"/>
      <c r="G81" s="365"/>
      <c r="H81" s="365"/>
      <c r="I81" s="365"/>
      <c r="J81" s="365"/>
      <c r="K81" s="365"/>
      <c r="L81" s="13"/>
      <c r="N81" s="76"/>
      <c r="O81" s="76"/>
      <c r="P81" s="76"/>
      <c r="Q81" s="48"/>
      <c r="R81" s="48"/>
      <c r="S81" s="48"/>
      <c r="T81" s="48"/>
      <c r="U81" s="48"/>
      <c r="V81" s="48"/>
      <c r="W81" s="48"/>
    </row>
    <row r="82" spans="1:16141">
      <c r="A82" s="1"/>
      <c r="B82" s="13"/>
      <c r="C82" s="366"/>
      <c r="D82" s="366"/>
      <c r="E82" s="366"/>
      <c r="F82" s="366"/>
      <c r="G82" s="366"/>
      <c r="H82" s="366"/>
      <c r="I82" s="366"/>
      <c r="J82" s="366"/>
      <c r="K82" s="366"/>
      <c r="L82" s="13"/>
      <c r="N82" s="76"/>
      <c r="O82" s="76"/>
      <c r="P82" s="76"/>
      <c r="Q82" s="48"/>
      <c r="R82" s="48"/>
      <c r="S82" s="48"/>
      <c r="T82" s="48"/>
      <c r="U82" s="48"/>
      <c r="V82" s="48"/>
      <c r="W82" s="48"/>
    </row>
    <row r="83" spans="1:16141">
      <c r="A83" s="1"/>
      <c r="B83" s="13"/>
      <c r="C83" s="366"/>
      <c r="D83" s="366"/>
      <c r="E83" s="366"/>
      <c r="F83" s="366"/>
      <c r="G83" s="366"/>
      <c r="H83" s="366"/>
      <c r="I83" s="366"/>
      <c r="J83" s="366"/>
      <c r="K83" s="366"/>
      <c r="L83" s="13"/>
      <c r="N83" s="76"/>
      <c r="O83" s="76"/>
      <c r="P83" s="76"/>
      <c r="Q83" s="48"/>
      <c r="R83" s="48"/>
      <c r="S83" s="48"/>
      <c r="T83" s="48"/>
      <c r="U83" s="48"/>
      <c r="V83" s="48"/>
      <c r="W83" s="48"/>
    </row>
    <row r="84" spans="1:16141" s="7" customFormat="1">
      <c r="M84" s="48"/>
      <c r="N84" s="48"/>
      <c r="O84" s="48"/>
      <c r="P84" s="48"/>
      <c r="Q84" s="48"/>
      <c r="R84" s="48"/>
      <c r="S84" s="48"/>
      <c r="T84" s="48"/>
      <c r="U84" s="48"/>
      <c r="V84" s="48"/>
      <c r="W84" s="48"/>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76"/>
      <c r="BX84" s="76"/>
      <c r="BY84" s="76"/>
      <c r="BZ84" s="76"/>
      <c r="CA84" s="76"/>
      <c r="CB84" s="76"/>
      <c r="CC84" s="76"/>
      <c r="CD84" s="76"/>
      <c r="CE84" s="76"/>
      <c r="CF84" s="76"/>
      <c r="CG84" s="76"/>
      <c r="CH84" s="76"/>
      <c r="CI84" s="76"/>
      <c r="CJ84" s="76"/>
      <c r="CK84" s="76"/>
      <c r="CL84" s="76"/>
      <c r="CM84" s="76"/>
      <c r="CN84" s="76"/>
      <c r="CO84" s="76"/>
      <c r="CP84" s="76"/>
      <c r="CQ84" s="76"/>
      <c r="CR84" s="76"/>
      <c r="CS84" s="76"/>
      <c r="CT84" s="76"/>
      <c r="CU84" s="76"/>
      <c r="CV84" s="76"/>
      <c r="CW84" s="76"/>
      <c r="CX84" s="76"/>
      <c r="CY84" s="76"/>
      <c r="CZ84" s="76"/>
      <c r="DA84" s="76"/>
      <c r="DB84" s="76"/>
      <c r="DC84" s="76"/>
      <c r="DD84" s="76"/>
      <c r="DE84" s="76"/>
      <c r="DF84" s="76"/>
      <c r="DG84" s="76"/>
      <c r="DH84" s="76"/>
      <c r="DI84" s="76"/>
      <c r="DJ84" s="76"/>
      <c r="DK84" s="76"/>
      <c r="DL84" s="76"/>
      <c r="DM84" s="76"/>
      <c r="DN84" s="76"/>
      <c r="DO84" s="76"/>
      <c r="DP84" s="76"/>
      <c r="DQ84" s="77"/>
      <c r="DR84" s="77"/>
      <c r="DS84" s="77"/>
      <c r="DT84"/>
      <c r="DU84"/>
      <c r="DV84"/>
      <c r="DW84"/>
      <c r="DX84"/>
      <c r="DY84"/>
      <c r="DZ84"/>
      <c r="EA84"/>
      <c r="EB84"/>
      <c r="EC84"/>
      <c r="ED84"/>
      <c r="EE84"/>
      <c r="EF84"/>
      <c r="EG84"/>
      <c r="EH84"/>
      <c r="EI84"/>
      <c r="EJ84"/>
      <c r="EK84"/>
      <c r="EL84"/>
      <c r="EM84"/>
      <c r="EN84"/>
      <c r="EO84"/>
      <c r="EP84"/>
      <c r="EQ84"/>
      <c r="ER84"/>
      <c r="ES84"/>
      <c r="ET84"/>
      <c r="EU84"/>
      <c r="EV84"/>
      <c r="EW84"/>
      <c r="EX84"/>
      <c r="EY84"/>
      <c r="EZ84"/>
      <c r="FA84"/>
      <c r="FB84"/>
      <c r="FC84"/>
      <c r="FD84"/>
      <c r="FE84"/>
      <c r="FF84"/>
      <c r="FG84"/>
      <c r="FH84"/>
      <c r="FI84"/>
      <c r="FJ84"/>
      <c r="FK84"/>
      <c r="FL84"/>
      <c r="FM84"/>
      <c r="FN84"/>
      <c r="FO84"/>
      <c r="FP84"/>
      <c r="FQ84"/>
      <c r="FR84"/>
      <c r="FS84"/>
      <c r="FT84"/>
      <c r="FU84"/>
      <c r="FV84"/>
      <c r="FW84"/>
      <c r="FX84"/>
      <c r="FY84"/>
      <c r="FZ84"/>
      <c r="GA84"/>
      <c r="GB84"/>
      <c r="GC84"/>
      <c r="GD84"/>
      <c r="GE84"/>
      <c r="GF84"/>
      <c r="GG84"/>
      <c r="GH84"/>
      <c r="GI84"/>
      <c r="GJ84"/>
      <c r="GK84"/>
      <c r="GL84"/>
      <c r="GM84"/>
      <c r="GN84"/>
      <c r="GO84"/>
      <c r="GP84"/>
      <c r="GQ84"/>
      <c r="GR84"/>
      <c r="GS84"/>
      <c r="GT84"/>
      <c r="GU84"/>
      <c r="GV84"/>
      <c r="GW84"/>
      <c r="GX84"/>
      <c r="GY84"/>
      <c r="GZ84"/>
      <c r="HA84"/>
      <c r="HB84"/>
      <c r="HC84"/>
      <c r="HD84"/>
      <c r="HE84"/>
      <c r="HF84"/>
      <c r="HG84"/>
      <c r="HH84"/>
      <c r="HI84"/>
      <c r="HJ84"/>
      <c r="HK84"/>
      <c r="HL84"/>
      <c r="HM84"/>
      <c r="HN84"/>
      <c r="HO84"/>
      <c r="HP84"/>
      <c r="HQ84"/>
      <c r="HR84"/>
      <c r="HS84"/>
      <c r="HT84"/>
      <c r="HU84"/>
      <c r="HV84"/>
      <c r="HW84"/>
      <c r="HX84"/>
      <c r="HY84"/>
      <c r="HZ84"/>
      <c r="IA84"/>
      <c r="IB84"/>
      <c r="IC84"/>
      <c r="ID84"/>
      <c r="IE84"/>
      <c r="IF84"/>
      <c r="IG84"/>
      <c r="IH84"/>
      <c r="II84"/>
      <c r="IJ84"/>
      <c r="IK84"/>
      <c r="IL84"/>
      <c r="IM84"/>
      <c r="IN84"/>
      <c r="IO84"/>
      <c r="IP84"/>
      <c r="IQ84"/>
      <c r="IR84"/>
      <c r="IS84"/>
      <c r="IT84"/>
      <c r="IU84"/>
      <c r="IV84"/>
      <c r="IW84"/>
      <c r="IX84"/>
      <c r="IY84"/>
      <c r="IZ84"/>
      <c r="JA84"/>
      <c r="JB84"/>
      <c r="JC84"/>
      <c r="JD84"/>
      <c r="JE84"/>
      <c r="JF84"/>
      <c r="JG84"/>
      <c r="JH84"/>
      <c r="JI84"/>
      <c r="JJ84"/>
      <c r="JK84"/>
      <c r="JL84"/>
      <c r="JM84"/>
      <c r="JN84"/>
      <c r="JO84"/>
      <c r="JP84"/>
      <c r="JQ84"/>
      <c r="JR84"/>
      <c r="JS84"/>
      <c r="JT84"/>
      <c r="JU84"/>
      <c r="JV84"/>
      <c r="JW84"/>
      <c r="JX84"/>
      <c r="JY84"/>
      <c r="JZ84"/>
      <c r="KA84"/>
      <c r="KB84"/>
      <c r="KC84"/>
      <c r="KD84"/>
      <c r="KE84"/>
      <c r="KF84"/>
      <c r="KG84"/>
      <c r="KH84"/>
      <c r="KI84"/>
      <c r="KJ84"/>
      <c r="KK84"/>
      <c r="KL84"/>
      <c r="KM84"/>
      <c r="KN84"/>
      <c r="KO84"/>
      <c r="KP84"/>
      <c r="KQ84"/>
      <c r="KR84"/>
      <c r="KS84"/>
      <c r="KT84"/>
      <c r="KU84"/>
      <c r="KV84"/>
      <c r="KW84"/>
      <c r="KX84"/>
      <c r="KY84"/>
      <c r="KZ84"/>
      <c r="LA84"/>
      <c r="LB84"/>
      <c r="LC84"/>
      <c r="LD84"/>
      <c r="LE84"/>
      <c r="LF84"/>
      <c r="LG84"/>
      <c r="LH84"/>
      <c r="LI84"/>
      <c r="LJ84"/>
      <c r="LK84"/>
      <c r="LL84"/>
      <c r="LM84"/>
      <c r="LN84"/>
      <c r="LO84"/>
      <c r="LP84"/>
      <c r="LQ84"/>
      <c r="LR84"/>
      <c r="LS84"/>
      <c r="LT84"/>
      <c r="LU84"/>
      <c r="LV84"/>
      <c r="LW84"/>
      <c r="LX84"/>
      <c r="LY84"/>
      <c r="LZ84"/>
      <c r="MA84"/>
      <c r="MB84"/>
      <c r="MC84"/>
      <c r="MD84"/>
      <c r="ME84"/>
      <c r="MF84"/>
      <c r="MG84"/>
      <c r="MH84"/>
      <c r="MI84"/>
      <c r="MJ84"/>
      <c r="MK84"/>
      <c r="ML84"/>
      <c r="MM84"/>
      <c r="MN84"/>
      <c r="MO84"/>
      <c r="MP84"/>
      <c r="MQ84"/>
      <c r="MR84"/>
      <c r="MS84"/>
      <c r="MT84"/>
      <c r="MU84"/>
      <c r="MV84"/>
      <c r="MW84"/>
      <c r="MX84"/>
      <c r="MY84"/>
      <c r="MZ84"/>
      <c r="NA84"/>
      <c r="NB84"/>
      <c r="NC84"/>
      <c r="ND84"/>
      <c r="NE84"/>
      <c r="NF84"/>
      <c r="NG84"/>
      <c r="NH84"/>
      <c r="NI84"/>
      <c r="NJ84"/>
      <c r="NK84"/>
      <c r="NL84"/>
      <c r="NM84"/>
      <c r="NN84"/>
      <c r="NO84"/>
      <c r="NP84"/>
      <c r="NQ84"/>
      <c r="NR84"/>
      <c r="NS84"/>
      <c r="NT84"/>
      <c r="NU84"/>
      <c r="NV84"/>
      <c r="NW84"/>
      <c r="NX84"/>
      <c r="NY84"/>
      <c r="NZ84"/>
      <c r="OA84"/>
      <c r="OB84"/>
      <c r="OC84"/>
      <c r="OD84"/>
      <c r="OE84"/>
      <c r="OF84"/>
      <c r="OG84"/>
      <c r="OH84"/>
      <c r="OI84"/>
      <c r="OJ84"/>
      <c r="OK84"/>
      <c r="OL84"/>
      <c r="OM84"/>
      <c r="ON84"/>
      <c r="OO84"/>
      <c r="OP84"/>
      <c r="OQ84"/>
      <c r="OR84"/>
      <c r="OS84"/>
      <c r="OT84"/>
      <c r="OU84"/>
      <c r="OV84"/>
      <c r="OW84"/>
      <c r="OX84"/>
      <c r="OY84"/>
      <c r="OZ84"/>
      <c r="PA84"/>
      <c r="PB84"/>
      <c r="PC84"/>
      <c r="PD84"/>
      <c r="PE84"/>
      <c r="PF84"/>
      <c r="PG84"/>
      <c r="PH84"/>
      <c r="PI84"/>
      <c r="PJ84"/>
      <c r="PK84"/>
      <c r="PL84"/>
      <c r="PM84"/>
      <c r="PN84"/>
      <c r="PO84"/>
      <c r="PP84"/>
      <c r="PQ84"/>
      <c r="PR84"/>
      <c r="PS84"/>
      <c r="PT84"/>
      <c r="PU84"/>
      <c r="PV84"/>
      <c r="PW84"/>
      <c r="PX84"/>
      <c r="PY84"/>
      <c r="PZ84"/>
      <c r="QA84"/>
      <c r="QB84"/>
      <c r="QC84"/>
      <c r="QD84"/>
      <c r="QE84"/>
      <c r="QF84"/>
      <c r="QG84"/>
      <c r="QH84"/>
      <c r="QI84"/>
      <c r="QJ84"/>
      <c r="QK84"/>
      <c r="QL84"/>
      <c r="QM84"/>
      <c r="QN84"/>
      <c r="QO84"/>
      <c r="QP84"/>
      <c r="QQ84"/>
      <c r="QR84"/>
      <c r="QS84"/>
      <c r="QT84"/>
      <c r="QU84"/>
      <c r="QV84"/>
      <c r="QW84"/>
      <c r="QX84"/>
      <c r="QY84"/>
      <c r="QZ84"/>
      <c r="RA84"/>
      <c r="RB84"/>
      <c r="RC84"/>
      <c r="RD84"/>
      <c r="RE84"/>
      <c r="RF84"/>
      <c r="RG84"/>
      <c r="RH84"/>
      <c r="RI84"/>
      <c r="RJ84"/>
      <c r="RK84"/>
      <c r="RL84"/>
      <c r="RM84"/>
      <c r="RN84"/>
      <c r="RO84"/>
      <c r="RP84"/>
      <c r="RQ84"/>
      <c r="RR84"/>
      <c r="RS84"/>
      <c r="RT84"/>
      <c r="RU84"/>
      <c r="RV84"/>
      <c r="RW84"/>
      <c r="RX84"/>
      <c r="RY84"/>
      <c r="RZ84"/>
      <c r="SA84"/>
      <c r="SB84"/>
      <c r="SC84"/>
      <c r="SD84"/>
      <c r="SE84"/>
      <c r="SF84"/>
      <c r="SG84"/>
      <c r="SH84"/>
      <c r="SI84"/>
      <c r="SJ84"/>
      <c r="SK84"/>
      <c r="SL84"/>
      <c r="SM84"/>
      <c r="SN84"/>
      <c r="SO84"/>
      <c r="SP84"/>
      <c r="SQ84"/>
      <c r="SR84"/>
      <c r="SS84"/>
      <c r="ST84"/>
      <c r="SU84"/>
      <c r="SV84"/>
      <c r="SW84"/>
      <c r="SX84"/>
      <c r="SY84"/>
      <c r="SZ84"/>
      <c r="TA84"/>
      <c r="TB84"/>
      <c r="TC84"/>
      <c r="TD84"/>
      <c r="TE84"/>
      <c r="TF84"/>
      <c r="TG84"/>
      <c r="TH84"/>
      <c r="TI84"/>
      <c r="TJ84"/>
      <c r="TK84"/>
      <c r="TL84"/>
      <c r="TM84"/>
      <c r="TN84"/>
      <c r="TO84"/>
      <c r="TP84"/>
      <c r="TQ84"/>
      <c r="TR84"/>
      <c r="TS84"/>
      <c r="TT84"/>
      <c r="TU84"/>
      <c r="TV84"/>
      <c r="TW84"/>
      <c r="TX84"/>
      <c r="TY84"/>
      <c r="TZ84"/>
      <c r="UA84"/>
      <c r="UB84"/>
      <c r="UC84"/>
      <c r="UD84"/>
      <c r="UE84"/>
      <c r="UF84"/>
      <c r="UG84"/>
      <c r="UH84"/>
      <c r="UI84"/>
      <c r="UJ84"/>
      <c r="UK84"/>
      <c r="UL84"/>
      <c r="UM84"/>
      <c r="UN84"/>
      <c r="UO84"/>
      <c r="UP84"/>
      <c r="UQ84"/>
      <c r="UR84"/>
      <c r="US84"/>
      <c r="UT84"/>
      <c r="UU84"/>
      <c r="UV84"/>
      <c r="UW84"/>
      <c r="UX84"/>
      <c r="UY84"/>
      <c r="UZ84"/>
      <c r="VA84"/>
      <c r="VB84"/>
      <c r="VC84"/>
      <c r="VD84"/>
      <c r="VE84"/>
      <c r="VF84"/>
      <c r="VG84"/>
      <c r="VH84"/>
      <c r="VI84"/>
      <c r="VJ84"/>
      <c r="VK84"/>
      <c r="VL84"/>
      <c r="VM84"/>
      <c r="VN84"/>
      <c r="VO84"/>
      <c r="VP84"/>
      <c r="VQ84"/>
      <c r="VR84"/>
      <c r="VS84"/>
      <c r="VT84"/>
      <c r="VU84"/>
      <c r="VV84"/>
      <c r="VW84"/>
      <c r="VX84"/>
      <c r="VY84"/>
      <c r="VZ84"/>
      <c r="WA84"/>
      <c r="WB84"/>
      <c r="WC84"/>
      <c r="WD84"/>
      <c r="WE84"/>
      <c r="WF84"/>
      <c r="WG84"/>
      <c r="WH84"/>
      <c r="WI84"/>
      <c r="WJ84"/>
      <c r="WK84"/>
      <c r="WL84"/>
      <c r="WM84"/>
      <c r="WN84"/>
      <c r="WO84"/>
      <c r="WP84"/>
      <c r="WQ84"/>
      <c r="WR84"/>
      <c r="WS84"/>
      <c r="WT84"/>
      <c r="WU84"/>
      <c r="WV84"/>
      <c r="WW84"/>
      <c r="WX84"/>
      <c r="WY84"/>
      <c r="WZ84"/>
      <c r="XA84"/>
      <c r="XB84"/>
      <c r="XC84"/>
      <c r="XD84"/>
      <c r="XE84"/>
      <c r="XF84"/>
      <c r="XG84"/>
      <c r="XH84"/>
      <c r="XI84"/>
      <c r="XJ84"/>
      <c r="XK84"/>
      <c r="XL84"/>
      <c r="XM84"/>
      <c r="XN84"/>
      <c r="XO84"/>
      <c r="XP84"/>
      <c r="XQ84"/>
      <c r="XR84"/>
      <c r="XS84"/>
      <c r="XT84"/>
      <c r="XU84"/>
      <c r="XV84"/>
      <c r="XW84"/>
      <c r="XX84"/>
      <c r="XY84"/>
      <c r="XZ84"/>
      <c r="YA84"/>
      <c r="YB84"/>
      <c r="YC84"/>
      <c r="YD84"/>
      <c r="YE84"/>
      <c r="YF84"/>
      <c r="YG84"/>
      <c r="YH84"/>
      <c r="YI84"/>
      <c r="YJ84"/>
      <c r="YK84"/>
      <c r="YL84"/>
      <c r="YM84"/>
      <c r="YN84"/>
      <c r="YO84"/>
      <c r="YP84"/>
      <c r="YQ84"/>
      <c r="YR84"/>
      <c r="YS84"/>
      <c r="YT84"/>
      <c r="YU84"/>
      <c r="YV84"/>
      <c r="YW84"/>
      <c r="YX84"/>
      <c r="YY84"/>
      <c r="YZ84"/>
      <c r="ZA84"/>
      <c r="ZB84"/>
      <c r="ZC84"/>
      <c r="ZD84"/>
      <c r="ZE84"/>
      <c r="ZF84"/>
      <c r="ZG84"/>
      <c r="ZH84"/>
      <c r="ZI84"/>
      <c r="ZJ84"/>
      <c r="ZK84"/>
      <c r="ZL84"/>
      <c r="ZM84"/>
      <c r="ZN84"/>
      <c r="ZO84"/>
      <c r="ZP84"/>
      <c r="ZQ84"/>
      <c r="ZR84"/>
      <c r="ZS84"/>
      <c r="ZT84"/>
      <c r="ZU84"/>
      <c r="ZV84"/>
      <c r="ZW84"/>
      <c r="ZX84"/>
      <c r="ZY84"/>
      <c r="ZZ84"/>
      <c r="AAA84"/>
      <c r="AAB84"/>
      <c r="AAC84"/>
      <c r="AAD84"/>
      <c r="AAE84"/>
      <c r="AAF84"/>
      <c r="AAG84"/>
      <c r="AAH84"/>
      <c r="AAI84"/>
      <c r="AAJ84"/>
      <c r="AAK84"/>
      <c r="AAL84"/>
      <c r="AAM84"/>
      <c r="AAN84"/>
      <c r="AAO84"/>
      <c r="AAP84"/>
      <c r="AAQ84"/>
      <c r="AAR84"/>
      <c r="AAS84"/>
      <c r="AAT84"/>
      <c r="AAU84"/>
      <c r="AAV84"/>
      <c r="AAW84"/>
      <c r="AAX84"/>
      <c r="AAY84"/>
      <c r="AAZ84"/>
      <c r="ABA84"/>
      <c r="ABB84"/>
      <c r="ABC84"/>
      <c r="ABD84"/>
      <c r="ABE84"/>
      <c r="ABF84"/>
      <c r="ABG84"/>
      <c r="ABH84"/>
      <c r="ABI84"/>
      <c r="ABJ84"/>
      <c r="ABK84"/>
      <c r="ABL84"/>
      <c r="ABM84"/>
      <c r="ABN84"/>
      <c r="ABO84"/>
      <c r="ABP84"/>
      <c r="ABQ84"/>
      <c r="ABR84"/>
      <c r="ABS84"/>
      <c r="ABT84"/>
      <c r="ABU84"/>
      <c r="ABV84"/>
      <c r="ABW84"/>
      <c r="ABX84"/>
      <c r="ABY84"/>
      <c r="ABZ84"/>
      <c r="ACA84"/>
      <c r="ACB84"/>
      <c r="ACC84"/>
      <c r="ACD84"/>
      <c r="ACE84"/>
      <c r="ACF84"/>
      <c r="ACG84"/>
      <c r="ACH84"/>
      <c r="ACI84"/>
      <c r="ACJ84"/>
      <c r="ACK84"/>
      <c r="ACL84"/>
      <c r="ACM84"/>
      <c r="ACN84"/>
      <c r="ACO84"/>
      <c r="ACP84"/>
      <c r="ACQ84"/>
      <c r="ACR84"/>
      <c r="ACS84"/>
      <c r="ACT84"/>
      <c r="ACU84"/>
      <c r="ACV84"/>
      <c r="ACW84"/>
      <c r="ACX84"/>
      <c r="ACY84"/>
      <c r="ACZ84"/>
      <c r="ADA84"/>
      <c r="ADB84"/>
      <c r="ADC84"/>
      <c r="ADD84"/>
      <c r="ADE84"/>
      <c r="ADF84"/>
      <c r="ADG84"/>
      <c r="ADH84"/>
      <c r="ADI84"/>
      <c r="ADJ84"/>
      <c r="ADK84"/>
      <c r="ADL84"/>
      <c r="ADM84"/>
      <c r="ADN84"/>
      <c r="ADO84"/>
      <c r="ADP84"/>
      <c r="ADQ84"/>
      <c r="ADR84"/>
      <c r="ADS84"/>
      <c r="ADT84"/>
      <c r="ADU84"/>
      <c r="ADV84"/>
      <c r="ADW84"/>
      <c r="ADX84"/>
      <c r="ADY84"/>
      <c r="ADZ84"/>
      <c r="AEA84"/>
      <c r="AEB84"/>
      <c r="AEC84"/>
      <c r="AED84"/>
      <c r="AEE84"/>
      <c r="AEF84"/>
      <c r="AEG84"/>
      <c r="AEH84"/>
      <c r="AEI84"/>
      <c r="AEJ84"/>
      <c r="AEK84"/>
      <c r="AEL84"/>
      <c r="AEM84"/>
      <c r="AEN84"/>
      <c r="AEO84"/>
      <c r="AEP84"/>
      <c r="AEQ84"/>
      <c r="AER84"/>
      <c r="AES84"/>
      <c r="AET84"/>
      <c r="AEU84"/>
      <c r="AEV84"/>
      <c r="AEW84"/>
      <c r="AEX84"/>
      <c r="AEY84"/>
      <c r="AEZ84"/>
      <c r="AFA84"/>
      <c r="AFB84"/>
      <c r="AFC84"/>
      <c r="AFD84"/>
      <c r="AFE84"/>
      <c r="AFF84"/>
      <c r="AFG84"/>
      <c r="AFH84"/>
      <c r="AFI84"/>
      <c r="AFJ84"/>
      <c r="AFK84"/>
      <c r="AFL84"/>
      <c r="AFM84"/>
      <c r="AFN84"/>
      <c r="AFO84"/>
      <c r="AFP84"/>
      <c r="AFQ84"/>
      <c r="AFR84"/>
      <c r="AFS84"/>
      <c r="AFT84"/>
      <c r="AFU84"/>
      <c r="AFV84"/>
      <c r="AFW84"/>
      <c r="AFX84"/>
      <c r="AFY84"/>
      <c r="AFZ84"/>
      <c r="AGA84"/>
      <c r="AGB84"/>
      <c r="AGC84"/>
      <c r="AGD84"/>
      <c r="AGE84"/>
      <c r="AGF84"/>
      <c r="AGG84"/>
      <c r="AGH84"/>
      <c r="AGI84"/>
      <c r="AGJ84"/>
      <c r="AGK84"/>
      <c r="AGL84"/>
      <c r="AGM84"/>
      <c r="AGN84"/>
      <c r="AGO84"/>
      <c r="AGP84"/>
      <c r="AGQ84"/>
      <c r="AGR84"/>
      <c r="AGS84"/>
      <c r="AGT84"/>
      <c r="AGU84"/>
      <c r="AGV84"/>
      <c r="AGW84"/>
      <c r="AGX84"/>
      <c r="AGY84"/>
      <c r="AGZ84"/>
      <c r="AHA84"/>
      <c r="AHB84"/>
      <c r="AHC84"/>
      <c r="AHD84"/>
      <c r="AHE84"/>
      <c r="AHF84"/>
      <c r="AHG84"/>
      <c r="AHH84"/>
      <c r="AHI84"/>
      <c r="AHJ84"/>
      <c r="AHK84"/>
      <c r="AHL84"/>
      <c r="AHM84"/>
      <c r="AHN84"/>
      <c r="AHO84"/>
      <c r="AHP84"/>
      <c r="AHQ84"/>
      <c r="AHR84"/>
      <c r="AHS84"/>
      <c r="AHT84"/>
      <c r="AHU84"/>
      <c r="AHV84"/>
      <c r="AHW84"/>
      <c r="AHX84"/>
      <c r="AHY84"/>
      <c r="AHZ84"/>
      <c r="AIA84"/>
      <c r="AIB84"/>
      <c r="AIC84"/>
      <c r="AID84"/>
      <c r="AIE84"/>
      <c r="AIF84"/>
      <c r="AIG84"/>
      <c r="AIH84"/>
      <c r="AII84"/>
      <c r="AIJ84"/>
      <c r="AIK84"/>
      <c r="AIL84"/>
      <c r="AIM84"/>
      <c r="AIN84"/>
      <c r="AIO84"/>
      <c r="AIP84"/>
      <c r="AIQ84"/>
      <c r="AIR84"/>
      <c r="AIS84"/>
      <c r="AIT84"/>
      <c r="AIU84"/>
      <c r="AIV84"/>
      <c r="AIW84"/>
      <c r="AIX84"/>
      <c r="AIY84"/>
      <c r="AIZ84"/>
      <c r="AJA84"/>
      <c r="AJB84"/>
      <c r="AJC84"/>
      <c r="AJD84"/>
      <c r="AJE84"/>
      <c r="AJF84"/>
      <c r="AJG84"/>
      <c r="AJH84"/>
      <c r="AJI84"/>
      <c r="AJJ84"/>
      <c r="AJK84"/>
      <c r="AJL84"/>
      <c r="AJM84"/>
      <c r="AJN84"/>
      <c r="AJO84"/>
      <c r="AJP84"/>
      <c r="AJQ84"/>
      <c r="AJR84"/>
      <c r="AJS84"/>
      <c r="AJT84"/>
      <c r="AJU84"/>
      <c r="AJV84"/>
      <c r="AJW84"/>
      <c r="AJX84"/>
      <c r="AJY84"/>
      <c r="AJZ84"/>
      <c r="AKA84"/>
      <c r="AKB84"/>
      <c r="AKC84"/>
      <c r="AKD84"/>
      <c r="AKE84"/>
      <c r="AKF84"/>
      <c r="AKG84"/>
      <c r="AKH84"/>
      <c r="AKI84"/>
      <c r="AKJ84"/>
      <c r="AKK84"/>
      <c r="AKL84"/>
      <c r="AKM84"/>
      <c r="AKN84"/>
      <c r="AKO84"/>
      <c r="AKP84"/>
      <c r="AKQ84"/>
      <c r="AKR84"/>
      <c r="AKS84"/>
      <c r="AKT84"/>
      <c r="AKU84"/>
      <c r="AKV84"/>
      <c r="AKW84"/>
      <c r="AKX84"/>
      <c r="AKY84"/>
      <c r="AKZ84"/>
      <c r="ALA84"/>
      <c r="ALB84"/>
      <c r="ALC84"/>
      <c r="ALD84"/>
      <c r="ALE84"/>
      <c r="ALF84"/>
      <c r="ALG84"/>
      <c r="ALH84"/>
      <c r="ALI84"/>
      <c r="ALJ84"/>
      <c r="ALK84"/>
      <c r="ALL84"/>
      <c r="ALM84"/>
      <c r="ALN84"/>
      <c r="ALO84"/>
      <c r="ALP84"/>
      <c r="ALQ84"/>
      <c r="ALR84"/>
      <c r="ALS84"/>
      <c r="ALT84"/>
      <c r="ALU84"/>
      <c r="ALV84"/>
      <c r="ALW84"/>
      <c r="ALX84"/>
      <c r="ALY84"/>
      <c r="ALZ84"/>
      <c r="AMA84"/>
      <c r="AMB84"/>
      <c r="AMC84"/>
      <c r="AMD84"/>
      <c r="AME84"/>
      <c r="AMF84"/>
      <c r="AMG84"/>
      <c r="AMH84"/>
      <c r="AMI84"/>
      <c r="AMJ84"/>
      <c r="AMK84"/>
      <c r="AML84"/>
      <c r="AMM84"/>
      <c r="AMN84"/>
      <c r="AMO84"/>
      <c r="AMP84"/>
      <c r="AMQ84"/>
      <c r="AMR84"/>
      <c r="AMS84"/>
      <c r="AMT84"/>
      <c r="AMU84"/>
      <c r="AMV84"/>
      <c r="AMW84"/>
      <c r="AMX84"/>
      <c r="AMY84"/>
      <c r="AMZ84"/>
      <c r="ANA84"/>
      <c r="ANB84"/>
      <c r="ANC84"/>
      <c r="AND84"/>
      <c r="ANE84"/>
      <c r="ANF84"/>
      <c r="ANG84"/>
      <c r="ANH84"/>
      <c r="ANI84"/>
      <c r="ANJ84"/>
      <c r="ANK84"/>
      <c r="ANL84"/>
      <c r="ANM84"/>
      <c r="ANN84"/>
      <c r="ANO84"/>
      <c r="ANP84"/>
      <c r="ANQ84"/>
      <c r="ANR84"/>
      <c r="ANS84"/>
      <c r="ANT84"/>
      <c r="ANU84"/>
      <c r="ANV84"/>
      <c r="ANW84"/>
      <c r="ANX84"/>
      <c r="ANY84"/>
      <c r="ANZ84"/>
      <c r="AOA84"/>
      <c r="AOB84"/>
      <c r="AOC84"/>
      <c r="AOD84"/>
      <c r="AOE84"/>
      <c r="AOF84"/>
      <c r="AOG84"/>
      <c r="AOH84"/>
      <c r="AOI84"/>
      <c r="AOJ84"/>
      <c r="AOK84"/>
      <c r="AOL84"/>
      <c r="AOM84"/>
      <c r="AON84"/>
      <c r="AOO84"/>
      <c r="AOP84"/>
      <c r="AOQ84"/>
      <c r="AOR84"/>
      <c r="AOS84"/>
      <c r="AOT84"/>
      <c r="AOU84"/>
      <c r="AOV84"/>
      <c r="AOW84"/>
      <c r="AOX84"/>
      <c r="AOY84"/>
      <c r="AOZ84"/>
      <c r="APA84"/>
      <c r="APB84"/>
      <c r="APC84"/>
      <c r="APD84"/>
      <c r="APE84"/>
      <c r="APF84"/>
      <c r="APG84"/>
      <c r="APH84"/>
      <c r="API84"/>
      <c r="APJ84"/>
      <c r="APK84"/>
      <c r="APL84"/>
      <c r="APM84"/>
      <c r="APN84"/>
      <c r="APO84"/>
      <c r="APP84"/>
      <c r="APQ84"/>
      <c r="APR84"/>
      <c r="APS84"/>
      <c r="APT84"/>
      <c r="APU84"/>
      <c r="APV84"/>
      <c r="APW84"/>
      <c r="APX84"/>
      <c r="APY84"/>
      <c r="APZ84"/>
      <c r="AQA84"/>
      <c r="AQB84"/>
      <c r="AQC84"/>
      <c r="AQD84"/>
      <c r="AQE84"/>
      <c r="AQF84"/>
      <c r="AQG84"/>
      <c r="AQH84"/>
      <c r="AQI84"/>
      <c r="AQJ84"/>
      <c r="AQK84"/>
      <c r="AQL84"/>
      <c r="AQM84"/>
      <c r="AQN84"/>
      <c r="AQO84"/>
      <c r="AQP84"/>
      <c r="AQQ84"/>
      <c r="AQR84"/>
      <c r="AQS84"/>
      <c r="AQT84"/>
      <c r="AQU84"/>
      <c r="AQV84"/>
      <c r="AQW84"/>
      <c r="AQX84"/>
      <c r="AQY84"/>
      <c r="AQZ84"/>
      <c r="ARA84"/>
      <c r="ARB84"/>
      <c r="ARC84"/>
      <c r="ARD84"/>
      <c r="ARE84"/>
      <c r="ARF84"/>
      <c r="ARG84"/>
      <c r="ARH84"/>
      <c r="ARI84"/>
      <c r="ARJ84"/>
      <c r="ARK84"/>
      <c r="ARL84"/>
      <c r="ARM84"/>
      <c r="ARN84"/>
      <c r="ARO84"/>
      <c r="ARP84"/>
      <c r="ARQ84"/>
      <c r="ARR84"/>
      <c r="ARS84"/>
      <c r="ART84"/>
      <c r="ARU84"/>
      <c r="ARV84"/>
      <c r="ARW84"/>
      <c r="ARX84"/>
      <c r="ARY84"/>
      <c r="ARZ84"/>
      <c r="ASA84"/>
      <c r="ASB84"/>
      <c r="ASC84"/>
      <c r="ASD84"/>
      <c r="ASE84"/>
      <c r="ASF84"/>
      <c r="ASG84"/>
      <c r="ASH84"/>
      <c r="ASI84"/>
      <c r="ASJ84"/>
      <c r="ASK84"/>
      <c r="ASL84"/>
      <c r="ASM84"/>
      <c r="ASN84"/>
      <c r="ASO84"/>
      <c r="ASP84"/>
      <c r="ASQ84"/>
      <c r="ASR84"/>
      <c r="ASS84"/>
      <c r="AST84"/>
      <c r="ASU84"/>
      <c r="ASV84"/>
      <c r="ASW84"/>
      <c r="ASX84"/>
      <c r="ASY84"/>
      <c r="ASZ84"/>
      <c r="ATA84"/>
      <c r="ATB84"/>
      <c r="ATC84"/>
      <c r="ATD84"/>
      <c r="ATE84"/>
      <c r="ATF84"/>
      <c r="ATG84"/>
      <c r="ATH84"/>
      <c r="ATI84"/>
      <c r="ATJ84"/>
      <c r="ATK84"/>
      <c r="ATL84"/>
      <c r="ATM84"/>
      <c r="ATN84"/>
      <c r="ATO84"/>
      <c r="ATP84"/>
      <c r="ATQ84"/>
      <c r="ATR84"/>
      <c r="ATS84"/>
      <c r="ATT84"/>
      <c r="ATU84"/>
      <c r="ATV84"/>
      <c r="ATW84"/>
      <c r="ATX84"/>
      <c r="ATY84"/>
      <c r="ATZ84"/>
      <c r="AUA84"/>
      <c r="AUB84"/>
      <c r="AUC84"/>
      <c r="AUD84"/>
      <c r="AUE84"/>
      <c r="AUF84"/>
      <c r="AUG84"/>
      <c r="AUH84"/>
      <c r="AUI84"/>
      <c r="AUJ84"/>
      <c r="AUK84"/>
      <c r="AUL84"/>
      <c r="AUM84"/>
      <c r="AUN84"/>
      <c r="AUO84"/>
      <c r="AUP84"/>
      <c r="AUQ84"/>
      <c r="AUR84"/>
      <c r="AUS84"/>
      <c r="AUT84"/>
      <c r="AUU84"/>
      <c r="AUV84"/>
      <c r="AUW84"/>
      <c r="AUX84"/>
      <c r="AUY84"/>
      <c r="AUZ84"/>
      <c r="AVA84"/>
      <c r="AVB84"/>
      <c r="AVC84"/>
      <c r="AVD84"/>
      <c r="AVE84"/>
      <c r="AVF84"/>
      <c r="AVG84"/>
      <c r="AVH84"/>
      <c r="AVI84"/>
      <c r="AVJ84"/>
      <c r="AVK84"/>
      <c r="AVL84"/>
      <c r="AVM84"/>
      <c r="AVN84"/>
      <c r="AVO84"/>
      <c r="AVP84"/>
      <c r="AVQ84"/>
      <c r="AVR84"/>
      <c r="AVS84"/>
      <c r="AVT84"/>
      <c r="AVU84"/>
      <c r="AVV84"/>
      <c r="AVW84"/>
      <c r="AVX84"/>
      <c r="AVY84"/>
      <c r="AVZ84"/>
      <c r="AWA84"/>
      <c r="AWB84"/>
      <c r="AWC84"/>
      <c r="AWD84"/>
      <c r="AWE84"/>
      <c r="AWF84"/>
      <c r="AWG84"/>
      <c r="AWH84"/>
      <c r="AWI84"/>
      <c r="AWJ84"/>
      <c r="AWK84"/>
      <c r="AWL84"/>
      <c r="AWM84"/>
      <c r="AWN84"/>
      <c r="AWO84"/>
      <c r="AWP84"/>
      <c r="AWQ84"/>
      <c r="AWR84"/>
      <c r="AWS84"/>
      <c r="AWT84"/>
      <c r="AWU84"/>
      <c r="AWV84"/>
      <c r="AWW84"/>
      <c r="AWX84"/>
      <c r="AWY84"/>
      <c r="AWZ84"/>
      <c r="AXA84"/>
      <c r="AXB84"/>
      <c r="AXC84"/>
      <c r="AXD84"/>
      <c r="AXE84"/>
      <c r="AXF84"/>
      <c r="AXG84"/>
      <c r="AXH84"/>
      <c r="AXI84"/>
      <c r="AXJ84"/>
      <c r="AXK84"/>
      <c r="AXL84"/>
      <c r="AXM84"/>
      <c r="AXN84"/>
      <c r="AXO84"/>
      <c r="AXP84"/>
      <c r="AXQ84"/>
      <c r="AXR84"/>
      <c r="AXS84"/>
      <c r="AXT84"/>
      <c r="AXU84"/>
      <c r="AXV84"/>
      <c r="AXW84"/>
      <c r="AXX84"/>
      <c r="AXY84"/>
      <c r="AXZ84"/>
      <c r="AYA84"/>
      <c r="AYB84"/>
      <c r="AYC84"/>
      <c r="AYD84"/>
      <c r="AYE84"/>
      <c r="AYF84"/>
      <c r="AYG84"/>
      <c r="AYH84"/>
      <c r="AYI84"/>
      <c r="AYJ84"/>
      <c r="AYK84"/>
      <c r="AYL84"/>
      <c r="AYM84"/>
      <c r="AYN84"/>
      <c r="AYO84"/>
      <c r="AYP84"/>
      <c r="AYQ84"/>
      <c r="AYR84"/>
      <c r="AYS84"/>
      <c r="AYT84"/>
      <c r="AYU84"/>
      <c r="AYV84"/>
      <c r="AYW84"/>
      <c r="AYX84"/>
      <c r="AYY84"/>
      <c r="AYZ84"/>
      <c r="AZA84"/>
      <c r="AZB84"/>
      <c r="AZC84"/>
      <c r="AZD84"/>
      <c r="AZE84"/>
      <c r="AZF84"/>
      <c r="AZG84"/>
      <c r="AZH84"/>
      <c r="AZI84"/>
      <c r="AZJ84"/>
      <c r="AZK84"/>
      <c r="AZL84"/>
      <c r="AZM84"/>
      <c r="AZN84"/>
      <c r="AZO84"/>
      <c r="AZP84"/>
      <c r="AZQ84"/>
      <c r="AZR84"/>
      <c r="AZS84"/>
      <c r="AZT84"/>
      <c r="AZU84"/>
      <c r="AZV84"/>
      <c r="AZW84"/>
      <c r="AZX84"/>
      <c r="AZY84"/>
      <c r="AZZ84"/>
      <c r="BAA84"/>
      <c r="BAB84"/>
      <c r="BAC84"/>
      <c r="BAD84"/>
      <c r="BAE84"/>
      <c r="BAF84"/>
      <c r="BAG84"/>
      <c r="BAH84"/>
      <c r="BAI84"/>
      <c r="BAJ84"/>
      <c r="BAK84"/>
      <c r="BAL84"/>
      <c r="BAM84"/>
      <c r="BAN84"/>
      <c r="BAO84"/>
      <c r="BAP84"/>
      <c r="BAQ84"/>
      <c r="BAR84"/>
      <c r="BAS84"/>
      <c r="BAT84"/>
      <c r="BAU84"/>
      <c r="BAV84"/>
      <c r="BAW84"/>
      <c r="BAX84"/>
      <c r="BAY84"/>
      <c r="BAZ84"/>
      <c r="BBA84"/>
      <c r="BBB84"/>
      <c r="BBC84"/>
      <c r="BBD84"/>
      <c r="BBE84"/>
      <c r="BBF84"/>
      <c r="BBG84"/>
      <c r="BBH84"/>
      <c r="BBI84"/>
      <c r="BBJ84"/>
      <c r="BBK84"/>
      <c r="BBL84"/>
      <c r="BBM84"/>
      <c r="BBN84"/>
      <c r="BBO84"/>
      <c r="BBP84"/>
      <c r="BBQ84"/>
      <c r="BBR84"/>
      <c r="BBS84"/>
      <c r="BBT84"/>
      <c r="BBU84"/>
      <c r="BBV84"/>
      <c r="BBW84"/>
      <c r="BBX84"/>
      <c r="BBY84"/>
      <c r="BBZ84"/>
      <c r="BCA84"/>
      <c r="BCB84"/>
      <c r="BCC84"/>
      <c r="BCD84"/>
      <c r="BCE84"/>
      <c r="BCF84"/>
      <c r="BCG84"/>
      <c r="BCH84"/>
      <c r="BCI84"/>
      <c r="BCJ84"/>
      <c r="BCK84"/>
      <c r="BCL84"/>
      <c r="BCM84"/>
      <c r="BCN84"/>
      <c r="BCO84"/>
      <c r="BCP84"/>
      <c r="BCQ84"/>
      <c r="BCR84"/>
      <c r="BCS84"/>
      <c r="BCT84"/>
      <c r="BCU84"/>
      <c r="BCV84"/>
      <c r="BCW84"/>
      <c r="BCX84"/>
      <c r="BCY84"/>
      <c r="BCZ84"/>
      <c r="BDA84"/>
      <c r="BDB84"/>
      <c r="BDC84"/>
      <c r="BDD84"/>
      <c r="BDE84"/>
      <c r="BDF84"/>
      <c r="BDG84"/>
      <c r="BDH84"/>
      <c r="BDI84"/>
      <c r="BDJ84"/>
      <c r="BDK84"/>
      <c r="BDL84"/>
      <c r="BDM84"/>
      <c r="BDN84"/>
      <c r="BDO84"/>
      <c r="BDP84"/>
      <c r="BDQ84"/>
      <c r="BDR84"/>
      <c r="BDS84"/>
      <c r="BDT84"/>
      <c r="BDU84"/>
      <c r="BDV84"/>
      <c r="BDW84"/>
      <c r="BDX84"/>
      <c r="BDY84"/>
      <c r="BDZ84"/>
      <c r="BEA84"/>
      <c r="BEB84"/>
      <c r="BEC84"/>
      <c r="BED84"/>
      <c r="BEE84"/>
      <c r="BEF84"/>
      <c r="BEG84"/>
      <c r="BEH84"/>
      <c r="BEI84"/>
      <c r="BEJ84"/>
      <c r="BEK84"/>
      <c r="BEL84"/>
      <c r="BEM84"/>
      <c r="BEN84"/>
      <c r="BEO84"/>
      <c r="BEP84"/>
      <c r="BEQ84"/>
      <c r="BER84"/>
      <c r="BES84"/>
      <c r="BET84"/>
      <c r="BEU84"/>
      <c r="BEV84"/>
      <c r="BEW84"/>
      <c r="BEX84"/>
      <c r="BEY84"/>
      <c r="BEZ84"/>
      <c r="BFA84"/>
      <c r="BFB84"/>
      <c r="BFC84"/>
      <c r="BFD84"/>
      <c r="BFE84"/>
      <c r="BFF84"/>
      <c r="BFG84"/>
      <c r="BFH84"/>
      <c r="BFI84"/>
      <c r="BFJ84"/>
      <c r="BFK84"/>
      <c r="BFL84"/>
      <c r="BFM84"/>
      <c r="BFN84"/>
      <c r="BFO84"/>
      <c r="BFP84"/>
      <c r="BFQ84"/>
      <c r="BFR84"/>
      <c r="BFS84"/>
      <c r="BFT84"/>
      <c r="BFU84"/>
      <c r="BFV84"/>
      <c r="BFW84"/>
      <c r="BFX84"/>
      <c r="BFY84"/>
      <c r="BFZ84"/>
      <c r="BGA84"/>
      <c r="BGB84"/>
      <c r="BGC84"/>
      <c r="BGD84"/>
      <c r="BGE84"/>
      <c r="BGF84"/>
      <c r="BGG84"/>
      <c r="BGH84"/>
      <c r="BGI84"/>
      <c r="BGJ84"/>
      <c r="BGK84"/>
      <c r="BGL84"/>
      <c r="BGM84"/>
      <c r="BGN84"/>
      <c r="BGO84"/>
      <c r="BGP84"/>
      <c r="BGQ84"/>
      <c r="BGR84"/>
      <c r="BGS84"/>
      <c r="BGT84"/>
      <c r="BGU84"/>
      <c r="BGV84"/>
      <c r="BGW84"/>
      <c r="BGX84"/>
      <c r="BGY84"/>
      <c r="BGZ84"/>
      <c r="BHA84"/>
      <c r="BHB84"/>
      <c r="BHC84"/>
      <c r="BHD84"/>
      <c r="BHE84"/>
      <c r="BHF84"/>
      <c r="BHG84"/>
      <c r="BHH84"/>
      <c r="BHI84"/>
      <c r="BHJ84"/>
      <c r="BHK84"/>
      <c r="BHL84"/>
      <c r="BHM84"/>
      <c r="BHN84"/>
      <c r="BHO84"/>
      <c r="BHP84"/>
      <c r="BHQ84"/>
      <c r="BHR84"/>
      <c r="BHS84"/>
      <c r="BHT84"/>
      <c r="BHU84"/>
      <c r="BHV84"/>
      <c r="BHW84"/>
      <c r="BHX84"/>
      <c r="BHY84"/>
      <c r="BHZ84"/>
      <c r="BIA84"/>
      <c r="BIB84"/>
      <c r="BIC84"/>
      <c r="BID84"/>
      <c r="BIE84"/>
      <c r="BIF84"/>
      <c r="BIG84"/>
      <c r="BIH84"/>
      <c r="BII84"/>
      <c r="BIJ84"/>
      <c r="BIK84"/>
      <c r="BIL84"/>
      <c r="BIM84"/>
      <c r="BIN84"/>
      <c r="BIO84"/>
      <c r="BIP84"/>
      <c r="BIQ84"/>
      <c r="BIR84"/>
      <c r="BIS84"/>
      <c r="BIT84"/>
      <c r="BIU84"/>
      <c r="BIV84"/>
      <c r="BIW84"/>
      <c r="BIX84"/>
      <c r="BIY84"/>
      <c r="BIZ84"/>
      <c r="BJA84"/>
      <c r="BJB84"/>
      <c r="BJC84"/>
      <c r="BJD84"/>
      <c r="BJE84"/>
      <c r="BJF84"/>
      <c r="BJG84"/>
      <c r="BJH84"/>
      <c r="BJI84"/>
      <c r="BJJ84"/>
      <c r="BJK84"/>
      <c r="BJL84"/>
      <c r="BJM84"/>
      <c r="BJN84"/>
      <c r="BJO84"/>
      <c r="BJP84"/>
      <c r="BJQ84"/>
      <c r="BJR84"/>
      <c r="BJS84"/>
      <c r="BJT84"/>
      <c r="BJU84"/>
      <c r="BJV84"/>
      <c r="BJW84"/>
      <c r="BJX84"/>
      <c r="BJY84"/>
      <c r="BJZ84"/>
      <c r="BKA84"/>
      <c r="BKB84"/>
      <c r="BKC84"/>
      <c r="BKD84"/>
      <c r="BKE84"/>
      <c r="BKF84"/>
      <c r="BKG84"/>
      <c r="BKH84"/>
      <c r="BKI84"/>
      <c r="BKJ84"/>
      <c r="BKK84"/>
      <c r="BKL84"/>
      <c r="BKM84"/>
      <c r="BKN84"/>
      <c r="BKO84"/>
      <c r="BKP84"/>
      <c r="BKQ84"/>
      <c r="BKR84"/>
      <c r="BKS84"/>
      <c r="BKT84"/>
      <c r="BKU84"/>
      <c r="BKV84"/>
      <c r="BKW84"/>
      <c r="BKX84"/>
      <c r="BKY84"/>
      <c r="BKZ84"/>
      <c r="BLA84"/>
      <c r="BLB84"/>
      <c r="BLC84"/>
      <c r="BLD84"/>
      <c r="BLE84"/>
      <c r="BLF84"/>
      <c r="BLG84"/>
      <c r="BLH84"/>
      <c r="BLI84"/>
      <c r="BLJ84"/>
      <c r="BLK84"/>
      <c r="BLL84"/>
      <c r="BLM84"/>
      <c r="BLN84"/>
      <c r="BLO84"/>
      <c r="BLP84"/>
      <c r="BLQ84"/>
      <c r="BLR84"/>
      <c r="BLS84"/>
      <c r="BLT84"/>
      <c r="BLU84"/>
      <c r="BLV84"/>
      <c r="BLW84"/>
      <c r="BLX84"/>
      <c r="BLY84"/>
      <c r="BLZ84"/>
      <c r="BMA84"/>
      <c r="BMB84"/>
      <c r="BMC84"/>
      <c r="BMD84"/>
      <c r="BME84"/>
      <c r="BMF84"/>
      <c r="BMG84"/>
      <c r="BMH84"/>
      <c r="BMI84"/>
      <c r="BMJ84"/>
      <c r="BMK84"/>
      <c r="BML84"/>
      <c r="BMM84"/>
      <c r="BMN84"/>
      <c r="BMO84"/>
      <c r="BMP84"/>
      <c r="BMQ84"/>
      <c r="BMR84"/>
      <c r="BMS84"/>
      <c r="BMT84"/>
      <c r="BMU84"/>
      <c r="BMV84"/>
      <c r="BMW84"/>
      <c r="BMX84"/>
      <c r="BMY84"/>
      <c r="BMZ84"/>
      <c r="BNA84"/>
      <c r="BNB84"/>
      <c r="BNC84"/>
      <c r="BND84"/>
      <c r="BNE84"/>
      <c r="BNF84"/>
      <c r="BNG84"/>
      <c r="BNH84"/>
      <c r="BNI84"/>
      <c r="BNJ84"/>
      <c r="BNK84"/>
      <c r="BNL84"/>
      <c r="BNM84"/>
      <c r="BNN84"/>
      <c r="BNO84"/>
      <c r="BNP84"/>
      <c r="BNQ84"/>
      <c r="BNR84"/>
      <c r="BNS84"/>
      <c r="BNT84"/>
      <c r="BNU84"/>
      <c r="BNV84"/>
      <c r="BNW84"/>
      <c r="BNX84"/>
      <c r="BNY84"/>
      <c r="BNZ84"/>
      <c r="BOA84"/>
      <c r="BOB84"/>
      <c r="BOC84"/>
      <c r="BOD84"/>
      <c r="BOE84"/>
      <c r="BOF84"/>
      <c r="BOG84"/>
      <c r="BOH84"/>
      <c r="BOI84"/>
      <c r="BOJ84"/>
      <c r="BOK84"/>
      <c r="BOL84"/>
      <c r="BOM84"/>
      <c r="BON84"/>
      <c r="BOO84"/>
      <c r="BOP84"/>
      <c r="BOQ84"/>
      <c r="BOR84"/>
      <c r="BOS84"/>
      <c r="BOT84"/>
      <c r="BOU84"/>
      <c r="BOV84"/>
      <c r="BOW84"/>
      <c r="BOX84"/>
      <c r="BOY84"/>
      <c r="BOZ84"/>
      <c r="BPA84"/>
      <c r="BPB84"/>
      <c r="BPC84"/>
      <c r="BPD84"/>
      <c r="BPE84"/>
      <c r="BPF84"/>
      <c r="BPG84"/>
      <c r="BPH84"/>
      <c r="BPI84"/>
      <c r="BPJ84"/>
      <c r="BPK84"/>
      <c r="BPL84"/>
      <c r="BPM84"/>
      <c r="BPN84"/>
      <c r="BPO84"/>
      <c r="BPP84"/>
      <c r="BPQ84"/>
      <c r="BPR84"/>
      <c r="BPS84"/>
      <c r="BPT84"/>
      <c r="BPU84"/>
      <c r="BPV84"/>
      <c r="BPW84"/>
      <c r="BPX84"/>
      <c r="BPY84"/>
      <c r="BPZ84"/>
      <c r="BQA84"/>
      <c r="BQB84"/>
      <c r="BQC84"/>
      <c r="BQD84"/>
      <c r="BQE84"/>
      <c r="BQF84"/>
      <c r="BQG84"/>
      <c r="BQH84"/>
      <c r="BQI84"/>
      <c r="BQJ84"/>
      <c r="BQK84"/>
      <c r="BQL84"/>
      <c r="BQM84"/>
      <c r="BQN84"/>
      <c r="BQO84"/>
      <c r="BQP84"/>
      <c r="BQQ84"/>
      <c r="BQR84"/>
      <c r="BQS84"/>
      <c r="BQT84"/>
      <c r="BQU84"/>
      <c r="BQV84"/>
      <c r="BQW84"/>
      <c r="BQX84"/>
      <c r="BQY84"/>
      <c r="BQZ84"/>
      <c r="BRA84"/>
      <c r="BRB84"/>
      <c r="BRC84"/>
      <c r="BRD84"/>
      <c r="BRE84"/>
      <c r="BRF84"/>
      <c r="BRG84"/>
      <c r="BRH84"/>
      <c r="BRI84"/>
      <c r="BRJ84"/>
      <c r="BRK84"/>
      <c r="BRL84"/>
      <c r="BRM84"/>
      <c r="BRN84"/>
      <c r="BRO84"/>
      <c r="BRP84"/>
      <c r="BRQ84"/>
      <c r="BRR84"/>
      <c r="BRS84"/>
      <c r="BRT84"/>
      <c r="BRU84"/>
      <c r="BRV84"/>
      <c r="BRW84"/>
      <c r="BRX84"/>
      <c r="BRY84"/>
      <c r="BRZ84"/>
      <c r="BSA84"/>
      <c r="BSB84"/>
      <c r="BSC84"/>
      <c r="BSD84"/>
      <c r="BSE84"/>
      <c r="BSF84"/>
      <c r="BSG84"/>
      <c r="BSH84"/>
      <c r="BSI84"/>
      <c r="BSJ84"/>
      <c r="BSK84"/>
      <c r="BSL84"/>
      <c r="BSM84"/>
      <c r="BSN84"/>
      <c r="BSO84"/>
      <c r="BSP84"/>
      <c r="BSQ84"/>
      <c r="BSR84"/>
      <c r="BSS84"/>
      <c r="BST84"/>
      <c r="BSU84"/>
      <c r="BSV84"/>
      <c r="BSW84"/>
      <c r="BSX84"/>
      <c r="BSY84"/>
      <c r="BSZ84"/>
      <c r="BTA84"/>
      <c r="BTB84"/>
      <c r="BTC84"/>
      <c r="BTD84"/>
      <c r="BTE84"/>
      <c r="BTF84"/>
      <c r="BTG84"/>
      <c r="BTH84"/>
      <c r="BTI84"/>
      <c r="BTJ84"/>
      <c r="BTK84"/>
      <c r="BTL84"/>
      <c r="BTM84"/>
      <c r="BTN84"/>
      <c r="BTO84"/>
      <c r="BTP84"/>
      <c r="BTQ84"/>
      <c r="BTR84"/>
      <c r="BTS84"/>
      <c r="BTT84"/>
      <c r="BTU84"/>
      <c r="BTV84"/>
      <c r="BTW84"/>
      <c r="BTX84"/>
      <c r="BTY84"/>
      <c r="BTZ84"/>
      <c r="BUA84"/>
      <c r="BUB84"/>
      <c r="BUC84"/>
      <c r="BUD84"/>
      <c r="BUE84"/>
      <c r="BUF84"/>
      <c r="BUG84"/>
      <c r="BUH84"/>
      <c r="BUI84"/>
      <c r="BUJ84"/>
      <c r="BUK84"/>
      <c r="BUL84"/>
      <c r="BUM84"/>
      <c r="BUN84"/>
      <c r="BUO84"/>
      <c r="BUP84"/>
      <c r="BUQ84"/>
      <c r="BUR84"/>
      <c r="BUS84"/>
      <c r="BUT84"/>
      <c r="BUU84"/>
      <c r="BUV84"/>
      <c r="BUW84"/>
      <c r="BUX84"/>
      <c r="BUY84"/>
      <c r="BUZ84"/>
      <c r="BVA84"/>
      <c r="BVB84"/>
      <c r="BVC84"/>
      <c r="BVD84"/>
      <c r="BVE84"/>
      <c r="BVF84"/>
      <c r="BVG84"/>
      <c r="BVH84"/>
      <c r="BVI84"/>
      <c r="BVJ84"/>
      <c r="BVK84"/>
      <c r="BVL84"/>
      <c r="BVM84"/>
      <c r="BVN84"/>
      <c r="BVO84"/>
      <c r="BVP84"/>
      <c r="BVQ84"/>
      <c r="BVR84"/>
      <c r="BVS84"/>
      <c r="BVT84"/>
      <c r="BVU84"/>
      <c r="BVV84"/>
      <c r="BVW84"/>
      <c r="BVX84"/>
      <c r="BVY84"/>
      <c r="BVZ84"/>
      <c r="BWA84"/>
      <c r="BWB84"/>
      <c r="BWC84"/>
      <c r="BWD84"/>
      <c r="BWE84"/>
      <c r="BWF84"/>
      <c r="BWG84"/>
      <c r="BWH84"/>
      <c r="BWI84"/>
      <c r="BWJ84"/>
      <c r="BWK84"/>
      <c r="BWL84"/>
      <c r="BWM84"/>
      <c r="BWN84"/>
      <c r="BWO84"/>
      <c r="BWP84"/>
      <c r="BWQ84"/>
      <c r="BWR84"/>
      <c r="BWS84"/>
      <c r="BWT84"/>
      <c r="BWU84"/>
      <c r="BWV84"/>
      <c r="BWW84"/>
      <c r="BWX84"/>
      <c r="BWY84"/>
      <c r="BWZ84"/>
      <c r="BXA84"/>
      <c r="BXB84"/>
      <c r="BXC84"/>
      <c r="BXD84"/>
      <c r="BXE84"/>
      <c r="BXF84"/>
      <c r="BXG84"/>
      <c r="BXH84"/>
      <c r="BXI84"/>
      <c r="BXJ84"/>
      <c r="BXK84"/>
      <c r="BXL84"/>
      <c r="BXM84"/>
      <c r="BXN84"/>
      <c r="BXO84"/>
      <c r="BXP84"/>
      <c r="BXQ84"/>
      <c r="BXR84"/>
      <c r="BXS84"/>
      <c r="BXT84"/>
      <c r="BXU84"/>
      <c r="BXV84"/>
      <c r="BXW84"/>
      <c r="BXX84"/>
      <c r="BXY84"/>
      <c r="BXZ84"/>
      <c r="BYA84"/>
      <c r="BYB84"/>
      <c r="BYC84"/>
      <c r="BYD84"/>
      <c r="BYE84"/>
      <c r="BYF84"/>
      <c r="BYG84"/>
      <c r="BYH84"/>
      <c r="BYI84"/>
      <c r="BYJ84"/>
      <c r="BYK84"/>
      <c r="BYL84"/>
      <c r="BYM84"/>
      <c r="BYN84"/>
      <c r="BYO84"/>
      <c r="BYP84"/>
      <c r="BYQ84"/>
      <c r="BYR84"/>
      <c r="BYS84"/>
      <c r="BYT84"/>
      <c r="BYU84"/>
      <c r="BYV84"/>
      <c r="BYW84"/>
      <c r="BYX84"/>
      <c r="BYY84"/>
      <c r="BYZ84"/>
      <c r="BZA84"/>
      <c r="BZB84"/>
      <c r="BZC84"/>
      <c r="BZD84"/>
      <c r="BZE84"/>
      <c r="BZF84"/>
      <c r="BZG84"/>
      <c r="BZH84"/>
      <c r="BZI84"/>
      <c r="BZJ84"/>
      <c r="BZK84"/>
      <c r="BZL84"/>
      <c r="BZM84"/>
      <c r="BZN84"/>
      <c r="BZO84"/>
      <c r="BZP84"/>
      <c r="BZQ84"/>
      <c r="BZR84"/>
      <c r="BZS84"/>
      <c r="BZT84"/>
      <c r="BZU84"/>
      <c r="BZV84"/>
      <c r="BZW84"/>
      <c r="BZX84"/>
      <c r="BZY84"/>
      <c r="BZZ84"/>
      <c r="CAA84"/>
      <c r="CAB84"/>
      <c r="CAC84"/>
      <c r="CAD84"/>
      <c r="CAE84"/>
      <c r="CAF84"/>
      <c r="CAG84"/>
      <c r="CAH84"/>
      <c r="CAI84"/>
      <c r="CAJ84"/>
      <c r="CAK84"/>
      <c r="CAL84"/>
      <c r="CAM84"/>
      <c r="CAN84"/>
      <c r="CAO84"/>
      <c r="CAP84"/>
      <c r="CAQ84"/>
      <c r="CAR84"/>
      <c r="CAS84"/>
      <c r="CAT84"/>
      <c r="CAU84"/>
      <c r="CAV84"/>
      <c r="CAW84"/>
      <c r="CAX84"/>
      <c r="CAY84"/>
      <c r="CAZ84"/>
      <c r="CBA84"/>
      <c r="CBB84"/>
      <c r="CBC84"/>
      <c r="CBD84"/>
      <c r="CBE84"/>
      <c r="CBF84"/>
      <c r="CBG84"/>
      <c r="CBH84"/>
      <c r="CBI84"/>
      <c r="CBJ84"/>
      <c r="CBK84"/>
      <c r="CBL84"/>
      <c r="CBM84"/>
      <c r="CBN84"/>
      <c r="CBO84"/>
      <c r="CBP84"/>
      <c r="CBQ84"/>
      <c r="CBR84"/>
      <c r="CBS84"/>
      <c r="CBT84"/>
      <c r="CBU84"/>
      <c r="CBV84"/>
      <c r="CBW84"/>
      <c r="CBX84"/>
      <c r="CBY84"/>
      <c r="CBZ84"/>
      <c r="CCA84"/>
      <c r="CCB84"/>
      <c r="CCC84"/>
      <c r="CCD84"/>
      <c r="CCE84"/>
      <c r="CCF84"/>
      <c r="CCG84"/>
      <c r="CCH84"/>
      <c r="CCI84"/>
      <c r="CCJ84"/>
      <c r="CCK84"/>
      <c r="CCL84"/>
      <c r="CCM84"/>
      <c r="CCN84"/>
      <c r="CCO84"/>
      <c r="CCP84"/>
      <c r="CCQ84"/>
      <c r="CCR84"/>
      <c r="CCS84"/>
      <c r="CCT84"/>
      <c r="CCU84"/>
      <c r="CCV84"/>
      <c r="CCW84"/>
      <c r="CCX84"/>
      <c r="CCY84"/>
      <c r="CCZ84"/>
      <c r="CDA84"/>
      <c r="CDB84"/>
      <c r="CDC84"/>
      <c r="CDD84"/>
      <c r="CDE84"/>
      <c r="CDF84"/>
      <c r="CDG84"/>
      <c r="CDH84"/>
      <c r="CDI84"/>
      <c r="CDJ84"/>
      <c r="CDK84"/>
      <c r="CDL84"/>
      <c r="CDM84"/>
      <c r="CDN84"/>
      <c r="CDO84"/>
      <c r="CDP84"/>
      <c r="CDQ84"/>
      <c r="CDR84"/>
      <c r="CDS84"/>
      <c r="CDT84"/>
      <c r="CDU84"/>
      <c r="CDV84"/>
      <c r="CDW84"/>
      <c r="CDX84"/>
      <c r="CDY84"/>
      <c r="CDZ84"/>
      <c r="CEA84"/>
      <c r="CEB84"/>
      <c r="CEC84"/>
      <c r="CED84"/>
      <c r="CEE84"/>
      <c r="CEF84"/>
      <c r="CEG84"/>
      <c r="CEH84"/>
      <c r="CEI84"/>
      <c r="CEJ84"/>
      <c r="CEK84"/>
      <c r="CEL84"/>
      <c r="CEM84"/>
      <c r="CEN84"/>
      <c r="CEO84"/>
      <c r="CEP84"/>
      <c r="CEQ84"/>
      <c r="CER84"/>
      <c r="CES84"/>
      <c r="CET84"/>
      <c r="CEU84"/>
      <c r="CEV84"/>
      <c r="CEW84"/>
      <c r="CEX84"/>
      <c r="CEY84"/>
      <c r="CEZ84"/>
      <c r="CFA84"/>
      <c r="CFB84"/>
      <c r="CFC84"/>
      <c r="CFD84"/>
      <c r="CFE84"/>
      <c r="CFF84"/>
      <c r="CFG84"/>
      <c r="CFH84"/>
      <c r="CFI84"/>
      <c r="CFJ84"/>
      <c r="CFK84"/>
      <c r="CFL84"/>
      <c r="CFM84"/>
      <c r="CFN84"/>
      <c r="CFO84"/>
      <c r="CFP84"/>
      <c r="CFQ84"/>
      <c r="CFR84"/>
      <c r="CFS84"/>
      <c r="CFT84"/>
      <c r="CFU84"/>
      <c r="CFV84"/>
      <c r="CFW84"/>
      <c r="CFX84"/>
      <c r="CFY84"/>
      <c r="CFZ84"/>
      <c r="CGA84"/>
      <c r="CGB84"/>
      <c r="CGC84"/>
      <c r="CGD84"/>
      <c r="CGE84"/>
      <c r="CGF84"/>
      <c r="CGG84"/>
      <c r="CGH84"/>
      <c r="CGI84"/>
      <c r="CGJ84"/>
      <c r="CGK84"/>
      <c r="CGL84"/>
      <c r="CGM84"/>
      <c r="CGN84"/>
      <c r="CGO84"/>
      <c r="CGP84"/>
      <c r="CGQ84"/>
      <c r="CGR84"/>
      <c r="CGS84"/>
      <c r="CGT84"/>
      <c r="CGU84"/>
      <c r="CGV84"/>
      <c r="CGW84"/>
      <c r="CGX84"/>
      <c r="CGY84"/>
      <c r="CGZ84"/>
      <c r="CHA84"/>
      <c r="CHB84"/>
      <c r="CHC84"/>
      <c r="CHD84"/>
      <c r="CHE84"/>
      <c r="CHF84"/>
      <c r="CHG84"/>
      <c r="CHH84"/>
      <c r="CHI84"/>
      <c r="CHJ84"/>
      <c r="CHK84"/>
      <c r="CHL84"/>
      <c r="CHM84"/>
      <c r="CHN84"/>
      <c r="CHO84"/>
      <c r="CHP84"/>
      <c r="CHQ84"/>
      <c r="CHR84"/>
      <c r="CHS84"/>
      <c r="CHT84"/>
      <c r="CHU84"/>
      <c r="CHV84"/>
      <c r="CHW84"/>
      <c r="CHX84"/>
      <c r="CHY84"/>
      <c r="CHZ84"/>
      <c r="CIA84"/>
      <c r="CIB84"/>
      <c r="CIC84"/>
      <c r="CID84"/>
      <c r="CIE84"/>
      <c r="CIF84"/>
      <c r="CIG84"/>
      <c r="CIH84"/>
      <c r="CII84"/>
      <c r="CIJ84"/>
      <c r="CIK84"/>
      <c r="CIL84"/>
      <c r="CIM84"/>
      <c r="CIN84"/>
      <c r="CIO84"/>
      <c r="CIP84"/>
      <c r="CIQ84"/>
      <c r="CIR84"/>
      <c r="CIS84"/>
      <c r="CIT84"/>
      <c r="CIU84"/>
      <c r="CIV84"/>
      <c r="CIW84"/>
      <c r="CIX84"/>
      <c r="CIY84"/>
      <c r="CIZ84"/>
      <c r="CJA84"/>
      <c r="CJB84"/>
      <c r="CJC84"/>
      <c r="CJD84"/>
      <c r="CJE84"/>
      <c r="CJF84"/>
      <c r="CJG84"/>
      <c r="CJH84"/>
      <c r="CJI84"/>
      <c r="CJJ84"/>
      <c r="CJK84"/>
      <c r="CJL84"/>
      <c r="CJM84"/>
      <c r="CJN84"/>
      <c r="CJO84"/>
      <c r="CJP84"/>
      <c r="CJQ84"/>
      <c r="CJR84"/>
      <c r="CJS84"/>
      <c r="CJT84"/>
      <c r="CJU84"/>
      <c r="CJV84"/>
      <c r="CJW84"/>
      <c r="CJX84"/>
      <c r="CJY84"/>
      <c r="CJZ84"/>
      <c r="CKA84"/>
      <c r="CKB84"/>
      <c r="CKC84"/>
      <c r="CKD84"/>
      <c r="CKE84"/>
      <c r="CKF84"/>
      <c r="CKG84"/>
      <c r="CKH84"/>
      <c r="CKI84"/>
      <c r="CKJ84"/>
      <c r="CKK84"/>
      <c r="CKL84"/>
      <c r="CKM84"/>
      <c r="CKN84"/>
      <c r="CKO84"/>
      <c r="CKP84"/>
      <c r="CKQ84"/>
      <c r="CKR84"/>
      <c r="CKS84"/>
      <c r="CKT84"/>
      <c r="CKU84"/>
      <c r="CKV84"/>
      <c r="CKW84"/>
      <c r="CKX84"/>
      <c r="CKY84"/>
      <c r="CKZ84"/>
      <c r="CLA84"/>
      <c r="CLB84"/>
      <c r="CLC84"/>
      <c r="CLD84"/>
      <c r="CLE84"/>
      <c r="CLF84"/>
      <c r="CLG84"/>
      <c r="CLH84"/>
      <c r="CLI84"/>
      <c r="CLJ84"/>
      <c r="CLK84"/>
      <c r="CLL84"/>
      <c r="CLM84"/>
      <c r="CLN84"/>
      <c r="CLO84"/>
      <c r="CLP84"/>
      <c r="CLQ84"/>
      <c r="CLR84"/>
      <c r="CLS84"/>
      <c r="CLT84"/>
      <c r="CLU84"/>
      <c r="CLV84"/>
      <c r="CLW84"/>
      <c r="CLX84"/>
      <c r="CLY84"/>
      <c r="CLZ84"/>
      <c r="CMA84"/>
      <c r="CMB84"/>
      <c r="CMC84"/>
      <c r="CMD84"/>
      <c r="CME84"/>
      <c r="CMF84"/>
      <c r="CMG84"/>
      <c r="CMH84"/>
      <c r="CMI84"/>
      <c r="CMJ84"/>
      <c r="CMK84"/>
      <c r="CML84"/>
      <c r="CMM84"/>
      <c r="CMN84"/>
      <c r="CMO84"/>
      <c r="CMP84"/>
      <c r="CMQ84"/>
      <c r="CMR84"/>
      <c r="CMS84"/>
      <c r="CMT84"/>
      <c r="CMU84"/>
      <c r="CMV84"/>
      <c r="CMW84"/>
      <c r="CMX84"/>
      <c r="CMY84"/>
      <c r="CMZ84"/>
      <c r="CNA84"/>
      <c r="CNB84"/>
      <c r="CNC84"/>
      <c r="CND84"/>
      <c r="CNE84"/>
      <c r="CNF84"/>
      <c r="CNG84"/>
      <c r="CNH84"/>
      <c r="CNI84"/>
      <c r="CNJ84"/>
      <c r="CNK84"/>
      <c r="CNL84"/>
      <c r="CNM84"/>
      <c r="CNN84"/>
      <c r="CNO84"/>
      <c r="CNP84"/>
      <c r="CNQ84"/>
      <c r="CNR84"/>
      <c r="CNS84"/>
      <c r="CNT84"/>
      <c r="CNU84"/>
      <c r="CNV84"/>
      <c r="CNW84"/>
      <c r="CNX84"/>
      <c r="CNY84"/>
      <c r="CNZ84"/>
      <c r="COA84"/>
      <c r="COB84"/>
      <c r="COC84"/>
      <c r="COD84"/>
      <c r="COE84"/>
      <c r="COF84"/>
      <c r="COG84"/>
      <c r="COH84"/>
      <c r="COI84"/>
      <c r="COJ84"/>
      <c r="COK84"/>
      <c r="COL84"/>
      <c r="COM84"/>
      <c r="CON84"/>
      <c r="COO84"/>
      <c r="COP84"/>
      <c r="COQ84"/>
      <c r="COR84"/>
      <c r="COS84"/>
      <c r="COT84"/>
      <c r="COU84"/>
      <c r="COV84"/>
      <c r="COW84"/>
      <c r="COX84"/>
      <c r="COY84"/>
      <c r="COZ84"/>
      <c r="CPA84"/>
      <c r="CPB84"/>
      <c r="CPC84"/>
      <c r="CPD84"/>
      <c r="CPE84"/>
      <c r="CPF84"/>
      <c r="CPG84"/>
      <c r="CPH84"/>
      <c r="CPI84"/>
      <c r="CPJ84"/>
      <c r="CPK84"/>
      <c r="CPL84"/>
      <c r="CPM84"/>
      <c r="CPN84"/>
      <c r="CPO84"/>
      <c r="CPP84"/>
      <c r="CPQ84"/>
      <c r="CPR84"/>
      <c r="CPS84"/>
      <c r="CPT84"/>
      <c r="CPU84"/>
      <c r="CPV84"/>
      <c r="CPW84"/>
      <c r="CPX84"/>
      <c r="CPY84"/>
      <c r="CPZ84"/>
      <c r="CQA84"/>
      <c r="CQB84"/>
      <c r="CQC84"/>
      <c r="CQD84"/>
      <c r="CQE84"/>
      <c r="CQF84"/>
      <c r="CQG84"/>
      <c r="CQH84"/>
      <c r="CQI84"/>
      <c r="CQJ84"/>
      <c r="CQK84"/>
      <c r="CQL84"/>
      <c r="CQM84"/>
      <c r="CQN84"/>
      <c r="CQO84"/>
      <c r="CQP84"/>
      <c r="CQQ84"/>
      <c r="CQR84"/>
      <c r="CQS84"/>
      <c r="CQT84"/>
      <c r="CQU84"/>
      <c r="CQV84"/>
      <c r="CQW84"/>
      <c r="CQX84"/>
      <c r="CQY84"/>
      <c r="CQZ84"/>
      <c r="CRA84"/>
      <c r="CRB84"/>
      <c r="CRC84"/>
      <c r="CRD84"/>
      <c r="CRE84"/>
      <c r="CRF84"/>
      <c r="CRG84"/>
      <c r="CRH84"/>
      <c r="CRI84"/>
      <c r="CRJ84"/>
      <c r="CRK84"/>
      <c r="CRL84"/>
      <c r="CRM84"/>
      <c r="CRN84"/>
      <c r="CRO84"/>
      <c r="CRP84"/>
      <c r="CRQ84"/>
      <c r="CRR84"/>
      <c r="CRS84"/>
      <c r="CRT84"/>
      <c r="CRU84"/>
      <c r="CRV84"/>
      <c r="CRW84"/>
      <c r="CRX84"/>
      <c r="CRY84"/>
      <c r="CRZ84"/>
      <c r="CSA84"/>
      <c r="CSB84"/>
      <c r="CSC84"/>
      <c r="CSD84"/>
      <c r="CSE84"/>
      <c r="CSF84"/>
      <c r="CSG84"/>
      <c r="CSH84"/>
      <c r="CSI84"/>
      <c r="CSJ84"/>
      <c r="CSK84"/>
      <c r="CSL84"/>
      <c r="CSM84"/>
      <c r="CSN84"/>
      <c r="CSO84"/>
      <c r="CSP84"/>
      <c r="CSQ84"/>
      <c r="CSR84"/>
      <c r="CSS84"/>
      <c r="CST84"/>
      <c r="CSU84"/>
      <c r="CSV84"/>
      <c r="CSW84"/>
      <c r="CSX84"/>
      <c r="CSY84"/>
      <c r="CSZ84"/>
      <c r="CTA84"/>
      <c r="CTB84"/>
      <c r="CTC84"/>
      <c r="CTD84"/>
      <c r="CTE84"/>
      <c r="CTF84"/>
      <c r="CTG84"/>
      <c r="CTH84"/>
      <c r="CTI84"/>
      <c r="CTJ84"/>
      <c r="CTK84"/>
      <c r="CTL84"/>
      <c r="CTM84"/>
      <c r="CTN84"/>
      <c r="CTO84"/>
      <c r="CTP84"/>
      <c r="CTQ84"/>
      <c r="CTR84"/>
      <c r="CTS84"/>
      <c r="CTT84"/>
      <c r="CTU84"/>
      <c r="CTV84"/>
      <c r="CTW84"/>
      <c r="CTX84"/>
      <c r="CTY84"/>
      <c r="CTZ84"/>
      <c r="CUA84"/>
      <c r="CUB84"/>
      <c r="CUC84"/>
      <c r="CUD84"/>
      <c r="CUE84"/>
      <c r="CUF84"/>
      <c r="CUG84"/>
      <c r="CUH84"/>
      <c r="CUI84"/>
      <c r="CUJ84"/>
      <c r="CUK84"/>
      <c r="CUL84"/>
      <c r="CUM84"/>
      <c r="CUN84"/>
      <c r="CUO84"/>
      <c r="CUP84"/>
      <c r="CUQ84"/>
      <c r="CUR84"/>
      <c r="CUS84"/>
      <c r="CUT84"/>
      <c r="CUU84"/>
      <c r="CUV84"/>
      <c r="CUW84"/>
      <c r="CUX84"/>
      <c r="CUY84"/>
      <c r="CUZ84"/>
      <c r="CVA84"/>
      <c r="CVB84"/>
      <c r="CVC84"/>
      <c r="CVD84"/>
      <c r="CVE84"/>
      <c r="CVF84"/>
      <c r="CVG84"/>
      <c r="CVH84"/>
      <c r="CVI84"/>
      <c r="CVJ84"/>
      <c r="CVK84"/>
      <c r="CVL84"/>
      <c r="CVM84"/>
      <c r="CVN84"/>
      <c r="CVO84"/>
      <c r="CVP84"/>
      <c r="CVQ84"/>
      <c r="CVR84"/>
      <c r="CVS84"/>
      <c r="CVT84"/>
      <c r="CVU84"/>
      <c r="CVV84"/>
      <c r="CVW84"/>
      <c r="CVX84"/>
      <c r="CVY84"/>
      <c r="CVZ84"/>
      <c r="CWA84"/>
      <c r="CWB84"/>
      <c r="CWC84"/>
      <c r="CWD84"/>
      <c r="CWE84"/>
      <c r="CWF84"/>
      <c r="CWG84"/>
      <c r="CWH84"/>
      <c r="CWI84"/>
      <c r="CWJ84"/>
      <c r="CWK84"/>
      <c r="CWL84"/>
      <c r="CWM84"/>
      <c r="CWN84"/>
      <c r="CWO84"/>
      <c r="CWP84"/>
      <c r="CWQ84"/>
      <c r="CWR84"/>
      <c r="CWS84"/>
      <c r="CWT84"/>
      <c r="CWU84"/>
      <c r="CWV84"/>
      <c r="CWW84"/>
      <c r="CWX84"/>
      <c r="CWY84"/>
      <c r="CWZ84"/>
      <c r="CXA84"/>
      <c r="CXB84"/>
      <c r="CXC84"/>
      <c r="CXD84"/>
      <c r="CXE84"/>
      <c r="CXF84"/>
      <c r="CXG84"/>
      <c r="CXH84"/>
      <c r="CXI84"/>
      <c r="CXJ84"/>
      <c r="CXK84"/>
      <c r="CXL84"/>
      <c r="CXM84"/>
      <c r="CXN84"/>
      <c r="CXO84"/>
      <c r="CXP84"/>
      <c r="CXQ84"/>
      <c r="CXR84"/>
      <c r="CXS84"/>
      <c r="CXT84"/>
      <c r="CXU84"/>
      <c r="CXV84"/>
      <c r="CXW84"/>
      <c r="CXX84"/>
      <c r="CXY84"/>
      <c r="CXZ84"/>
      <c r="CYA84"/>
      <c r="CYB84"/>
      <c r="CYC84"/>
      <c r="CYD84"/>
      <c r="CYE84"/>
      <c r="CYF84"/>
      <c r="CYG84"/>
      <c r="CYH84"/>
      <c r="CYI84"/>
      <c r="CYJ84"/>
      <c r="CYK84"/>
      <c r="CYL84"/>
      <c r="CYM84"/>
      <c r="CYN84"/>
      <c r="CYO84"/>
      <c r="CYP84"/>
      <c r="CYQ84"/>
      <c r="CYR84"/>
      <c r="CYS84"/>
      <c r="CYT84"/>
      <c r="CYU84"/>
      <c r="CYV84"/>
      <c r="CYW84"/>
      <c r="CYX84"/>
      <c r="CYY84"/>
      <c r="CYZ84"/>
      <c r="CZA84"/>
      <c r="CZB84"/>
      <c r="CZC84"/>
      <c r="CZD84"/>
      <c r="CZE84"/>
      <c r="CZF84"/>
      <c r="CZG84"/>
      <c r="CZH84"/>
      <c r="CZI84"/>
      <c r="CZJ84"/>
      <c r="CZK84"/>
      <c r="CZL84"/>
      <c r="CZM84"/>
      <c r="CZN84"/>
      <c r="CZO84"/>
      <c r="CZP84"/>
      <c r="CZQ84"/>
      <c r="CZR84"/>
      <c r="CZS84"/>
      <c r="CZT84"/>
      <c r="CZU84"/>
      <c r="CZV84"/>
      <c r="CZW84"/>
      <c r="CZX84"/>
      <c r="CZY84"/>
      <c r="CZZ84"/>
      <c r="DAA84"/>
      <c r="DAB84"/>
      <c r="DAC84"/>
      <c r="DAD84"/>
      <c r="DAE84"/>
      <c r="DAF84"/>
      <c r="DAG84"/>
      <c r="DAH84"/>
      <c r="DAI84"/>
      <c r="DAJ84"/>
      <c r="DAK84"/>
      <c r="DAL84"/>
      <c r="DAM84"/>
      <c r="DAN84"/>
      <c r="DAO84"/>
      <c r="DAP84"/>
      <c r="DAQ84"/>
      <c r="DAR84"/>
      <c r="DAS84"/>
      <c r="DAT84"/>
      <c r="DAU84"/>
      <c r="DAV84"/>
      <c r="DAW84"/>
      <c r="DAX84"/>
      <c r="DAY84"/>
      <c r="DAZ84"/>
      <c r="DBA84"/>
      <c r="DBB84"/>
      <c r="DBC84"/>
      <c r="DBD84"/>
      <c r="DBE84"/>
      <c r="DBF84"/>
      <c r="DBG84"/>
      <c r="DBH84"/>
      <c r="DBI84"/>
      <c r="DBJ84"/>
      <c r="DBK84"/>
      <c r="DBL84"/>
      <c r="DBM84"/>
      <c r="DBN84"/>
      <c r="DBO84"/>
      <c r="DBP84"/>
      <c r="DBQ84"/>
      <c r="DBR84"/>
      <c r="DBS84"/>
      <c r="DBT84"/>
      <c r="DBU84"/>
      <c r="DBV84"/>
      <c r="DBW84"/>
      <c r="DBX84"/>
      <c r="DBY84"/>
      <c r="DBZ84"/>
      <c r="DCA84"/>
      <c r="DCB84"/>
      <c r="DCC84"/>
      <c r="DCD84"/>
      <c r="DCE84"/>
      <c r="DCF84"/>
      <c r="DCG84"/>
      <c r="DCH84"/>
      <c r="DCI84"/>
      <c r="DCJ84"/>
      <c r="DCK84"/>
      <c r="DCL84"/>
      <c r="DCM84"/>
      <c r="DCN84"/>
      <c r="DCO84"/>
      <c r="DCP84"/>
      <c r="DCQ84"/>
      <c r="DCR84"/>
      <c r="DCS84"/>
      <c r="DCT84"/>
      <c r="DCU84"/>
      <c r="DCV84"/>
      <c r="DCW84"/>
      <c r="DCX84"/>
      <c r="DCY84"/>
      <c r="DCZ84"/>
      <c r="DDA84"/>
      <c r="DDB84"/>
      <c r="DDC84"/>
      <c r="DDD84"/>
      <c r="DDE84"/>
      <c r="DDF84"/>
      <c r="DDG84"/>
      <c r="DDH84"/>
      <c r="DDI84"/>
      <c r="DDJ84"/>
      <c r="DDK84"/>
      <c r="DDL84"/>
      <c r="DDM84"/>
      <c r="DDN84"/>
      <c r="DDO84"/>
      <c r="DDP84"/>
      <c r="DDQ84"/>
      <c r="DDR84"/>
      <c r="DDS84"/>
      <c r="DDT84"/>
      <c r="DDU84"/>
      <c r="DDV84"/>
      <c r="DDW84"/>
      <c r="DDX84"/>
      <c r="DDY84"/>
      <c r="DDZ84"/>
      <c r="DEA84"/>
      <c r="DEB84"/>
      <c r="DEC84"/>
      <c r="DED84"/>
      <c r="DEE84"/>
      <c r="DEF84"/>
      <c r="DEG84"/>
      <c r="DEH84"/>
      <c r="DEI84"/>
      <c r="DEJ84"/>
      <c r="DEK84"/>
      <c r="DEL84"/>
      <c r="DEM84"/>
      <c r="DEN84"/>
      <c r="DEO84"/>
      <c r="DEP84"/>
      <c r="DEQ84"/>
      <c r="DER84"/>
      <c r="DES84"/>
      <c r="DET84"/>
      <c r="DEU84"/>
      <c r="DEV84"/>
      <c r="DEW84"/>
      <c r="DEX84"/>
      <c r="DEY84"/>
      <c r="DEZ84"/>
      <c r="DFA84"/>
      <c r="DFB84"/>
      <c r="DFC84"/>
      <c r="DFD84"/>
      <c r="DFE84"/>
      <c r="DFF84"/>
      <c r="DFG84"/>
      <c r="DFH84"/>
      <c r="DFI84"/>
      <c r="DFJ84"/>
      <c r="DFK84"/>
      <c r="DFL84"/>
      <c r="DFM84"/>
      <c r="DFN84"/>
      <c r="DFO84"/>
      <c r="DFP84"/>
      <c r="DFQ84"/>
      <c r="DFR84"/>
      <c r="DFS84"/>
      <c r="DFT84"/>
      <c r="DFU84"/>
      <c r="DFV84"/>
      <c r="DFW84"/>
      <c r="DFX84"/>
      <c r="DFY84"/>
      <c r="DFZ84"/>
      <c r="DGA84"/>
      <c r="DGB84"/>
      <c r="DGC84"/>
      <c r="DGD84"/>
      <c r="DGE84"/>
      <c r="DGF84"/>
      <c r="DGG84"/>
      <c r="DGH84"/>
      <c r="DGI84"/>
      <c r="DGJ84"/>
      <c r="DGK84"/>
      <c r="DGL84"/>
      <c r="DGM84"/>
      <c r="DGN84"/>
      <c r="DGO84"/>
      <c r="DGP84"/>
      <c r="DGQ84"/>
      <c r="DGR84"/>
      <c r="DGS84"/>
      <c r="DGT84"/>
      <c r="DGU84"/>
      <c r="DGV84"/>
      <c r="DGW84"/>
      <c r="DGX84"/>
      <c r="DGY84"/>
      <c r="DGZ84"/>
      <c r="DHA84"/>
      <c r="DHB84"/>
      <c r="DHC84"/>
      <c r="DHD84"/>
      <c r="DHE84"/>
      <c r="DHF84"/>
      <c r="DHG84"/>
      <c r="DHH84"/>
      <c r="DHI84"/>
      <c r="DHJ84"/>
      <c r="DHK84"/>
      <c r="DHL84"/>
      <c r="DHM84"/>
      <c r="DHN84"/>
      <c r="DHO84"/>
      <c r="DHP84"/>
      <c r="DHQ84"/>
      <c r="DHR84"/>
      <c r="DHS84"/>
      <c r="DHT84"/>
      <c r="DHU84"/>
      <c r="DHV84"/>
      <c r="DHW84"/>
      <c r="DHX84"/>
      <c r="DHY84"/>
      <c r="DHZ84"/>
      <c r="DIA84"/>
      <c r="DIB84"/>
      <c r="DIC84"/>
      <c r="DID84"/>
      <c r="DIE84"/>
      <c r="DIF84"/>
      <c r="DIG84"/>
      <c r="DIH84"/>
      <c r="DII84"/>
      <c r="DIJ84"/>
      <c r="DIK84"/>
      <c r="DIL84"/>
      <c r="DIM84"/>
      <c r="DIN84"/>
      <c r="DIO84"/>
      <c r="DIP84"/>
      <c r="DIQ84"/>
      <c r="DIR84"/>
      <c r="DIS84"/>
      <c r="DIT84"/>
      <c r="DIU84"/>
      <c r="DIV84"/>
      <c r="DIW84"/>
      <c r="DIX84"/>
      <c r="DIY84"/>
      <c r="DIZ84"/>
      <c r="DJA84"/>
      <c r="DJB84"/>
      <c r="DJC84"/>
      <c r="DJD84"/>
      <c r="DJE84"/>
      <c r="DJF84"/>
      <c r="DJG84"/>
      <c r="DJH84"/>
      <c r="DJI84"/>
      <c r="DJJ84"/>
      <c r="DJK84"/>
      <c r="DJL84"/>
      <c r="DJM84"/>
      <c r="DJN84"/>
      <c r="DJO84"/>
      <c r="DJP84"/>
      <c r="DJQ84"/>
      <c r="DJR84"/>
      <c r="DJS84"/>
      <c r="DJT84"/>
      <c r="DJU84"/>
      <c r="DJV84"/>
      <c r="DJW84"/>
      <c r="DJX84"/>
      <c r="DJY84"/>
      <c r="DJZ84"/>
      <c r="DKA84"/>
      <c r="DKB84"/>
      <c r="DKC84"/>
      <c r="DKD84"/>
      <c r="DKE84"/>
      <c r="DKF84"/>
      <c r="DKG84"/>
      <c r="DKH84"/>
      <c r="DKI84"/>
      <c r="DKJ84"/>
      <c r="DKK84"/>
      <c r="DKL84"/>
      <c r="DKM84"/>
      <c r="DKN84"/>
      <c r="DKO84"/>
      <c r="DKP84"/>
      <c r="DKQ84"/>
      <c r="DKR84"/>
      <c r="DKS84"/>
      <c r="DKT84"/>
      <c r="DKU84"/>
      <c r="DKV84"/>
      <c r="DKW84"/>
      <c r="DKX84"/>
      <c r="DKY84"/>
      <c r="DKZ84"/>
      <c r="DLA84"/>
      <c r="DLB84"/>
      <c r="DLC84"/>
      <c r="DLD84"/>
      <c r="DLE84"/>
      <c r="DLF84"/>
      <c r="DLG84"/>
      <c r="DLH84"/>
      <c r="DLI84"/>
      <c r="DLJ84"/>
      <c r="DLK84"/>
      <c r="DLL84"/>
      <c r="DLM84"/>
      <c r="DLN84"/>
      <c r="DLO84"/>
      <c r="DLP84"/>
      <c r="DLQ84"/>
      <c r="DLR84"/>
      <c r="DLS84"/>
      <c r="DLT84"/>
      <c r="DLU84"/>
      <c r="DLV84"/>
      <c r="DLW84"/>
      <c r="DLX84"/>
      <c r="DLY84"/>
      <c r="DLZ84"/>
      <c r="DMA84"/>
      <c r="DMB84"/>
      <c r="DMC84"/>
      <c r="DMD84"/>
      <c r="DME84"/>
      <c r="DMF84"/>
      <c r="DMG84"/>
      <c r="DMH84"/>
      <c r="DMI84"/>
      <c r="DMJ84"/>
      <c r="DMK84"/>
      <c r="DML84"/>
      <c r="DMM84"/>
      <c r="DMN84"/>
      <c r="DMO84"/>
      <c r="DMP84"/>
      <c r="DMQ84"/>
      <c r="DMR84"/>
      <c r="DMS84"/>
      <c r="DMT84"/>
      <c r="DMU84"/>
      <c r="DMV84"/>
      <c r="DMW84"/>
      <c r="DMX84"/>
      <c r="DMY84"/>
      <c r="DMZ84"/>
      <c r="DNA84"/>
      <c r="DNB84"/>
      <c r="DNC84"/>
      <c r="DND84"/>
      <c r="DNE84"/>
      <c r="DNF84"/>
      <c r="DNG84"/>
      <c r="DNH84"/>
      <c r="DNI84"/>
      <c r="DNJ84"/>
      <c r="DNK84"/>
      <c r="DNL84"/>
      <c r="DNM84"/>
      <c r="DNN84"/>
      <c r="DNO84"/>
      <c r="DNP84"/>
      <c r="DNQ84"/>
      <c r="DNR84"/>
      <c r="DNS84"/>
      <c r="DNT84"/>
      <c r="DNU84"/>
      <c r="DNV84"/>
      <c r="DNW84"/>
      <c r="DNX84"/>
      <c r="DNY84"/>
      <c r="DNZ84"/>
      <c r="DOA84"/>
      <c r="DOB84"/>
      <c r="DOC84"/>
      <c r="DOD84"/>
      <c r="DOE84"/>
      <c r="DOF84"/>
      <c r="DOG84"/>
      <c r="DOH84"/>
      <c r="DOI84"/>
      <c r="DOJ84"/>
      <c r="DOK84"/>
      <c r="DOL84"/>
      <c r="DOM84"/>
      <c r="DON84"/>
      <c r="DOO84"/>
      <c r="DOP84"/>
      <c r="DOQ84"/>
      <c r="DOR84"/>
      <c r="DOS84"/>
      <c r="DOT84"/>
      <c r="DOU84"/>
      <c r="DOV84"/>
      <c r="DOW84"/>
      <c r="DOX84"/>
      <c r="DOY84"/>
      <c r="DOZ84"/>
      <c r="DPA84"/>
      <c r="DPB84"/>
      <c r="DPC84"/>
      <c r="DPD84"/>
      <c r="DPE84"/>
      <c r="DPF84"/>
      <c r="DPG84"/>
      <c r="DPH84"/>
      <c r="DPI84"/>
      <c r="DPJ84"/>
      <c r="DPK84"/>
      <c r="DPL84"/>
      <c r="DPM84"/>
      <c r="DPN84"/>
      <c r="DPO84"/>
      <c r="DPP84"/>
      <c r="DPQ84"/>
      <c r="DPR84"/>
      <c r="DPS84"/>
      <c r="DPT84"/>
      <c r="DPU84"/>
      <c r="DPV84"/>
      <c r="DPW84"/>
      <c r="DPX84"/>
      <c r="DPY84"/>
      <c r="DPZ84"/>
      <c r="DQA84"/>
      <c r="DQB84"/>
      <c r="DQC84"/>
      <c r="DQD84"/>
      <c r="DQE84"/>
      <c r="DQF84"/>
      <c r="DQG84"/>
      <c r="DQH84"/>
      <c r="DQI84"/>
      <c r="DQJ84"/>
      <c r="DQK84"/>
      <c r="DQL84"/>
      <c r="DQM84"/>
      <c r="DQN84"/>
      <c r="DQO84"/>
      <c r="DQP84"/>
      <c r="DQQ84"/>
      <c r="DQR84"/>
      <c r="DQS84"/>
      <c r="DQT84"/>
      <c r="DQU84"/>
      <c r="DQV84"/>
      <c r="DQW84"/>
      <c r="DQX84"/>
      <c r="DQY84"/>
      <c r="DQZ84"/>
      <c r="DRA84"/>
      <c r="DRB84"/>
      <c r="DRC84"/>
      <c r="DRD84"/>
      <c r="DRE84"/>
      <c r="DRF84"/>
      <c r="DRG84"/>
      <c r="DRH84"/>
      <c r="DRI84"/>
      <c r="DRJ84"/>
      <c r="DRK84"/>
      <c r="DRL84"/>
      <c r="DRM84"/>
      <c r="DRN84"/>
      <c r="DRO84"/>
      <c r="DRP84"/>
      <c r="DRQ84"/>
      <c r="DRR84"/>
      <c r="DRS84"/>
      <c r="DRT84"/>
      <c r="DRU84"/>
      <c r="DRV84"/>
      <c r="DRW84"/>
      <c r="DRX84"/>
      <c r="DRY84"/>
      <c r="DRZ84"/>
      <c r="DSA84"/>
      <c r="DSB84"/>
      <c r="DSC84"/>
      <c r="DSD84"/>
      <c r="DSE84"/>
      <c r="DSF84"/>
      <c r="DSG84"/>
      <c r="DSH84"/>
      <c r="DSI84"/>
      <c r="DSJ84"/>
      <c r="DSK84"/>
      <c r="DSL84"/>
      <c r="DSM84"/>
      <c r="DSN84"/>
      <c r="DSO84"/>
      <c r="DSP84"/>
      <c r="DSQ84"/>
      <c r="DSR84"/>
      <c r="DSS84"/>
      <c r="DST84"/>
      <c r="DSU84"/>
      <c r="DSV84"/>
      <c r="DSW84"/>
      <c r="DSX84"/>
      <c r="DSY84"/>
      <c r="DSZ84"/>
      <c r="DTA84"/>
      <c r="DTB84"/>
      <c r="DTC84"/>
      <c r="DTD84"/>
      <c r="DTE84"/>
      <c r="DTF84"/>
      <c r="DTG84"/>
      <c r="DTH84"/>
      <c r="DTI84"/>
      <c r="DTJ84"/>
      <c r="DTK84"/>
      <c r="DTL84"/>
      <c r="DTM84"/>
      <c r="DTN84"/>
      <c r="DTO84"/>
      <c r="DTP84"/>
      <c r="DTQ84"/>
      <c r="DTR84"/>
      <c r="DTS84"/>
      <c r="DTT84"/>
      <c r="DTU84"/>
      <c r="DTV84"/>
      <c r="DTW84"/>
      <c r="DTX84"/>
      <c r="DTY84"/>
      <c r="DTZ84"/>
      <c r="DUA84"/>
      <c r="DUB84"/>
      <c r="DUC84"/>
      <c r="DUD84"/>
      <c r="DUE84"/>
      <c r="DUF84"/>
      <c r="DUG84"/>
      <c r="DUH84"/>
      <c r="DUI84"/>
      <c r="DUJ84"/>
      <c r="DUK84"/>
      <c r="DUL84"/>
      <c r="DUM84"/>
      <c r="DUN84"/>
      <c r="DUO84"/>
      <c r="DUP84"/>
      <c r="DUQ84"/>
      <c r="DUR84"/>
      <c r="DUS84"/>
      <c r="DUT84"/>
      <c r="DUU84"/>
      <c r="DUV84"/>
      <c r="DUW84"/>
      <c r="DUX84"/>
      <c r="DUY84"/>
      <c r="DUZ84"/>
      <c r="DVA84"/>
      <c r="DVB84"/>
      <c r="DVC84"/>
      <c r="DVD84"/>
      <c r="DVE84"/>
      <c r="DVF84"/>
      <c r="DVG84"/>
      <c r="DVH84"/>
      <c r="DVI84"/>
      <c r="DVJ84"/>
      <c r="DVK84"/>
      <c r="DVL84"/>
      <c r="DVM84"/>
      <c r="DVN84"/>
      <c r="DVO84"/>
      <c r="DVP84"/>
      <c r="DVQ84"/>
      <c r="DVR84"/>
      <c r="DVS84"/>
      <c r="DVT84"/>
      <c r="DVU84"/>
      <c r="DVV84"/>
      <c r="DVW84"/>
      <c r="DVX84"/>
      <c r="DVY84"/>
      <c r="DVZ84"/>
      <c r="DWA84"/>
      <c r="DWB84"/>
      <c r="DWC84"/>
      <c r="DWD84"/>
      <c r="DWE84"/>
      <c r="DWF84"/>
      <c r="DWG84"/>
      <c r="DWH84"/>
      <c r="DWI84"/>
      <c r="DWJ84"/>
      <c r="DWK84"/>
      <c r="DWL84"/>
      <c r="DWM84"/>
      <c r="DWN84"/>
      <c r="DWO84"/>
      <c r="DWP84"/>
      <c r="DWQ84"/>
      <c r="DWR84"/>
      <c r="DWS84"/>
      <c r="DWT84"/>
      <c r="DWU84"/>
      <c r="DWV84"/>
      <c r="DWW84"/>
      <c r="DWX84"/>
      <c r="DWY84"/>
      <c r="DWZ84"/>
      <c r="DXA84"/>
      <c r="DXB84"/>
      <c r="DXC84"/>
      <c r="DXD84"/>
      <c r="DXE84"/>
      <c r="DXF84"/>
      <c r="DXG84"/>
      <c r="DXH84"/>
      <c r="DXI84"/>
      <c r="DXJ84"/>
      <c r="DXK84"/>
      <c r="DXL84"/>
      <c r="DXM84"/>
      <c r="DXN84"/>
      <c r="DXO84"/>
      <c r="DXP84"/>
      <c r="DXQ84"/>
      <c r="DXR84"/>
      <c r="DXS84"/>
      <c r="DXT84"/>
      <c r="DXU84"/>
      <c r="DXV84"/>
      <c r="DXW84"/>
      <c r="DXX84"/>
      <c r="DXY84"/>
      <c r="DXZ84"/>
      <c r="DYA84"/>
      <c r="DYB84"/>
      <c r="DYC84"/>
      <c r="DYD84"/>
      <c r="DYE84"/>
      <c r="DYF84"/>
      <c r="DYG84"/>
      <c r="DYH84"/>
      <c r="DYI84"/>
      <c r="DYJ84"/>
      <c r="DYK84"/>
      <c r="DYL84"/>
      <c r="DYM84"/>
      <c r="DYN84"/>
      <c r="DYO84"/>
      <c r="DYP84"/>
      <c r="DYQ84"/>
      <c r="DYR84"/>
      <c r="DYS84"/>
      <c r="DYT84"/>
      <c r="DYU84"/>
      <c r="DYV84"/>
      <c r="DYW84"/>
      <c r="DYX84"/>
      <c r="DYY84"/>
      <c r="DYZ84"/>
      <c r="DZA84"/>
      <c r="DZB84"/>
      <c r="DZC84"/>
      <c r="DZD84"/>
      <c r="DZE84"/>
      <c r="DZF84"/>
      <c r="DZG84"/>
      <c r="DZH84"/>
      <c r="DZI84"/>
      <c r="DZJ84"/>
      <c r="DZK84"/>
      <c r="DZL84"/>
      <c r="DZM84"/>
      <c r="DZN84"/>
      <c r="DZO84"/>
      <c r="DZP84"/>
      <c r="DZQ84"/>
      <c r="DZR84"/>
      <c r="DZS84"/>
      <c r="DZT84"/>
      <c r="DZU84"/>
      <c r="DZV84"/>
      <c r="DZW84"/>
      <c r="DZX84"/>
      <c r="DZY84"/>
      <c r="DZZ84"/>
      <c r="EAA84"/>
      <c r="EAB84"/>
      <c r="EAC84"/>
      <c r="EAD84"/>
      <c r="EAE84"/>
      <c r="EAF84"/>
      <c r="EAG84"/>
      <c r="EAH84"/>
      <c r="EAI84"/>
      <c r="EAJ84"/>
      <c r="EAK84"/>
      <c r="EAL84"/>
      <c r="EAM84"/>
      <c r="EAN84"/>
      <c r="EAO84"/>
      <c r="EAP84"/>
      <c r="EAQ84"/>
      <c r="EAR84"/>
      <c r="EAS84"/>
      <c r="EAT84"/>
      <c r="EAU84"/>
      <c r="EAV84"/>
      <c r="EAW84"/>
      <c r="EAX84"/>
      <c r="EAY84"/>
      <c r="EAZ84"/>
      <c r="EBA84"/>
      <c r="EBB84"/>
      <c r="EBC84"/>
      <c r="EBD84"/>
      <c r="EBE84"/>
      <c r="EBF84"/>
      <c r="EBG84"/>
      <c r="EBH84"/>
      <c r="EBI84"/>
      <c r="EBJ84"/>
      <c r="EBK84"/>
      <c r="EBL84"/>
      <c r="EBM84"/>
      <c r="EBN84"/>
      <c r="EBO84"/>
      <c r="EBP84"/>
      <c r="EBQ84"/>
      <c r="EBR84"/>
      <c r="EBS84"/>
      <c r="EBT84"/>
      <c r="EBU84"/>
      <c r="EBV84"/>
      <c r="EBW84"/>
      <c r="EBX84"/>
      <c r="EBY84"/>
      <c r="EBZ84"/>
      <c r="ECA84"/>
      <c r="ECB84"/>
      <c r="ECC84"/>
      <c r="ECD84"/>
      <c r="ECE84"/>
      <c r="ECF84"/>
      <c r="ECG84"/>
      <c r="ECH84"/>
      <c r="ECI84"/>
      <c r="ECJ84"/>
      <c r="ECK84"/>
      <c r="ECL84"/>
      <c r="ECM84"/>
      <c r="ECN84"/>
      <c r="ECO84"/>
      <c r="ECP84"/>
      <c r="ECQ84"/>
      <c r="ECR84"/>
      <c r="ECS84"/>
      <c r="ECT84"/>
      <c r="ECU84"/>
      <c r="ECV84"/>
      <c r="ECW84"/>
      <c r="ECX84"/>
      <c r="ECY84"/>
      <c r="ECZ84"/>
      <c r="EDA84"/>
      <c r="EDB84"/>
      <c r="EDC84"/>
      <c r="EDD84"/>
      <c r="EDE84"/>
      <c r="EDF84"/>
      <c r="EDG84"/>
      <c r="EDH84"/>
      <c r="EDI84"/>
      <c r="EDJ84"/>
      <c r="EDK84"/>
      <c r="EDL84"/>
      <c r="EDM84"/>
      <c r="EDN84"/>
      <c r="EDO84"/>
      <c r="EDP84"/>
      <c r="EDQ84"/>
      <c r="EDR84"/>
      <c r="EDS84"/>
      <c r="EDT84"/>
      <c r="EDU84"/>
      <c r="EDV84"/>
      <c r="EDW84"/>
      <c r="EDX84"/>
      <c r="EDY84"/>
      <c r="EDZ84"/>
      <c r="EEA84"/>
      <c r="EEB84"/>
      <c r="EEC84"/>
      <c r="EED84"/>
      <c r="EEE84"/>
      <c r="EEF84"/>
      <c r="EEG84"/>
      <c r="EEH84"/>
      <c r="EEI84"/>
      <c r="EEJ84"/>
      <c r="EEK84"/>
      <c r="EEL84"/>
      <c r="EEM84"/>
      <c r="EEN84"/>
      <c r="EEO84"/>
      <c r="EEP84"/>
      <c r="EEQ84"/>
      <c r="EER84"/>
      <c r="EES84"/>
      <c r="EET84"/>
      <c r="EEU84"/>
      <c r="EEV84"/>
      <c r="EEW84"/>
      <c r="EEX84"/>
      <c r="EEY84"/>
      <c r="EEZ84"/>
      <c r="EFA84"/>
      <c r="EFB84"/>
      <c r="EFC84"/>
      <c r="EFD84"/>
      <c r="EFE84"/>
      <c r="EFF84"/>
      <c r="EFG84"/>
      <c r="EFH84"/>
      <c r="EFI84"/>
      <c r="EFJ84"/>
      <c r="EFK84"/>
      <c r="EFL84"/>
      <c r="EFM84"/>
      <c r="EFN84"/>
      <c r="EFO84"/>
      <c r="EFP84"/>
      <c r="EFQ84"/>
      <c r="EFR84"/>
      <c r="EFS84"/>
      <c r="EFT84"/>
      <c r="EFU84"/>
      <c r="EFV84"/>
      <c r="EFW84"/>
      <c r="EFX84"/>
      <c r="EFY84"/>
      <c r="EFZ84"/>
      <c r="EGA84"/>
      <c r="EGB84"/>
      <c r="EGC84"/>
      <c r="EGD84"/>
      <c r="EGE84"/>
      <c r="EGF84"/>
      <c r="EGG84"/>
      <c r="EGH84"/>
      <c r="EGI84"/>
      <c r="EGJ84"/>
      <c r="EGK84"/>
      <c r="EGL84"/>
      <c r="EGM84"/>
      <c r="EGN84"/>
      <c r="EGO84"/>
      <c r="EGP84"/>
      <c r="EGQ84"/>
      <c r="EGR84"/>
      <c r="EGS84"/>
      <c r="EGT84"/>
      <c r="EGU84"/>
      <c r="EGV84"/>
      <c r="EGW84"/>
      <c r="EGX84"/>
      <c r="EGY84"/>
      <c r="EGZ84"/>
      <c r="EHA84"/>
      <c r="EHB84"/>
      <c r="EHC84"/>
      <c r="EHD84"/>
      <c r="EHE84"/>
      <c r="EHF84"/>
      <c r="EHG84"/>
      <c r="EHH84"/>
      <c r="EHI84"/>
      <c r="EHJ84"/>
      <c r="EHK84"/>
      <c r="EHL84"/>
      <c r="EHM84"/>
      <c r="EHN84"/>
      <c r="EHO84"/>
      <c r="EHP84"/>
      <c r="EHQ84"/>
      <c r="EHR84"/>
      <c r="EHS84"/>
      <c r="EHT84"/>
      <c r="EHU84"/>
      <c r="EHV84"/>
      <c r="EHW84"/>
      <c r="EHX84"/>
      <c r="EHY84"/>
      <c r="EHZ84"/>
      <c r="EIA84"/>
      <c r="EIB84"/>
      <c r="EIC84"/>
      <c r="EID84"/>
      <c r="EIE84"/>
      <c r="EIF84"/>
      <c r="EIG84"/>
      <c r="EIH84"/>
      <c r="EII84"/>
      <c r="EIJ84"/>
      <c r="EIK84"/>
      <c r="EIL84"/>
      <c r="EIM84"/>
      <c r="EIN84"/>
      <c r="EIO84"/>
      <c r="EIP84"/>
      <c r="EIQ84"/>
      <c r="EIR84"/>
      <c r="EIS84"/>
      <c r="EIT84"/>
      <c r="EIU84"/>
      <c r="EIV84"/>
      <c r="EIW84"/>
      <c r="EIX84"/>
      <c r="EIY84"/>
      <c r="EIZ84"/>
      <c r="EJA84"/>
      <c r="EJB84"/>
      <c r="EJC84"/>
      <c r="EJD84"/>
      <c r="EJE84"/>
      <c r="EJF84"/>
      <c r="EJG84"/>
      <c r="EJH84"/>
      <c r="EJI84"/>
      <c r="EJJ84"/>
      <c r="EJK84"/>
      <c r="EJL84"/>
      <c r="EJM84"/>
      <c r="EJN84"/>
      <c r="EJO84"/>
      <c r="EJP84"/>
      <c r="EJQ84"/>
      <c r="EJR84"/>
      <c r="EJS84"/>
      <c r="EJT84"/>
      <c r="EJU84"/>
      <c r="EJV84"/>
      <c r="EJW84"/>
      <c r="EJX84"/>
      <c r="EJY84"/>
      <c r="EJZ84"/>
      <c r="EKA84"/>
      <c r="EKB84"/>
      <c r="EKC84"/>
      <c r="EKD84"/>
      <c r="EKE84"/>
      <c r="EKF84"/>
      <c r="EKG84"/>
      <c r="EKH84"/>
      <c r="EKI84"/>
      <c r="EKJ84"/>
      <c r="EKK84"/>
      <c r="EKL84"/>
      <c r="EKM84"/>
      <c r="EKN84"/>
      <c r="EKO84"/>
      <c r="EKP84"/>
      <c r="EKQ84"/>
      <c r="EKR84"/>
      <c r="EKS84"/>
      <c r="EKT84"/>
      <c r="EKU84"/>
      <c r="EKV84"/>
      <c r="EKW84"/>
      <c r="EKX84"/>
      <c r="EKY84"/>
      <c r="EKZ84"/>
      <c r="ELA84"/>
      <c r="ELB84"/>
      <c r="ELC84"/>
      <c r="ELD84"/>
      <c r="ELE84"/>
      <c r="ELF84"/>
      <c r="ELG84"/>
      <c r="ELH84"/>
      <c r="ELI84"/>
      <c r="ELJ84"/>
      <c r="ELK84"/>
      <c r="ELL84"/>
      <c r="ELM84"/>
      <c r="ELN84"/>
      <c r="ELO84"/>
      <c r="ELP84"/>
      <c r="ELQ84"/>
      <c r="ELR84"/>
      <c r="ELS84"/>
      <c r="ELT84"/>
      <c r="ELU84"/>
      <c r="ELV84"/>
      <c r="ELW84"/>
      <c r="ELX84"/>
      <c r="ELY84"/>
      <c r="ELZ84"/>
      <c r="EMA84"/>
      <c r="EMB84"/>
      <c r="EMC84"/>
      <c r="EMD84"/>
      <c r="EME84"/>
      <c r="EMF84"/>
      <c r="EMG84"/>
      <c r="EMH84"/>
      <c r="EMI84"/>
      <c r="EMJ84"/>
      <c r="EMK84"/>
      <c r="EML84"/>
      <c r="EMM84"/>
      <c r="EMN84"/>
      <c r="EMO84"/>
      <c r="EMP84"/>
      <c r="EMQ84"/>
      <c r="EMR84"/>
      <c r="EMS84"/>
      <c r="EMT84"/>
      <c r="EMU84"/>
      <c r="EMV84"/>
      <c r="EMW84"/>
      <c r="EMX84"/>
      <c r="EMY84"/>
      <c r="EMZ84"/>
      <c r="ENA84"/>
      <c r="ENB84"/>
      <c r="ENC84"/>
      <c r="END84"/>
      <c r="ENE84"/>
      <c r="ENF84"/>
      <c r="ENG84"/>
      <c r="ENH84"/>
      <c r="ENI84"/>
      <c r="ENJ84"/>
      <c r="ENK84"/>
      <c r="ENL84"/>
      <c r="ENM84"/>
      <c r="ENN84"/>
      <c r="ENO84"/>
      <c r="ENP84"/>
      <c r="ENQ84"/>
      <c r="ENR84"/>
      <c r="ENS84"/>
      <c r="ENT84"/>
      <c r="ENU84"/>
      <c r="ENV84"/>
      <c r="ENW84"/>
      <c r="ENX84"/>
      <c r="ENY84"/>
      <c r="ENZ84"/>
      <c r="EOA84"/>
      <c r="EOB84"/>
      <c r="EOC84"/>
      <c r="EOD84"/>
      <c r="EOE84"/>
      <c r="EOF84"/>
      <c r="EOG84"/>
      <c r="EOH84"/>
      <c r="EOI84"/>
      <c r="EOJ84"/>
      <c r="EOK84"/>
      <c r="EOL84"/>
      <c r="EOM84"/>
      <c r="EON84"/>
      <c r="EOO84"/>
      <c r="EOP84"/>
      <c r="EOQ84"/>
      <c r="EOR84"/>
      <c r="EOS84"/>
      <c r="EOT84"/>
      <c r="EOU84"/>
      <c r="EOV84"/>
      <c r="EOW84"/>
      <c r="EOX84"/>
      <c r="EOY84"/>
      <c r="EOZ84"/>
      <c r="EPA84"/>
      <c r="EPB84"/>
      <c r="EPC84"/>
      <c r="EPD84"/>
      <c r="EPE84"/>
      <c r="EPF84"/>
      <c r="EPG84"/>
      <c r="EPH84"/>
      <c r="EPI84"/>
      <c r="EPJ84"/>
      <c r="EPK84"/>
      <c r="EPL84"/>
      <c r="EPM84"/>
      <c r="EPN84"/>
      <c r="EPO84"/>
      <c r="EPP84"/>
      <c r="EPQ84"/>
      <c r="EPR84"/>
      <c r="EPS84"/>
      <c r="EPT84"/>
      <c r="EPU84"/>
      <c r="EPV84"/>
      <c r="EPW84"/>
      <c r="EPX84"/>
      <c r="EPY84"/>
      <c r="EPZ84"/>
      <c r="EQA84"/>
      <c r="EQB84"/>
      <c r="EQC84"/>
      <c r="EQD84"/>
      <c r="EQE84"/>
      <c r="EQF84"/>
      <c r="EQG84"/>
      <c r="EQH84"/>
      <c r="EQI84"/>
      <c r="EQJ84"/>
      <c r="EQK84"/>
      <c r="EQL84"/>
      <c r="EQM84"/>
      <c r="EQN84"/>
      <c r="EQO84"/>
      <c r="EQP84"/>
      <c r="EQQ84"/>
      <c r="EQR84"/>
      <c r="EQS84"/>
      <c r="EQT84"/>
      <c r="EQU84"/>
      <c r="EQV84"/>
      <c r="EQW84"/>
      <c r="EQX84"/>
      <c r="EQY84"/>
      <c r="EQZ84"/>
      <c r="ERA84"/>
      <c r="ERB84"/>
      <c r="ERC84"/>
      <c r="ERD84"/>
      <c r="ERE84"/>
      <c r="ERF84"/>
      <c r="ERG84"/>
      <c r="ERH84"/>
      <c r="ERI84"/>
      <c r="ERJ84"/>
      <c r="ERK84"/>
      <c r="ERL84"/>
      <c r="ERM84"/>
      <c r="ERN84"/>
      <c r="ERO84"/>
      <c r="ERP84"/>
      <c r="ERQ84"/>
      <c r="ERR84"/>
      <c r="ERS84"/>
      <c r="ERT84"/>
      <c r="ERU84"/>
      <c r="ERV84"/>
      <c r="ERW84"/>
      <c r="ERX84"/>
      <c r="ERY84"/>
      <c r="ERZ84"/>
      <c r="ESA84"/>
      <c r="ESB84"/>
      <c r="ESC84"/>
      <c r="ESD84"/>
      <c r="ESE84"/>
      <c r="ESF84"/>
      <c r="ESG84"/>
      <c r="ESH84"/>
      <c r="ESI84"/>
      <c r="ESJ84"/>
      <c r="ESK84"/>
      <c r="ESL84"/>
      <c r="ESM84"/>
      <c r="ESN84"/>
      <c r="ESO84"/>
      <c r="ESP84"/>
      <c r="ESQ84"/>
      <c r="ESR84"/>
      <c r="ESS84"/>
      <c r="EST84"/>
      <c r="ESU84"/>
      <c r="ESV84"/>
      <c r="ESW84"/>
      <c r="ESX84"/>
      <c r="ESY84"/>
      <c r="ESZ84"/>
      <c r="ETA84"/>
      <c r="ETB84"/>
      <c r="ETC84"/>
      <c r="ETD84"/>
      <c r="ETE84"/>
      <c r="ETF84"/>
      <c r="ETG84"/>
      <c r="ETH84"/>
      <c r="ETI84"/>
      <c r="ETJ84"/>
      <c r="ETK84"/>
      <c r="ETL84"/>
      <c r="ETM84"/>
      <c r="ETN84"/>
      <c r="ETO84"/>
      <c r="ETP84"/>
      <c r="ETQ84"/>
      <c r="ETR84"/>
      <c r="ETS84"/>
      <c r="ETT84"/>
      <c r="ETU84"/>
      <c r="ETV84"/>
      <c r="ETW84"/>
      <c r="ETX84"/>
      <c r="ETY84"/>
      <c r="ETZ84"/>
      <c r="EUA84"/>
      <c r="EUB84"/>
      <c r="EUC84"/>
      <c r="EUD84"/>
      <c r="EUE84"/>
      <c r="EUF84"/>
      <c r="EUG84"/>
      <c r="EUH84"/>
      <c r="EUI84"/>
      <c r="EUJ84"/>
      <c r="EUK84"/>
      <c r="EUL84"/>
      <c r="EUM84"/>
      <c r="EUN84"/>
      <c r="EUO84"/>
      <c r="EUP84"/>
      <c r="EUQ84"/>
      <c r="EUR84"/>
      <c r="EUS84"/>
      <c r="EUT84"/>
      <c r="EUU84"/>
      <c r="EUV84"/>
      <c r="EUW84"/>
      <c r="EUX84"/>
      <c r="EUY84"/>
      <c r="EUZ84"/>
      <c r="EVA84"/>
      <c r="EVB84"/>
      <c r="EVC84"/>
      <c r="EVD84"/>
      <c r="EVE84"/>
      <c r="EVF84"/>
      <c r="EVG84"/>
      <c r="EVH84"/>
      <c r="EVI84"/>
      <c r="EVJ84"/>
      <c r="EVK84"/>
      <c r="EVL84"/>
      <c r="EVM84"/>
      <c r="EVN84"/>
      <c r="EVO84"/>
      <c r="EVP84"/>
      <c r="EVQ84"/>
      <c r="EVR84"/>
      <c r="EVS84"/>
      <c r="EVT84"/>
      <c r="EVU84"/>
      <c r="EVV84"/>
      <c r="EVW84"/>
      <c r="EVX84"/>
      <c r="EVY84"/>
      <c r="EVZ84"/>
      <c r="EWA84"/>
      <c r="EWB84"/>
      <c r="EWC84"/>
      <c r="EWD84"/>
      <c r="EWE84"/>
      <c r="EWF84"/>
      <c r="EWG84"/>
      <c r="EWH84"/>
      <c r="EWI84"/>
      <c r="EWJ84"/>
      <c r="EWK84"/>
      <c r="EWL84"/>
      <c r="EWM84"/>
      <c r="EWN84"/>
      <c r="EWO84"/>
      <c r="EWP84"/>
      <c r="EWQ84"/>
      <c r="EWR84"/>
      <c r="EWS84"/>
      <c r="EWT84"/>
      <c r="EWU84"/>
      <c r="EWV84"/>
      <c r="EWW84"/>
      <c r="EWX84"/>
      <c r="EWY84"/>
      <c r="EWZ84"/>
      <c r="EXA84"/>
      <c r="EXB84"/>
      <c r="EXC84"/>
      <c r="EXD84"/>
      <c r="EXE84"/>
      <c r="EXF84"/>
      <c r="EXG84"/>
      <c r="EXH84"/>
      <c r="EXI84"/>
      <c r="EXJ84"/>
      <c r="EXK84"/>
      <c r="EXL84"/>
      <c r="EXM84"/>
      <c r="EXN84"/>
      <c r="EXO84"/>
      <c r="EXP84"/>
      <c r="EXQ84"/>
      <c r="EXR84"/>
      <c r="EXS84"/>
      <c r="EXT84"/>
      <c r="EXU84"/>
      <c r="EXV84"/>
      <c r="EXW84"/>
      <c r="EXX84"/>
      <c r="EXY84"/>
      <c r="EXZ84"/>
      <c r="EYA84"/>
      <c r="EYB84"/>
      <c r="EYC84"/>
      <c r="EYD84"/>
      <c r="EYE84"/>
      <c r="EYF84"/>
      <c r="EYG84"/>
      <c r="EYH84"/>
      <c r="EYI84"/>
      <c r="EYJ84"/>
      <c r="EYK84"/>
      <c r="EYL84"/>
      <c r="EYM84"/>
      <c r="EYN84"/>
      <c r="EYO84"/>
      <c r="EYP84"/>
      <c r="EYQ84"/>
      <c r="EYR84"/>
      <c r="EYS84"/>
      <c r="EYT84"/>
      <c r="EYU84"/>
      <c r="EYV84"/>
      <c r="EYW84"/>
      <c r="EYX84"/>
      <c r="EYY84"/>
      <c r="EYZ84"/>
      <c r="EZA84"/>
      <c r="EZB84"/>
      <c r="EZC84"/>
      <c r="EZD84"/>
      <c r="EZE84"/>
      <c r="EZF84"/>
      <c r="EZG84"/>
      <c r="EZH84"/>
      <c r="EZI84"/>
      <c r="EZJ84"/>
      <c r="EZK84"/>
      <c r="EZL84"/>
      <c r="EZM84"/>
      <c r="EZN84"/>
      <c r="EZO84"/>
      <c r="EZP84"/>
      <c r="EZQ84"/>
      <c r="EZR84"/>
      <c r="EZS84"/>
      <c r="EZT84"/>
      <c r="EZU84"/>
      <c r="EZV84"/>
      <c r="EZW84"/>
      <c r="EZX84"/>
      <c r="EZY84"/>
      <c r="EZZ84"/>
      <c r="FAA84"/>
      <c r="FAB84"/>
      <c r="FAC84"/>
      <c r="FAD84"/>
      <c r="FAE84"/>
      <c r="FAF84"/>
      <c r="FAG84"/>
      <c r="FAH84"/>
      <c r="FAI84"/>
      <c r="FAJ84"/>
      <c r="FAK84"/>
      <c r="FAL84"/>
      <c r="FAM84"/>
      <c r="FAN84"/>
      <c r="FAO84"/>
      <c r="FAP84"/>
      <c r="FAQ84"/>
      <c r="FAR84"/>
      <c r="FAS84"/>
      <c r="FAT84"/>
      <c r="FAU84"/>
      <c r="FAV84"/>
      <c r="FAW84"/>
      <c r="FAX84"/>
      <c r="FAY84"/>
      <c r="FAZ84"/>
      <c r="FBA84"/>
      <c r="FBB84"/>
      <c r="FBC84"/>
      <c r="FBD84"/>
      <c r="FBE84"/>
      <c r="FBF84"/>
      <c r="FBG84"/>
      <c r="FBH84"/>
      <c r="FBI84"/>
      <c r="FBJ84"/>
      <c r="FBK84"/>
      <c r="FBL84"/>
      <c r="FBM84"/>
      <c r="FBN84"/>
      <c r="FBO84"/>
      <c r="FBP84"/>
      <c r="FBQ84"/>
      <c r="FBR84"/>
      <c r="FBS84"/>
      <c r="FBT84"/>
      <c r="FBU84"/>
      <c r="FBV84"/>
      <c r="FBW84"/>
      <c r="FBX84"/>
      <c r="FBY84"/>
      <c r="FBZ84"/>
      <c r="FCA84"/>
      <c r="FCB84"/>
      <c r="FCC84"/>
      <c r="FCD84"/>
      <c r="FCE84"/>
      <c r="FCF84"/>
      <c r="FCG84"/>
      <c r="FCH84"/>
      <c r="FCI84"/>
      <c r="FCJ84"/>
      <c r="FCK84"/>
      <c r="FCL84"/>
      <c r="FCM84"/>
      <c r="FCN84"/>
      <c r="FCO84"/>
      <c r="FCP84"/>
      <c r="FCQ84"/>
      <c r="FCR84"/>
      <c r="FCS84"/>
      <c r="FCT84"/>
      <c r="FCU84"/>
      <c r="FCV84"/>
      <c r="FCW84"/>
      <c r="FCX84"/>
      <c r="FCY84"/>
      <c r="FCZ84"/>
      <c r="FDA84"/>
      <c r="FDB84"/>
      <c r="FDC84"/>
      <c r="FDD84"/>
      <c r="FDE84"/>
      <c r="FDF84"/>
      <c r="FDG84"/>
      <c r="FDH84"/>
      <c r="FDI84"/>
      <c r="FDJ84"/>
      <c r="FDK84"/>
      <c r="FDL84"/>
      <c r="FDM84"/>
      <c r="FDN84"/>
      <c r="FDO84"/>
      <c r="FDP84"/>
      <c r="FDQ84"/>
      <c r="FDR84"/>
      <c r="FDS84"/>
      <c r="FDT84"/>
      <c r="FDU84"/>
      <c r="FDV84"/>
      <c r="FDW84"/>
      <c r="FDX84"/>
      <c r="FDY84"/>
      <c r="FDZ84"/>
      <c r="FEA84"/>
      <c r="FEB84"/>
      <c r="FEC84"/>
      <c r="FED84"/>
      <c r="FEE84"/>
      <c r="FEF84"/>
      <c r="FEG84"/>
      <c r="FEH84"/>
      <c r="FEI84"/>
      <c r="FEJ84"/>
      <c r="FEK84"/>
      <c r="FEL84"/>
      <c r="FEM84"/>
      <c r="FEN84"/>
      <c r="FEO84"/>
      <c r="FEP84"/>
      <c r="FEQ84"/>
      <c r="FER84"/>
      <c r="FES84"/>
      <c r="FET84"/>
      <c r="FEU84"/>
      <c r="FEV84"/>
      <c r="FEW84"/>
      <c r="FEX84"/>
      <c r="FEY84"/>
      <c r="FEZ84"/>
      <c r="FFA84"/>
      <c r="FFB84"/>
      <c r="FFC84"/>
      <c r="FFD84"/>
      <c r="FFE84"/>
      <c r="FFF84"/>
      <c r="FFG84"/>
      <c r="FFH84"/>
      <c r="FFI84"/>
      <c r="FFJ84"/>
      <c r="FFK84"/>
      <c r="FFL84"/>
      <c r="FFM84"/>
      <c r="FFN84"/>
      <c r="FFO84"/>
      <c r="FFP84"/>
      <c r="FFQ84"/>
      <c r="FFR84"/>
      <c r="FFS84"/>
      <c r="FFT84"/>
      <c r="FFU84"/>
      <c r="FFV84"/>
      <c r="FFW84"/>
      <c r="FFX84"/>
      <c r="FFY84"/>
      <c r="FFZ84"/>
      <c r="FGA84"/>
      <c r="FGB84"/>
      <c r="FGC84"/>
      <c r="FGD84"/>
      <c r="FGE84"/>
      <c r="FGF84"/>
      <c r="FGG84"/>
      <c r="FGH84"/>
      <c r="FGI84"/>
      <c r="FGJ84"/>
      <c r="FGK84"/>
      <c r="FGL84"/>
      <c r="FGM84"/>
      <c r="FGN84"/>
      <c r="FGO84"/>
      <c r="FGP84"/>
      <c r="FGQ84"/>
      <c r="FGR84"/>
      <c r="FGS84"/>
      <c r="FGT84"/>
      <c r="FGU84"/>
      <c r="FGV84"/>
      <c r="FGW84"/>
      <c r="FGX84"/>
      <c r="FGY84"/>
      <c r="FGZ84"/>
      <c r="FHA84"/>
      <c r="FHB84"/>
      <c r="FHC84"/>
      <c r="FHD84"/>
      <c r="FHE84"/>
      <c r="FHF84"/>
      <c r="FHG84"/>
      <c r="FHH84"/>
      <c r="FHI84"/>
      <c r="FHJ84"/>
      <c r="FHK84"/>
      <c r="FHL84"/>
      <c r="FHM84"/>
      <c r="FHN84"/>
      <c r="FHO84"/>
      <c r="FHP84"/>
      <c r="FHQ84"/>
      <c r="FHR84"/>
      <c r="FHS84"/>
      <c r="FHT84"/>
      <c r="FHU84"/>
      <c r="FHV84"/>
      <c r="FHW84"/>
      <c r="FHX84"/>
      <c r="FHY84"/>
      <c r="FHZ84"/>
      <c r="FIA84"/>
      <c r="FIB84"/>
      <c r="FIC84"/>
      <c r="FID84"/>
      <c r="FIE84"/>
      <c r="FIF84"/>
      <c r="FIG84"/>
      <c r="FIH84"/>
      <c r="FII84"/>
      <c r="FIJ84"/>
      <c r="FIK84"/>
      <c r="FIL84"/>
      <c r="FIM84"/>
      <c r="FIN84"/>
      <c r="FIO84"/>
      <c r="FIP84"/>
      <c r="FIQ84"/>
      <c r="FIR84"/>
      <c r="FIS84"/>
      <c r="FIT84"/>
      <c r="FIU84"/>
      <c r="FIV84"/>
      <c r="FIW84"/>
      <c r="FIX84"/>
      <c r="FIY84"/>
      <c r="FIZ84"/>
      <c r="FJA84"/>
      <c r="FJB84"/>
      <c r="FJC84"/>
      <c r="FJD84"/>
      <c r="FJE84"/>
      <c r="FJF84"/>
      <c r="FJG84"/>
      <c r="FJH84"/>
      <c r="FJI84"/>
      <c r="FJJ84"/>
      <c r="FJK84"/>
      <c r="FJL84"/>
      <c r="FJM84"/>
      <c r="FJN84"/>
      <c r="FJO84"/>
      <c r="FJP84"/>
      <c r="FJQ84"/>
      <c r="FJR84"/>
      <c r="FJS84"/>
      <c r="FJT84"/>
      <c r="FJU84"/>
      <c r="FJV84"/>
      <c r="FJW84"/>
      <c r="FJX84"/>
      <c r="FJY84"/>
      <c r="FJZ84"/>
      <c r="FKA84"/>
      <c r="FKB84"/>
      <c r="FKC84"/>
      <c r="FKD84"/>
      <c r="FKE84"/>
      <c r="FKF84"/>
      <c r="FKG84"/>
      <c r="FKH84"/>
      <c r="FKI84"/>
      <c r="FKJ84"/>
      <c r="FKK84"/>
      <c r="FKL84"/>
      <c r="FKM84"/>
      <c r="FKN84"/>
      <c r="FKO84"/>
      <c r="FKP84"/>
      <c r="FKQ84"/>
      <c r="FKR84"/>
      <c r="FKS84"/>
      <c r="FKT84"/>
      <c r="FKU84"/>
      <c r="FKV84"/>
      <c r="FKW84"/>
      <c r="FKX84"/>
      <c r="FKY84"/>
      <c r="FKZ84"/>
      <c r="FLA84"/>
      <c r="FLB84"/>
      <c r="FLC84"/>
      <c r="FLD84"/>
      <c r="FLE84"/>
      <c r="FLF84"/>
      <c r="FLG84"/>
      <c r="FLH84"/>
      <c r="FLI84"/>
      <c r="FLJ84"/>
      <c r="FLK84"/>
      <c r="FLL84"/>
      <c r="FLM84"/>
      <c r="FLN84"/>
      <c r="FLO84"/>
      <c r="FLP84"/>
      <c r="FLQ84"/>
      <c r="FLR84"/>
      <c r="FLS84"/>
      <c r="FLT84"/>
      <c r="FLU84"/>
      <c r="FLV84"/>
      <c r="FLW84"/>
      <c r="FLX84"/>
      <c r="FLY84"/>
      <c r="FLZ84"/>
      <c r="FMA84"/>
      <c r="FMB84"/>
      <c r="FMC84"/>
      <c r="FMD84"/>
      <c r="FME84"/>
      <c r="FMF84"/>
      <c r="FMG84"/>
      <c r="FMH84"/>
      <c r="FMI84"/>
      <c r="FMJ84"/>
      <c r="FMK84"/>
      <c r="FML84"/>
      <c r="FMM84"/>
      <c r="FMN84"/>
      <c r="FMO84"/>
      <c r="FMP84"/>
      <c r="FMQ84"/>
      <c r="FMR84"/>
      <c r="FMS84"/>
      <c r="FMT84"/>
      <c r="FMU84"/>
      <c r="FMV84"/>
      <c r="FMW84"/>
      <c r="FMX84"/>
      <c r="FMY84"/>
      <c r="FMZ84"/>
      <c r="FNA84"/>
      <c r="FNB84"/>
      <c r="FNC84"/>
      <c r="FND84"/>
      <c r="FNE84"/>
      <c r="FNF84"/>
      <c r="FNG84"/>
      <c r="FNH84"/>
      <c r="FNI84"/>
      <c r="FNJ84"/>
      <c r="FNK84"/>
      <c r="FNL84"/>
      <c r="FNM84"/>
      <c r="FNN84"/>
      <c r="FNO84"/>
      <c r="FNP84"/>
      <c r="FNQ84"/>
      <c r="FNR84"/>
      <c r="FNS84"/>
      <c r="FNT84"/>
      <c r="FNU84"/>
      <c r="FNV84"/>
      <c r="FNW84"/>
      <c r="FNX84"/>
      <c r="FNY84"/>
      <c r="FNZ84"/>
      <c r="FOA84"/>
      <c r="FOB84"/>
      <c r="FOC84"/>
      <c r="FOD84"/>
      <c r="FOE84"/>
      <c r="FOF84"/>
      <c r="FOG84"/>
      <c r="FOH84"/>
      <c r="FOI84"/>
      <c r="FOJ84"/>
      <c r="FOK84"/>
      <c r="FOL84"/>
      <c r="FOM84"/>
      <c r="FON84"/>
      <c r="FOO84"/>
      <c r="FOP84"/>
      <c r="FOQ84"/>
      <c r="FOR84"/>
      <c r="FOS84"/>
      <c r="FOT84"/>
      <c r="FOU84"/>
      <c r="FOV84"/>
      <c r="FOW84"/>
      <c r="FOX84"/>
      <c r="FOY84"/>
      <c r="FOZ84"/>
      <c r="FPA84"/>
      <c r="FPB84"/>
      <c r="FPC84"/>
      <c r="FPD84"/>
      <c r="FPE84"/>
      <c r="FPF84"/>
      <c r="FPG84"/>
      <c r="FPH84"/>
      <c r="FPI84"/>
      <c r="FPJ84"/>
      <c r="FPK84"/>
      <c r="FPL84"/>
      <c r="FPM84"/>
      <c r="FPN84"/>
      <c r="FPO84"/>
      <c r="FPP84"/>
      <c r="FPQ84"/>
      <c r="FPR84"/>
      <c r="FPS84"/>
      <c r="FPT84"/>
      <c r="FPU84"/>
      <c r="FPV84"/>
      <c r="FPW84"/>
      <c r="FPX84"/>
      <c r="FPY84"/>
      <c r="FPZ84"/>
      <c r="FQA84"/>
      <c r="FQB84"/>
      <c r="FQC84"/>
      <c r="FQD84"/>
      <c r="FQE84"/>
      <c r="FQF84"/>
      <c r="FQG84"/>
      <c r="FQH84"/>
      <c r="FQI84"/>
      <c r="FQJ84"/>
      <c r="FQK84"/>
      <c r="FQL84"/>
      <c r="FQM84"/>
      <c r="FQN84"/>
      <c r="FQO84"/>
      <c r="FQP84"/>
      <c r="FQQ84"/>
      <c r="FQR84"/>
      <c r="FQS84"/>
      <c r="FQT84"/>
      <c r="FQU84"/>
      <c r="FQV84"/>
      <c r="FQW84"/>
      <c r="FQX84"/>
      <c r="FQY84"/>
      <c r="FQZ84"/>
      <c r="FRA84"/>
      <c r="FRB84"/>
      <c r="FRC84"/>
      <c r="FRD84"/>
      <c r="FRE84"/>
      <c r="FRF84"/>
      <c r="FRG84"/>
      <c r="FRH84"/>
      <c r="FRI84"/>
      <c r="FRJ84"/>
      <c r="FRK84"/>
      <c r="FRL84"/>
      <c r="FRM84"/>
      <c r="FRN84"/>
      <c r="FRO84"/>
      <c r="FRP84"/>
      <c r="FRQ84"/>
      <c r="FRR84"/>
      <c r="FRS84"/>
      <c r="FRT84"/>
      <c r="FRU84"/>
      <c r="FRV84"/>
      <c r="FRW84"/>
      <c r="FRX84"/>
      <c r="FRY84"/>
      <c r="FRZ84"/>
      <c r="FSA84"/>
      <c r="FSB84"/>
      <c r="FSC84"/>
      <c r="FSD84"/>
      <c r="FSE84"/>
      <c r="FSF84"/>
      <c r="FSG84"/>
      <c r="FSH84"/>
      <c r="FSI84"/>
      <c r="FSJ84"/>
      <c r="FSK84"/>
      <c r="FSL84"/>
      <c r="FSM84"/>
      <c r="FSN84"/>
      <c r="FSO84"/>
      <c r="FSP84"/>
      <c r="FSQ84"/>
      <c r="FSR84"/>
      <c r="FSS84"/>
      <c r="FST84"/>
      <c r="FSU84"/>
      <c r="FSV84"/>
      <c r="FSW84"/>
      <c r="FSX84"/>
      <c r="FSY84"/>
      <c r="FSZ84"/>
      <c r="FTA84"/>
      <c r="FTB84"/>
      <c r="FTC84"/>
      <c r="FTD84"/>
      <c r="FTE84"/>
      <c r="FTF84"/>
      <c r="FTG84"/>
      <c r="FTH84"/>
      <c r="FTI84"/>
      <c r="FTJ84"/>
      <c r="FTK84"/>
      <c r="FTL84"/>
      <c r="FTM84"/>
      <c r="FTN84"/>
      <c r="FTO84"/>
      <c r="FTP84"/>
      <c r="FTQ84"/>
      <c r="FTR84"/>
      <c r="FTS84"/>
      <c r="FTT84"/>
      <c r="FTU84"/>
      <c r="FTV84"/>
      <c r="FTW84"/>
      <c r="FTX84"/>
      <c r="FTY84"/>
      <c r="FTZ84"/>
      <c r="FUA84"/>
      <c r="FUB84"/>
      <c r="FUC84"/>
      <c r="FUD84"/>
      <c r="FUE84"/>
      <c r="FUF84"/>
      <c r="FUG84"/>
      <c r="FUH84"/>
      <c r="FUI84"/>
      <c r="FUJ84"/>
      <c r="FUK84"/>
      <c r="FUL84"/>
      <c r="FUM84"/>
      <c r="FUN84"/>
      <c r="FUO84"/>
      <c r="FUP84"/>
      <c r="FUQ84"/>
      <c r="FUR84"/>
      <c r="FUS84"/>
      <c r="FUT84"/>
      <c r="FUU84"/>
      <c r="FUV84"/>
      <c r="FUW84"/>
      <c r="FUX84"/>
      <c r="FUY84"/>
      <c r="FUZ84"/>
      <c r="FVA84"/>
      <c r="FVB84"/>
      <c r="FVC84"/>
      <c r="FVD84"/>
      <c r="FVE84"/>
      <c r="FVF84"/>
      <c r="FVG84"/>
      <c r="FVH84"/>
      <c r="FVI84"/>
      <c r="FVJ84"/>
      <c r="FVK84"/>
      <c r="FVL84"/>
      <c r="FVM84"/>
      <c r="FVN84"/>
      <c r="FVO84"/>
      <c r="FVP84"/>
      <c r="FVQ84"/>
      <c r="FVR84"/>
      <c r="FVS84"/>
      <c r="FVT84"/>
      <c r="FVU84"/>
      <c r="FVV84"/>
      <c r="FVW84"/>
      <c r="FVX84"/>
      <c r="FVY84"/>
      <c r="FVZ84"/>
      <c r="FWA84"/>
      <c r="FWB84"/>
      <c r="FWC84"/>
      <c r="FWD84"/>
      <c r="FWE84"/>
      <c r="FWF84"/>
      <c r="FWG84"/>
      <c r="FWH84"/>
      <c r="FWI84"/>
      <c r="FWJ84"/>
      <c r="FWK84"/>
      <c r="FWL84"/>
      <c r="FWM84"/>
      <c r="FWN84"/>
      <c r="FWO84"/>
      <c r="FWP84"/>
      <c r="FWQ84"/>
      <c r="FWR84"/>
      <c r="FWS84"/>
      <c r="FWT84"/>
      <c r="FWU84"/>
      <c r="FWV84"/>
      <c r="FWW84"/>
      <c r="FWX84"/>
      <c r="FWY84"/>
      <c r="FWZ84"/>
      <c r="FXA84"/>
      <c r="FXB84"/>
      <c r="FXC84"/>
      <c r="FXD84"/>
      <c r="FXE84"/>
      <c r="FXF84"/>
      <c r="FXG84"/>
      <c r="FXH84"/>
      <c r="FXI84"/>
      <c r="FXJ84"/>
      <c r="FXK84"/>
      <c r="FXL84"/>
      <c r="FXM84"/>
      <c r="FXN84"/>
      <c r="FXO84"/>
      <c r="FXP84"/>
      <c r="FXQ84"/>
      <c r="FXR84"/>
      <c r="FXS84"/>
      <c r="FXT84"/>
      <c r="FXU84"/>
      <c r="FXV84"/>
      <c r="FXW84"/>
      <c r="FXX84"/>
      <c r="FXY84"/>
      <c r="FXZ84"/>
      <c r="FYA84"/>
      <c r="FYB84"/>
      <c r="FYC84"/>
      <c r="FYD84"/>
      <c r="FYE84"/>
      <c r="FYF84"/>
      <c r="FYG84"/>
      <c r="FYH84"/>
      <c r="FYI84"/>
      <c r="FYJ84"/>
      <c r="FYK84"/>
      <c r="FYL84"/>
      <c r="FYM84"/>
      <c r="FYN84"/>
      <c r="FYO84"/>
      <c r="FYP84"/>
      <c r="FYQ84"/>
      <c r="FYR84"/>
      <c r="FYS84"/>
      <c r="FYT84"/>
      <c r="FYU84"/>
      <c r="FYV84"/>
      <c r="FYW84"/>
      <c r="FYX84"/>
      <c r="FYY84"/>
      <c r="FYZ84"/>
      <c r="FZA84"/>
      <c r="FZB84"/>
      <c r="FZC84"/>
      <c r="FZD84"/>
      <c r="FZE84"/>
      <c r="FZF84"/>
      <c r="FZG84"/>
      <c r="FZH84"/>
      <c r="FZI84"/>
      <c r="FZJ84"/>
      <c r="FZK84"/>
      <c r="FZL84"/>
      <c r="FZM84"/>
      <c r="FZN84"/>
      <c r="FZO84"/>
      <c r="FZP84"/>
      <c r="FZQ84"/>
      <c r="FZR84"/>
      <c r="FZS84"/>
      <c r="FZT84"/>
      <c r="FZU84"/>
      <c r="FZV84"/>
      <c r="FZW84"/>
      <c r="FZX84"/>
      <c r="FZY84"/>
      <c r="FZZ84"/>
      <c r="GAA84"/>
      <c r="GAB84"/>
      <c r="GAC84"/>
      <c r="GAD84"/>
      <c r="GAE84"/>
      <c r="GAF84"/>
      <c r="GAG84"/>
      <c r="GAH84"/>
      <c r="GAI84"/>
      <c r="GAJ84"/>
      <c r="GAK84"/>
      <c r="GAL84"/>
      <c r="GAM84"/>
      <c r="GAN84"/>
      <c r="GAO84"/>
      <c r="GAP84"/>
      <c r="GAQ84"/>
      <c r="GAR84"/>
      <c r="GAS84"/>
      <c r="GAT84"/>
      <c r="GAU84"/>
      <c r="GAV84"/>
      <c r="GAW84"/>
      <c r="GAX84"/>
      <c r="GAY84"/>
      <c r="GAZ84"/>
      <c r="GBA84"/>
      <c r="GBB84"/>
      <c r="GBC84"/>
      <c r="GBD84"/>
      <c r="GBE84"/>
      <c r="GBF84"/>
      <c r="GBG84"/>
      <c r="GBH84"/>
      <c r="GBI84"/>
      <c r="GBJ84"/>
      <c r="GBK84"/>
      <c r="GBL84"/>
      <c r="GBM84"/>
      <c r="GBN84"/>
      <c r="GBO84"/>
      <c r="GBP84"/>
      <c r="GBQ84"/>
      <c r="GBR84"/>
      <c r="GBS84"/>
      <c r="GBT84"/>
      <c r="GBU84"/>
      <c r="GBV84"/>
      <c r="GBW84"/>
      <c r="GBX84"/>
      <c r="GBY84"/>
      <c r="GBZ84"/>
      <c r="GCA84"/>
      <c r="GCB84"/>
      <c r="GCC84"/>
      <c r="GCD84"/>
      <c r="GCE84"/>
      <c r="GCF84"/>
      <c r="GCG84"/>
      <c r="GCH84"/>
      <c r="GCI84"/>
      <c r="GCJ84"/>
      <c r="GCK84"/>
      <c r="GCL84"/>
      <c r="GCM84"/>
      <c r="GCN84"/>
      <c r="GCO84"/>
      <c r="GCP84"/>
      <c r="GCQ84"/>
      <c r="GCR84"/>
      <c r="GCS84"/>
      <c r="GCT84"/>
      <c r="GCU84"/>
      <c r="GCV84"/>
      <c r="GCW84"/>
      <c r="GCX84"/>
      <c r="GCY84"/>
      <c r="GCZ84"/>
      <c r="GDA84"/>
      <c r="GDB84"/>
      <c r="GDC84"/>
      <c r="GDD84"/>
      <c r="GDE84"/>
      <c r="GDF84"/>
      <c r="GDG84"/>
      <c r="GDH84"/>
      <c r="GDI84"/>
      <c r="GDJ84"/>
      <c r="GDK84"/>
      <c r="GDL84"/>
      <c r="GDM84"/>
      <c r="GDN84"/>
      <c r="GDO84"/>
      <c r="GDP84"/>
      <c r="GDQ84"/>
      <c r="GDR84"/>
      <c r="GDS84"/>
      <c r="GDT84"/>
      <c r="GDU84"/>
      <c r="GDV84"/>
      <c r="GDW84"/>
      <c r="GDX84"/>
      <c r="GDY84"/>
      <c r="GDZ84"/>
      <c r="GEA84"/>
      <c r="GEB84"/>
      <c r="GEC84"/>
      <c r="GED84"/>
      <c r="GEE84"/>
      <c r="GEF84"/>
      <c r="GEG84"/>
      <c r="GEH84"/>
      <c r="GEI84"/>
      <c r="GEJ84"/>
      <c r="GEK84"/>
      <c r="GEL84"/>
      <c r="GEM84"/>
      <c r="GEN84"/>
      <c r="GEO84"/>
      <c r="GEP84"/>
      <c r="GEQ84"/>
      <c r="GER84"/>
      <c r="GES84"/>
      <c r="GET84"/>
      <c r="GEU84"/>
      <c r="GEV84"/>
      <c r="GEW84"/>
      <c r="GEX84"/>
      <c r="GEY84"/>
      <c r="GEZ84"/>
      <c r="GFA84"/>
      <c r="GFB84"/>
      <c r="GFC84"/>
      <c r="GFD84"/>
      <c r="GFE84"/>
      <c r="GFF84"/>
      <c r="GFG84"/>
      <c r="GFH84"/>
      <c r="GFI84"/>
      <c r="GFJ84"/>
      <c r="GFK84"/>
      <c r="GFL84"/>
      <c r="GFM84"/>
      <c r="GFN84"/>
      <c r="GFO84"/>
      <c r="GFP84"/>
      <c r="GFQ84"/>
      <c r="GFR84"/>
      <c r="GFS84"/>
      <c r="GFT84"/>
      <c r="GFU84"/>
      <c r="GFV84"/>
      <c r="GFW84"/>
      <c r="GFX84"/>
      <c r="GFY84"/>
      <c r="GFZ84"/>
      <c r="GGA84"/>
      <c r="GGB84"/>
      <c r="GGC84"/>
      <c r="GGD84"/>
      <c r="GGE84"/>
      <c r="GGF84"/>
      <c r="GGG84"/>
      <c r="GGH84"/>
      <c r="GGI84"/>
      <c r="GGJ84"/>
      <c r="GGK84"/>
      <c r="GGL84"/>
      <c r="GGM84"/>
      <c r="GGN84"/>
      <c r="GGO84"/>
      <c r="GGP84"/>
      <c r="GGQ84"/>
      <c r="GGR84"/>
      <c r="GGS84"/>
      <c r="GGT84"/>
      <c r="GGU84"/>
      <c r="GGV84"/>
      <c r="GGW84"/>
      <c r="GGX84"/>
      <c r="GGY84"/>
      <c r="GGZ84"/>
      <c r="GHA84"/>
      <c r="GHB84"/>
      <c r="GHC84"/>
      <c r="GHD84"/>
      <c r="GHE84"/>
      <c r="GHF84"/>
      <c r="GHG84"/>
      <c r="GHH84"/>
      <c r="GHI84"/>
      <c r="GHJ84"/>
      <c r="GHK84"/>
      <c r="GHL84"/>
      <c r="GHM84"/>
      <c r="GHN84"/>
      <c r="GHO84"/>
      <c r="GHP84"/>
      <c r="GHQ84"/>
      <c r="GHR84"/>
      <c r="GHS84"/>
      <c r="GHT84"/>
      <c r="GHU84"/>
      <c r="GHV84"/>
      <c r="GHW84"/>
      <c r="GHX84"/>
      <c r="GHY84"/>
      <c r="GHZ84"/>
      <c r="GIA84"/>
      <c r="GIB84"/>
      <c r="GIC84"/>
      <c r="GID84"/>
      <c r="GIE84"/>
      <c r="GIF84"/>
      <c r="GIG84"/>
      <c r="GIH84"/>
      <c r="GII84"/>
      <c r="GIJ84"/>
      <c r="GIK84"/>
      <c r="GIL84"/>
      <c r="GIM84"/>
      <c r="GIN84"/>
      <c r="GIO84"/>
      <c r="GIP84"/>
      <c r="GIQ84"/>
      <c r="GIR84"/>
      <c r="GIS84"/>
      <c r="GIT84"/>
      <c r="GIU84"/>
      <c r="GIV84"/>
      <c r="GIW84"/>
      <c r="GIX84"/>
      <c r="GIY84"/>
      <c r="GIZ84"/>
      <c r="GJA84"/>
      <c r="GJB84"/>
      <c r="GJC84"/>
      <c r="GJD84"/>
      <c r="GJE84"/>
      <c r="GJF84"/>
      <c r="GJG84"/>
      <c r="GJH84"/>
      <c r="GJI84"/>
      <c r="GJJ84"/>
      <c r="GJK84"/>
      <c r="GJL84"/>
      <c r="GJM84"/>
      <c r="GJN84"/>
      <c r="GJO84"/>
      <c r="GJP84"/>
      <c r="GJQ84"/>
      <c r="GJR84"/>
      <c r="GJS84"/>
      <c r="GJT84"/>
      <c r="GJU84"/>
      <c r="GJV84"/>
      <c r="GJW84"/>
      <c r="GJX84"/>
      <c r="GJY84"/>
      <c r="GJZ84"/>
      <c r="GKA84"/>
      <c r="GKB84"/>
      <c r="GKC84"/>
      <c r="GKD84"/>
      <c r="GKE84"/>
      <c r="GKF84"/>
      <c r="GKG84"/>
      <c r="GKH84"/>
      <c r="GKI84"/>
      <c r="GKJ84"/>
      <c r="GKK84"/>
      <c r="GKL84"/>
      <c r="GKM84"/>
      <c r="GKN84"/>
      <c r="GKO84"/>
      <c r="GKP84"/>
      <c r="GKQ84"/>
      <c r="GKR84"/>
      <c r="GKS84"/>
      <c r="GKT84"/>
      <c r="GKU84"/>
      <c r="GKV84"/>
      <c r="GKW84"/>
      <c r="GKX84"/>
      <c r="GKY84"/>
      <c r="GKZ84"/>
      <c r="GLA84"/>
      <c r="GLB84"/>
      <c r="GLC84"/>
      <c r="GLD84"/>
      <c r="GLE84"/>
      <c r="GLF84"/>
      <c r="GLG84"/>
      <c r="GLH84"/>
      <c r="GLI84"/>
      <c r="GLJ84"/>
      <c r="GLK84"/>
      <c r="GLL84"/>
      <c r="GLM84"/>
      <c r="GLN84"/>
      <c r="GLO84"/>
      <c r="GLP84"/>
      <c r="GLQ84"/>
      <c r="GLR84"/>
      <c r="GLS84"/>
      <c r="GLT84"/>
      <c r="GLU84"/>
      <c r="GLV84"/>
      <c r="GLW84"/>
      <c r="GLX84"/>
      <c r="GLY84"/>
      <c r="GLZ84"/>
      <c r="GMA84"/>
      <c r="GMB84"/>
      <c r="GMC84"/>
      <c r="GMD84"/>
      <c r="GME84"/>
      <c r="GMF84"/>
      <c r="GMG84"/>
      <c r="GMH84"/>
      <c r="GMI84"/>
      <c r="GMJ84"/>
      <c r="GMK84"/>
      <c r="GML84"/>
      <c r="GMM84"/>
      <c r="GMN84"/>
      <c r="GMO84"/>
      <c r="GMP84"/>
      <c r="GMQ84"/>
      <c r="GMR84"/>
      <c r="GMS84"/>
      <c r="GMT84"/>
      <c r="GMU84"/>
      <c r="GMV84"/>
      <c r="GMW84"/>
      <c r="GMX84"/>
      <c r="GMY84"/>
      <c r="GMZ84"/>
      <c r="GNA84"/>
      <c r="GNB84"/>
      <c r="GNC84"/>
      <c r="GND84"/>
      <c r="GNE84"/>
      <c r="GNF84"/>
      <c r="GNG84"/>
      <c r="GNH84"/>
      <c r="GNI84"/>
      <c r="GNJ84"/>
      <c r="GNK84"/>
      <c r="GNL84"/>
      <c r="GNM84"/>
      <c r="GNN84"/>
      <c r="GNO84"/>
      <c r="GNP84"/>
      <c r="GNQ84"/>
      <c r="GNR84"/>
      <c r="GNS84"/>
      <c r="GNT84"/>
      <c r="GNU84"/>
      <c r="GNV84"/>
      <c r="GNW84"/>
      <c r="GNX84"/>
      <c r="GNY84"/>
      <c r="GNZ84"/>
      <c r="GOA84"/>
      <c r="GOB84"/>
      <c r="GOC84"/>
      <c r="GOD84"/>
      <c r="GOE84"/>
      <c r="GOF84"/>
      <c r="GOG84"/>
      <c r="GOH84"/>
      <c r="GOI84"/>
      <c r="GOJ84"/>
      <c r="GOK84"/>
      <c r="GOL84"/>
      <c r="GOM84"/>
      <c r="GON84"/>
      <c r="GOO84"/>
      <c r="GOP84"/>
      <c r="GOQ84"/>
      <c r="GOR84"/>
      <c r="GOS84"/>
      <c r="GOT84"/>
      <c r="GOU84"/>
      <c r="GOV84"/>
      <c r="GOW84"/>
      <c r="GOX84"/>
      <c r="GOY84"/>
      <c r="GOZ84"/>
      <c r="GPA84"/>
      <c r="GPB84"/>
      <c r="GPC84"/>
      <c r="GPD84"/>
      <c r="GPE84"/>
      <c r="GPF84"/>
      <c r="GPG84"/>
      <c r="GPH84"/>
      <c r="GPI84"/>
      <c r="GPJ84"/>
      <c r="GPK84"/>
      <c r="GPL84"/>
      <c r="GPM84"/>
      <c r="GPN84"/>
      <c r="GPO84"/>
      <c r="GPP84"/>
      <c r="GPQ84"/>
      <c r="GPR84"/>
      <c r="GPS84"/>
      <c r="GPT84"/>
      <c r="GPU84"/>
      <c r="GPV84"/>
      <c r="GPW84"/>
      <c r="GPX84"/>
      <c r="GPY84"/>
      <c r="GPZ84"/>
      <c r="GQA84"/>
      <c r="GQB84"/>
      <c r="GQC84"/>
      <c r="GQD84"/>
      <c r="GQE84"/>
      <c r="GQF84"/>
      <c r="GQG84"/>
      <c r="GQH84"/>
      <c r="GQI84"/>
      <c r="GQJ84"/>
      <c r="GQK84"/>
      <c r="GQL84"/>
      <c r="GQM84"/>
      <c r="GQN84"/>
      <c r="GQO84"/>
      <c r="GQP84"/>
      <c r="GQQ84"/>
      <c r="GQR84"/>
      <c r="GQS84"/>
      <c r="GQT84"/>
      <c r="GQU84"/>
      <c r="GQV84"/>
      <c r="GQW84"/>
      <c r="GQX84"/>
      <c r="GQY84"/>
      <c r="GQZ84"/>
      <c r="GRA84"/>
      <c r="GRB84"/>
      <c r="GRC84"/>
      <c r="GRD84"/>
      <c r="GRE84"/>
      <c r="GRF84"/>
      <c r="GRG84"/>
      <c r="GRH84"/>
      <c r="GRI84"/>
      <c r="GRJ84"/>
      <c r="GRK84"/>
      <c r="GRL84"/>
      <c r="GRM84"/>
      <c r="GRN84"/>
      <c r="GRO84"/>
      <c r="GRP84"/>
      <c r="GRQ84"/>
      <c r="GRR84"/>
      <c r="GRS84"/>
      <c r="GRT84"/>
      <c r="GRU84"/>
      <c r="GRV84"/>
      <c r="GRW84"/>
      <c r="GRX84"/>
      <c r="GRY84"/>
      <c r="GRZ84"/>
      <c r="GSA84"/>
      <c r="GSB84"/>
      <c r="GSC84"/>
      <c r="GSD84"/>
      <c r="GSE84"/>
      <c r="GSF84"/>
      <c r="GSG84"/>
      <c r="GSH84"/>
      <c r="GSI84"/>
      <c r="GSJ84"/>
      <c r="GSK84"/>
      <c r="GSL84"/>
      <c r="GSM84"/>
      <c r="GSN84"/>
      <c r="GSO84"/>
      <c r="GSP84"/>
      <c r="GSQ84"/>
      <c r="GSR84"/>
      <c r="GSS84"/>
      <c r="GST84"/>
      <c r="GSU84"/>
      <c r="GSV84"/>
      <c r="GSW84"/>
      <c r="GSX84"/>
      <c r="GSY84"/>
      <c r="GSZ84"/>
      <c r="GTA84"/>
      <c r="GTB84"/>
      <c r="GTC84"/>
      <c r="GTD84"/>
      <c r="GTE84"/>
      <c r="GTF84"/>
      <c r="GTG84"/>
      <c r="GTH84"/>
      <c r="GTI84"/>
      <c r="GTJ84"/>
      <c r="GTK84"/>
      <c r="GTL84"/>
      <c r="GTM84"/>
      <c r="GTN84"/>
      <c r="GTO84"/>
      <c r="GTP84"/>
      <c r="GTQ84"/>
      <c r="GTR84"/>
      <c r="GTS84"/>
      <c r="GTT84"/>
      <c r="GTU84"/>
      <c r="GTV84"/>
      <c r="GTW84"/>
      <c r="GTX84"/>
      <c r="GTY84"/>
      <c r="GTZ84"/>
      <c r="GUA84"/>
      <c r="GUB84"/>
      <c r="GUC84"/>
      <c r="GUD84"/>
      <c r="GUE84"/>
      <c r="GUF84"/>
      <c r="GUG84"/>
      <c r="GUH84"/>
      <c r="GUI84"/>
      <c r="GUJ84"/>
      <c r="GUK84"/>
      <c r="GUL84"/>
      <c r="GUM84"/>
      <c r="GUN84"/>
      <c r="GUO84"/>
      <c r="GUP84"/>
      <c r="GUQ84"/>
      <c r="GUR84"/>
      <c r="GUS84"/>
      <c r="GUT84"/>
      <c r="GUU84"/>
      <c r="GUV84"/>
      <c r="GUW84"/>
      <c r="GUX84"/>
      <c r="GUY84"/>
      <c r="GUZ84"/>
      <c r="GVA84"/>
      <c r="GVB84"/>
      <c r="GVC84"/>
      <c r="GVD84"/>
      <c r="GVE84"/>
      <c r="GVF84"/>
      <c r="GVG84"/>
      <c r="GVH84"/>
      <c r="GVI84"/>
      <c r="GVJ84"/>
      <c r="GVK84"/>
      <c r="GVL84"/>
      <c r="GVM84"/>
      <c r="GVN84"/>
      <c r="GVO84"/>
      <c r="GVP84"/>
      <c r="GVQ84"/>
      <c r="GVR84"/>
      <c r="GVS84"/>
      <c r="GVT84"/>
      <c r="GVU84"/>
      <c r="GVV84"/>
      <c r="GVW84"/>
      <c r="GVX84"/>
      <c r="GVY84"/>
      <c r="GVZ84"/>
      <c r="GWA84"/>
      <c r="GWB84"/>
      <c r="GWC84"/>
      <c r="GWD84"/>
      <c r="GWE84"/>
      <c r="GWF84"/>
      <c r="GWG84"/>
      <c r="GWH84"/>
      <c r="GWI84"/>
      <c r="GWJ84"/>
      <c r="GWK84"/>
      <c r="GWL84"/>
      <c r="GWM84"/>
      <c r="GWN84"/>
      <c r="GWO84"/>
      <c r="GWP84"/>
      <c r="GWQ84"/>
      <c r="GWR84"/>
      <c r="GWS84"/>
      <c r="GWT84"/>
      <c r="GWU84"/>
      <c r="GWV84"/>
      <c r="GWW84"/>
      <c r="GWX84"/>
      <c r="GWY84"/>
      <c r="GWZ84"/>
      <c r="GXA84"/>
      <c r="GXB84"/>
      <c r="GXC84"/>
      <c r="GXD84"/>
      <c r="GXE84"/>
      <c r="GXF84"/>
      <c r="GXG84"/>
      <c r="GXH84"/>
      <c r="GXI84"/>
      <c r="GXJ84"/>
      <c r="GXK84"/>
      <c r="GXL84"/>
      <c r="GXM84"/>
      <c r="GXN84"/>
      <c r="GXO84"/>
      <c r="GXP84"/>
      <c r="GXQ84"/>
      <c r="GXR84"/>
      <c r="GXS84"/>
      <c r="GXT84"/>
      <c r="GXU84"/>
      <c r="GXV84"/>
      <c r="GXW84"/>
      <c r="GXX84"/>
      <c r="GXY84"/>
      <c r="GXZ84"/>
      <c r="GYA84"/>
      <c r="GYB84"/>
      <c r="GYC84"/>
      <c r="GYD84"/>
      <c r="GYE84"/>
      <c r="GYF84"/>
      <c r="GYG84"/>
      <c r="GYH84"/>
      <c r="GYI84"/>
      <c r="GYJ84"/>
      <c r="GYK84"/>
      <c r="GYL84"/>
      <c r="GYM84"/>
      <c r="GYN84"/>
      <c r="GYO84"/>
      <c r="GYP84"/>
      <c r="GYQ84"/>
      <c r="GYR84"/>
      <c r="GYS84"/>
      <c r="GYT84"/>
      <c r="GYU84"/>
      <c r="GYV84"/>
      <c r="GYW84"/>
      <c r="GYX84"/>
      <c r="GYY84"/>
      <c r="GYZ84"/>
      <c r="GZA84"/>
      <c r="GZB84"/>
      <c r="GZC84"/>
      <c r="GZD84"/>
      <c r="GZE84"/>
      <c r="GZF84"/>
      <c r="GZG84"/>
      <c r="GZH84"/>
      <c r="GZI84"/>
      <c r="GZJ84"/>
      <c r="GZK84"/>
      <c r="GZL84"/>
      <c r="GZM84"/>
      <c r="GZN84"/>
      <c r="GZO84"/>
      <c r="GZP84"/>
      <c r="GZQ84"/>
      <c r="GZR84"/>
      <c r="GZS84"/>
      <c r="GZT84"/>
      <c r="GZU84"/>
      <c r="GZV84"/>
      <c r="GZW84"/>
      <c r="GZX84"/>
      <c r="GZY84"/>
      <c r="GZZ84"/>
      <c r="HAA84"/>
      <c r="HAB84"/>
      <c r="HAC84"/>
      <c r="HAD84"/>
      <c r="HAE84"/>
      <c r="HAF84"/>
      <c r="HAG84"/>
      <c r="HAH84"/>
      <c r="HAI84"/>
      <c r="HAJ84"/>
      <c r="HAK84"/>
      <c r="HAL84"/>
      <c r="HAM84"/>
      <c r="HAN84"/>
      <c r="HAO84"/>
      <c r="HAP84"/>
      <c r="HAQ84"/>
      <c r="HAR84"/>
      <c r="HAS84"/>
      <c r="HAT84"/>
      <c r="HAU84"/>
      <c r="HAV84"/>
      <c r="HAW84"/>
      <c r="HAX84"/>
      <c r="HAY84"/>
      <c r="HAZ84"/>
      <c r="HBA84"/>
      <c r="HBB84"/>
      <c r="HBC84"/>
      <c r="HBD84"/>
      <c r="HBE84"/>
      <c r="HBF84"/>
      <c r="HBG84"/>
      <c r="HBH84"/>
      <c r="HBI84"/>
      <c r="HBJ84"/>
      <c r="HBK84"/>
      <c r="HBL84"/>
      <c r="HBM84"/>
      <c r="HBN84"/>
      <c r="HBO84"/>
      <c r="HBP84"/>
      <c r="HBQ84"/>
      <c r="HBR84"/>
      <c r="HBS84"/>
      <c r="HBT84"/>
      <c r="HBU84"/>
      <c r="HBV84"/>
      <c r="HBW84"/>
      <c r="HBX84"/>
      <c r="HBY84"/>
      <c r="HBZ84"/>
      <c r="HCA84"/>
      <c r="HCB84"/>
      <c r="HCC84"/>
      <c r="HCD84"/>
      <c r="HCE84"/>
      <c r="HCF84"/>
      <c r="HCG84"/>
      <c r="HCH84"/>
      <c r="HCI84"/>
      <c r="HCJ84"/>
      <c r="HCK84"/>
      <c r="HCL84"/>
      <c r="HCM84"/>
      <c r="HCN84"/>
      <c r="HCO84"/>
      <c r="HCP84"/>
      <c r="HCQ84"/>
      <c r="HCR84"/>
      <c r="HCS84"/>
      <c r="HCT84"/>
      <c r="HCU84"/>
      <c r="HCV84"/>
      <c r="HCW84"/>
      <c r="HCX84"/>
      <c r="HCY84"/>
      <c r="HCZ84"/>
      <c r="HDA84"/>
      <c r="HDB84"/>
      <c r="HDC84"/>
      <c r="HDD84"/>
      <c r="HDE84"/>
      <c r="HDF84"/>
      <c r="HDG84"/>
      <c r="HDH84"/>
      <c r="HDI84"/>
      <c r="HDJ84"/>
      <c r="HDK84"/>
      <c r="HDL84"/>
      <c r="HDM84"/>
      <c r="HDN84"/>
      <c r="HDO84"/>
      <c r="HDP84"/>
      <c r="HDQ84"/>
      <c r="HDR84"/>
      <c r="HDS84"/>
      <c r="HDT84"/>
      <c r="HDU84"/>
      <c r="HDV84"/>
      <c r="HDW84"/>
      <c r="HDX84"/>
      <c r="HDY84"/>
      <c r="HDZ84"/>
      <c r="HEA84"/>
      <c r="HEB84"/>
      <c r="HEC84"/>
      <c r="HED84"/>
      <c r="HEE84"/>
      <c r="HEF84"/>
      <c r="HEG84"/>
      <c r="HEH84"/>
      <c r="HEI84"/>
      <c r="HEJ84"/>
      <c r="HEK84"/>
      <c r="HEL84"/>
      <c r="HEM84"/>
      <c r="HEN84"/>
      <c r="HEO84"/>
      <c r="HEP84"/>
      <c r="HEQ84"/>
      <c r="HER84"/>
      <c r="HES84"/>
      <c r="HET84"/>
      <c r="HEU84"/>
      <c r="HEV84"/>
      <c r="HEW84"/>
      <c r="HEX84"/>
      <c r="HEY84"/>
      <c r="HEZ84"/>
      <c r="HFA84"/>
      <c r="HFB84"/>
      <c r="HFC84"/>
      <c r="HFD84"/>
      <c r="HFE84"/>
      <c r="HFF84"/>
      <c r="HFG84"/>
      <c r="HFH84"/>
      <c r="HFI84"/>
      <c r="HFJ84"/>
      <c r="HFK84"/>
      <c r="HFL84"/>
      <c r="HFM84"/>
      <c r="HFN84"/>
      <c r="HFO84"/>
      <c r="HFP84"/>
      <c r="HFQ84"/>
      <c r="HFR84"/>
      <c r="HFS84"/>
      <c r="HFT84"/>
      <c r="HFU84"/>
      <c r="HFV84"/>
      <c r="HFW84"/>
      <c r="HFX84"/>
      <c r="HFY84"/>
      <c r="HFZ84"/>
      <c r="HGA84"/>
      <c r="HGB84"/>
      <c r="HGC84"/>
      <c r="HGD84"/>
      <c r="HGE84"/>
      <c r="HGF84"/>
      <c r="HGG84"/>
      <c r="HGH84"/>
      <c r="HGI84"/>
      <c r="HGJ84"/>
      <c r="HGK84"/>
      <c r="HGL84"/>
      <c r="HGM84"/>
      <c r="HGN84"/>
      <c r="HGO84"/>
      <c r="HGP84"/>
      <c r="HGQ84"/>
      <c r="HGR84"/>
      <c r="HGS84"/>
      <c r="HGT84"/>
      <c r="HGU84"/>
      <c r="HGV84"/>
      <c r="HGW84"/>
      <c r="HGX84"/>
      <c r="HGY84"/>
      <c r="HGZ84"/>
      <c r="HHA84"/>
      <c r="HHB84"/>
      <c r="HHC84"/>
      <c r="HHD84"/>
      <c r="HHE84"/>
      <c r="HHF84"/>
      <c r="HHG84"/>
      <c r="HHH84"/>
      <c r="HHI84"/>
      <c r="HHJ84"/>
      <c r="HHK84"/>
      <c r="HHL84"/>
      <c r="HHM84"/>
      <c r="HHN84"/>
      <c r="HHO84"/>
      <c r="HHP84"/>
      <c r="HHQ84"/>
      <c r="HHR84"/>
      <c r="HHS84"/>
      <c r="HHT84"/>
      <c r="HHU84"/>
      <c r="HHV84"/>
      <c r="HHW84"/>
      <c r="HHX84"/>
      <c r="HHY84"/>
      <c r="HHZ84"/>
      <c r="HIA84"/>
      <c r="HIB84"/>
      <c r="HIC84"/>
      <c r="HID84"/>
      <c r="HIE84"/>
      <c r="HIF84"/>
      <c r="HIG84"/>
      <c r="HIH84"/>
      <c r="HII84"/>
      <c r="HIJ84"/>
      <c r="HIK84"/>
      <c r="HIL84"/>
      <c r="HIM84"/>
      <c r="HIN84"/>
      <c r="HIO84"/>
      <c r="HIP84"/>
      <c r="HIQ84"/>
      <c r="HIR84"/>
      <c r="HIS84"/>
      <c r="HIT84"/>
      <c r="HIU84"/>
      <c r="HIV84"/>
      <c r="HIW84"/>
      <c r="HIX84"/>
      <c r="HIY84"/>
      <c r="HIZ84"/>
      <c r="HJA84"/>
      <c r="HJB84"/>
      <c r="HJC84"/>
      <c r="HJD84"/>
      <c r="HJE84"/>
      <c r="HJF84"/>
      <c r="HJG84"/>
      <c r="HJH84"/>
      <c r="HJI84"/>
      <c r="HJJ84"/>
      <c r="HJK84"/>
      <c r="HJL84"/>
      <c r="HJM84"/>
      <c r="HJN84"/>
      <c r="HJO84"/>
      <c r="HJP84"/>
      <c r="HJQ84"/>
      <c r="HJR84"/>
      <c r="HJS84"/>
      <c r="HJT84"/>
      <c r="HJU84"/>
      <c r="HJV84"/>
      <c r="HJW84"/>
      <c r="HJX84"/>
      <c r="HJY84"/>
      <c r="HJZ84"/>
      <c r="HKA84"/>
      <c r="HKB84"/>
      <c r="HKC84"/>
      <c r="HKD84"/>
      <c r="HKE84"/>
      <c r="HKF84"/>
      <c r="HKG84"/>
      <c r="HKH84"/>
      <c r="HKI84"/>
      <c r="HKJ84"/>
      <c r="HKK84"/>
      <c r="HKL84"/>
      <c r="HKM84"/>
      <c r="HKN84"/>
      <c r="HKO84"/>
      <c r="HKP84"/>
      <c r="HKQ84"/>
      <c r="HKR84"/>
      <c r="HKS84"/>
      <c r="HKT84"/>
      <c r="HKU84"/>
      <c r="HKV84"/>
      <c r="HKW84"/>
      <c r="HKX84"/>
      <c r="HKY84"/>
      <c r="HKZ84"/>
      <c r="HLA84"/>
      <c r="HLB84"/>
      <c r="HLC84"/>
      <c r="HLD84"/>
      <c r="HLE84"/>
      <c r="HLF84"/>
      <c r="HLG84"/>
      <c r="HLH84"/>
      <c r="HLI84"/>
      <c r="HLJ84"/>
      <c r="HLK84"/>
      <c r="HLL84"/>
      <c r="HLM84"/>
      <c r="HLN84"/>
      <c r="HLO84"/>
      <c r="HLP84"/>
      <c r="HLQ84"/>
      <c r="HLR84"/>
      <c r="HLS84"/>
      <c r="HLT84"/>
      <c r="HLU84"/>
      <c r="HLV84"/>
      <c r="HLW84"/>
      <c r="HLX84"/>
      <c r="HLY84"/>
      <c r="HLZ84"/>
      <c r="HMA84"/>
      <c r="HMB84"/>
      <c r="HMC84"/>
      <c r="HMD84"/>
      <c r="HME84"/>
      <c r="HMF84"/>
      <c r="HMG84"/>
      <c r="HMH84"/>
      <c r="HMI84"/>
      <c r="HMJ84"/>
      <c r="HMK84"/>
      <c r="HML84"/>
      <c r="HMM84"/>
      <c r="HMN84"/>
      <c r="HMO84"/>
      <c r="HMP84"/>
      <c r="HMQ84"/>
      <c r="HMR84"/>
      <c r="HMS84"/>
      <c r="HMT84"/>
      <c r="HMU84"/>
      <c r="HMV84"/>
      <c r="HMW84"/>
      <c r="HMX84"/>
      <c r="HMY84"/>
      <c r="HMZ84"/>
      <c r="HNA84"/>
      <c r="HNB84"/>
      <c r="HNC84"/>
      <c r="HND84"/>
      <c r="HNE84"/>
      <c r="HNF84"/>
      <c r="HNG84"/>
      <c r="HNH84"/>
      <c r="HNI84"/>
      <c r="HNJ84"/>
      <c r="HNK84"/>
      <c r="HNL84"/>
      <c r="HNM84"/>
      <c r="HNN84"/>
      <c r="HNO84"/>
      <c r="HNP84"/>
      <c r="HNQ84"/>
      <c r="HNR84"/>
      <c r="HNS84"/>
      <c r="HNT84"/>
      <c r="HNU84"/>
      <c r="HNV84"/>
      <c r="HNW84"/>
      <c r="HNX84"/>
      <c r="HNY84"/>
      <c r="HNZ84"/>
      <c r="HOA84"/>
      <c r="HOB84"/>
      <c r="HOC84"/>
      <c r="HOD84"/>
      <c r="HOE84"/>
      <c r="HOF84"/>
      <c r="HOG84"/>
      <c r="HOH84"/>
      <c r="HOI84"/>
      <c r="HOJ84"/>
      <c r="HOK84"/>
      <c r="HOL84"/>
      <c r="HOM84"/>
      <c r="HON84"/>
      <c r="HOO84"/>
      <c r="HOP84"/>
      <c r="HOQ84"/>
      <c r="HOR84"/>
      <c r="HOS84"/>
      <c r="HOT84"/>
      <c r="HOU84"/>
      <c r="HOV84"/>
      <c r="HOW84"/>
      <c r="HOX84"/>
      <c r="HOY84"/>
      <c r="HOZ84"/>
      <c r="HPA84"/>
      <c r="HPB84"/>
      <c r="HPC84"/>
      <c r="HPD84"/>
      <c r="HPE84"/>
      <c r="HPF84"/>
      <c r="HPG84"/>
      <c r="HPH84"/>
      <c r="HPI84"/>
      <c r="HPJ84"/>
      <c r="HPK84"/>
      <c r="HPL84"/>
      <c r="HPM84"/>
      <c r="HPN84"/>
      <c r="HPO84"/>
      <c r="HPP84"/>
      <c r="HPQ84"/>
      <c r="HPR84"/>
      <c r="HPS84"/>
      <c r="HPT84"/>
      <c r="HPU84"/>
      <c r="HPV84"/>
      <c r="HPW84"/>
      <c r="HPX84"/>
      <c r="HPY84"/>
      <c r="HPZ84"/>
      <c r="HQA84"/>
      <c r="HQB84"/>
      <c r="HQC84"/>
      <c r="HQD84"/>
      <c r="HQE84"/>
      <c r="HQF84"/>
      <c r="HQG84"/>
      <c r="HQH84"/>
      <c r="HQI84"/>
      <c r="HQJ84"/>
      <c r="HQK84"/>
      <c r="HQL84"/>
      <c r="HQM84"/>
      <c r="HQN84"/>
      <c r="HQO84"/>
      <c r="HQP84"/>
      <c r="HQQ84"/>
      <c r="HQR84"/>
      <c r="HQS84"/>
      <c r="HQT84"/>
      <c r="HQU84"/>
      <c r="HQV84"/>
      <c r="HQW84"/>
      <c r="HQX84"/>
      <c r="HQY84"/>
      <c r="HQZ84"/>
      <c r="HRA84"/>
      <c r="HRB84"/>
      <c r="HRC84"/>
      <c r="HRD84"/>
      <c r="HRE84"/>
      <c r="HRF84"/>
      <c r="HRG84"/>
      <c r="HRH84"/>
      <c r="HRI84"/>
      <c r="HRJ84"/>
      <c r="HRK84"/>
      <c r="HRL84"/>
      <c r="HRM84"/>
      <c r="HRN84"/>
      <c r="HRO84"/>
      <c r="HRP84"/>
      <c r="HRQ84"/>
      <c r="HRR84"/>
      <c r="HRS84"/>
      <c r="HRT84"/>
      <c r="HRU84"/>
      <c r="HRV84"/>
      <c r="HRW84"/>
      <c r="HRX84"/>
      <c r="HRY84"/>
      <c r="HRZ84"/>
      <c r="HSA84"/>
      <c r="HSB84"/>
      <c r="HSC84"/>
      <c r="HSD84"/>
      <c r="HSE84"/>
      <c r="HSF84"/>
      <c r="HSG84"/>
      <c r="HSH84"/>
      <c r="HSI84"/>
      <c r="HSJ84"/>
      <c r="HSK84"/>
      <c r="HSL84"/>
      <c r="HSM84"/>
      <c r="HSN84"/>
      <c r="HSO84"/>
      <c r="HSP84"/>
      <c r="HSQ84"/>
      <c r="HSR84"/>
      <c r="HSS84"/>
      <c r="HST84"/>
      <c r="HSU84"/>
      <c r="HSV84"/>
      <c r="HSW84"/>
      <c r="HSX84"/>
      <c r="HSY84"/>
      <c r="HSZ84"/>
      <c r="HTA84"/>
      <c r="HTB84"/>
      <c r="HTC84"/>
      <c r="HTD84"/>
      <c r="HTE84"/>
      <c r="HTF84"/>
      <c r="HTG84"/>
      <c r="HTH84"/>
      <c r="HTI84"/>
      <c r="HTJ84"/>
      <c r="HTK84"/>
      <c r="HTL84"/>
      <c r="HTM84"/>
      <c r="HTN84"/>
      <c r="HTO84"/>
      <c r="HTP84"/>
      <c r="HTQ84"/>
      <c r="HTR84"/>
      <c r="HTS84"/>
      <c r="HTT84"/>
      <c r="HTU84"/>
      <c r="HTV84"/>
      <c r="HTW84"/>
      <c r="HTX84"/>
      <c r="HTY84"/>
      <c r="HTZ84"/>
      <c r="HUA84"/>
      <c r="HUB84"/>
      <c r="HUC84"/>
      <c r="HUD84"/>
      <c r="HUE84"/>
      <c r="HUF84"/>
      <c r="HUG84"/>
      <c r="HUH84"/>
      <c r="HUI84"/>
      <c r="HUJ84"/>
      <c r="HUK84"/>
      <c r="HUL84"/>
      <c r="HUM84"/>
      <c r="HUN84"/>
      <c r="HUO84"/>
      <c r="HUP84"/>
      <c r="HUQ84"/>
      <c r="HUR84"/>
      <c r="HUS84"/>
      <c r="HUT84"/>
      <c r="HUU84"/>
      <c r="HUV84"/>
      <c r="HUW84"/>
      <c r="HUX84"/>
      <c r="HUY84"/>
      <c r="HUZ84"/>
      <c r="HVA84"/>
      <c r="HVB84"/>
      <c r="HVC84"/>
      <c r="HVD84"/>
      <c r="HVE84"/>
      <c r="HVF84"/>
      <c r="HVG84"/>
      <c r="HVH84"/>
      <c r="HVI84"/>
      <c r="HVJ84"/>
      <c r="HVK84"/>
      <c r="HVL84"/>
      <c r="HVM84"/>
      <c r="HVN84"/>
      <c r="HVO84"/>
      <c r="HVP84"/>
      <c r="HVQ84"/>
      <c r="HVR84"/>
      <c r="HVS84"/>
      <c r="HVT84"/>
      <c r="HVU84"/>
      <c r="HVV84"/>
      <c r="HVW84"/>
      <c r="HVX84"/>
      <c r="HVY84"/>
      <c r="HVZ84"/>
      <c r="HWA84"/>
      <c r="HWB84"/>
      <c r="HWC84"/>
      <c r="HWD84"/>
      <c r="HWE84"/>
      <c r="HWF84"/>
      <c r="HWG84"/>
      <c r="HWH84"/>
      <c r="HWI84"/>
      <c r="HWJ84"/>
      <c r="HWK84"/>
      <c r="HWL84"/>
      <c r="HWM84"/>
      <c r="HWN84"/>
      <c r="HWO84"/>
      <c r="HWP84"/>
      <c r="HWQ84"/>
      <c r="HWR84"/>
      <c r="HWS84"/>
      <c r="HWT84"/>
      <c r="HWU84"/>
      <c r="HWV84"/>
      <c r="HWW84"/>
      <c r="HWX84"/>
      <c r="HWY84"/>
      <c r="HWZ84"/>
      <c r="HXA84"/>
      <c r="HXB84"/>
      <c r="HXC84"/>
      <c r="HXD84"/>
      <c r="HXE84"/>
      <c r="HXF84"/>
      <c r="HXG84"/>
      <c r="HXH84"/>
      <c r="HXI84"/>
      <c r="HXJ84"/>
      <c r="HXK84"/>
      <c r="HXL84"/>
      <c r="HXM84"/>
      <c r="HXN84"/>
      <c r="HXO84"/>
      <c r="HXP84"/>
      <c r="HXQ84"/>
      <c r="HXR84"/>
      <c r="HXS84"/>
      <c r="HXT84"/>
      <c r="HXU84"/>
      <c r="HXV84"/>
      <c r="HXW84"/>
      <c r="HXX84"/>
      <c r="HXY84"/>
      <c r="HXZ84"/>
      <c r="HYA84"/>
      <c r="HYB84"/>
      <c r="HYC84"/>
      <c r="HYD84"/>
      <c r="HYE84"/>
      <c r="HYF84"/>
      <c r="HYG84"/>
      <c r="HYH84"/>
      <c r="HYI84"/>
      <c r="HYJ84"/>
      <c r="HYK84"/>
      <c r="HYL84"/>
      <c r="HYM84"/>
      <c r="HYN84"/>
      <c r="HYO84"/>
      <c r="HYP84"/>
      <c r="HYQ84"/>
      <c r="HYR84"/>
      <c r="HYS84"/>
      <c r="HYT84"/>
      <c r="HYU84"/>
      <c r="HYV84"/>
      <c r="HYW84"/>
      <c r="HYX84"/>
      <c r="HYY84"/>
      <c r="HYZ84"/>
      <c r="HZA84"/>
      <c r="HZB84"/>
      <c r="HZC84"/>
      <c r="HZD84"/>
      <c r="HZE84"/>
      <c r="HZF84"/>
      <c r="HZG84"/>
      <c r="HZH84"/>
      <c r="HZI84"/>
      <c r="HZJ84"/>
      <c r="HZK84"/>
      <c r="HZL84"/>
      <c r="HZM84"/>
      <c r="HZN84"/>
      <c r="HZO84"/>
      <c r="HZP84"/>
      <c r="HZQ84"/>
      <c r="HZR84"/>
      <c r="HZS84"/>
      <c r="HZT84"/>
      <c r="HZU84"/>
      <c r="HZV84"/>
      <c r="HZW84"/>
      <c r="HZX84"/>
      <c r="HZY84"/>
      <c r="HZZ84"/>
      <c r="IAA84"/>
      <c r="IAB84"/>
      <c r="IAC84"/>
      <c r="IAD84"/>
      <c r="IAE84"/>
      <c r="IAF84"/>
      <c r="IAG84"/>
      <c r="IAH84"/>
      <c r="IAI84"/>
      <c r="IAJ84"/>
      <c r="IAK84"/>
      <c r="IAL84"/>
      <c r="IAM84"/>
      <c r="IAN84"/>
      <c r="IAO84"/>
      <c r="IAP84"/>
      <c r="IAQ84"/>
      <c r="IAR84"/>
      <c r="IAS84"/>
      <c r="IAT84"/>
      <c r="IAU84"/>
      <c r="IAV84"/>
      <c r="IAW84"/>
      <c r="IAX84"/>
      <c r="IAY84"/>
      <c r="IAZ84"/>
      <c r="IBA84"/>
      <c r="IBB84"/>
      <c r="IBC84"/>
      <c r="IBD84"/>
      <c r="IBE84"/>
      <c r="IBF84"/>
      <c r="IBG84"/>
      <c r="IBH84"/>
      <c r="IBI84"/>
      <c r="IBJ84"/>
      <c r="IBK84"/>
      <c r="IBL84"/>
      <c r="IBM84"/>
      <c r="IBN84"/>
      <c r="IBO84"/>
      <c r="IBP84"/>
      <c r="IBQ84"/>
      <c r="IBR84"/>
      <c r="IBS84"/>
      <c r="IBT84"/>
      <c r="IBU84"/>
      <c r="IBV84"/>
      <c r="IBW84"/>
      <c r="IBX84"/>
      <c r="IBY84"/>
      <c r="IBZ84"/>
      <c r="ICA84"/>
      <c r="ICB84"/>
      <c r="ICC84"/>
      <c r="ICD84"/>
      <c r="ICE84"/>
      <c r="ICF84"/>
      <c r="ICG84"/>
      <c r="ICH84"/>
      <c r="ICI84"/>
      <c r="ICJ84"/>
      <c r="ICK84"/>
      <c r="ICL84"/>
      <c r="ICM84"/>
      <c r="ICN84"/>
      <c r="ICO84"/>
      <c r="ICP84"/>
      <c r="ICQ84"/>
      <c r="ICR84"/>
      <c r="ICS84"/>
      <c r="ICT84"/>
      <c r="ICU84"/>
      <c r="ICV84"/>
      <c r="ICW84"/>
      <c r="ICX84"/>
      <c r="ICY84"/>
      <c r="ICZ84"/>
      <c r="IDA84"/>
      <c r="IDB84"/>
      <c r="IDC84"/>
      <c r="IDD84"/>
      <c r="IDE84"/>
      <c r="IDF84"/>
      <c r="IDG84"/>
      <c r="IDH84"/>
      <c r="IDI84"/>
      <c r="IDJ84"/>
      <c r="IDK84"/>
      <c r="IDL84"/>
      <c r="IDM84"/>
      <c r="IDN84"/>
      <c r="IDO84"/>
      <c r="IDP84"/>
      <c r="IDQ84"/>
      <c r="IDR84"/>
      <c r="IDS84"/>
      <c r="IDT84"/>
      <c r="IDU84"/>
      <c r="IDV84"/>
      <c r="IDW84"/>
      <c r="IDX84"/>
      <c r="IDY84"/>
      <c r="IDZ84"/>
      <c r="IEA84"/>
      <c r="IEB84"/>
      <c r="IEC84"/>
      <c r="IED84"/>
      <c r="IEE84"/>
      <c r="IEF84"/>
      <c r="IEG84"/>
      <c r="IEH84"/>
      <c r="IEI84"/>
      <c r="IEJ84"/>
      <c r="IEK84"/>
      <c r="IEL84"/>
      <c r="IEM84"/>
      <c r="IEN84"/>
      <c r="IEO84"/>
      <c r="IEP84"/>
      <c r="IEQ84"/>
      <c r="IER84"/>
      <c r="IES84"/>
      <c r="IET84"/>
      <c r="IEU84"/>
      <c r="IEV84"/>
      <c r="IEW84"/>
      <c r="IEX84"/>
      <c r="IEY84"/>
      <c r="IEZ84"/>
      <c r="IFA84"/>
      <c r="IFB84"/>
      <c r="IFC84"/>
      <c r="IFD84"/>
      <c r="IFE84"/>
      <c r="IFF84"/>
      <c r="IFG84"/>
      <c r="IFH84"/>
      <c r="IFI84"/>
      <c r="IFJ84"/>
      <c r="IFK84"/>
      <c r="IFL84"/>
      <c r="IFM84"/>
      <c r="IFN84"/>
      <c r="IFO84"/>
      <c r="IFP84"/>
      <c r="IFQ84"/>
      <c r="IFR84"/>
      <c r="IFS84"/>
      <c r="IFT84"/>
      <c r="IFU84"/>
      <c r="IFV84"/>
      <c r="IFW84"/>
      <c r="IFX84"/>
      <c r="IFY84"/>
      <c r="IFZ84"/>
      <c r="IGA84"/>
      <c r="IGB84"/>
      <c r="IGC84"/>
      <c r="IGD84"/>
      <c r="IGE84"/>
      <c r="IGF84"/>
      <c r="IGG84"/>
      <c r="IGH84"/>
      <c r="IGI84"/>
      <c r="IGJ84"/>
      <c r="IGK84"/>
      <c r="IGL84"/>
      <c r="IGM84"/>
      <c r="IGN84"/>
      <c r="IGO84"/>
      <c r="IGP84"/>
      <c r="IGQ84"/>
      <c r="IGR84"/>
      <c r="IGS84"/>
      <c r="IGT84"/>
      <c r="IGU84"/>
      <c r="IGV84"/>
      <c r="IGW84"/>
      <c r="IGX84"/>
      <c r="IGY84"/>
      <c r="IGZ84"/>
      <c r="IHA84"/>
      <c r="IHB84"/>
      <c r="IHC84"/>
      <c r="IHD84"/>
      <c r="IHE84"/>
      <c r="IHF84"/>
      <c r="IHG84"/>
      <c r="IHH84"/>
      <c r="IHI84"/>
      <c r="IHJ84"/>
      <c r="IHK84"/>
      <c r="IHL84"/>
      <c r="IHM84"/>
      <c r="IHN84"/>
      <c r="IHO84"/>
      <c r="IHP84"/>
      <c r="IHQ84"/>
      <c r="IHR84"/>
      <c r="IHS84"/>
      <c r="IHT84"/>
      <c r="IHU84"/>
      <c r="IHV84"/>
      <c r="IHW84"/>
      <c r="IHX84"/>
      <c r="IHY84"/>
      <c r="IHZ84"/>
      <c r="IIA84"/>
      <c r="IIB84"/>
      <c r="IIC84"/>
      <c r="IID84"/>
      <c r="IIE84"/>
      <c r="IIF84"/>
      <c r="IIG84"/>
      <c r="IIH84"/>
      <c r="III84"/>
      <c r="IIJ84"/>
      <c r="IIK84"/>
      <c r="IIL84"/>
      <c r="IIM84"/>
      <c r="IIN84"/>
      <c r="IIO84"/>
      <c r="IIP84"/>
      <c r="IIQ84"/>
      <c r="IIR84"/>
      <c r="IIS84"/>
      <c r="IIT84"/>
      <c r="IIU84"/>
      <c r="IIV84"/>
      <c r="IIW84"/>
      <c r="IIX84"/>
      <c r="IIY84"/>
      <c r="IIZ84"/>
      <c r="IJA84"/>
      <c r="IJB84"/>
      <c r="IJC84"/>
      <c r="IJD84"/>
      <c r="IJE84"/>
      <c r="IJF84"/>
      <c r="IJG84"/>
      <c r="IJH84"/>
      <c r="IJI84"/>
      <c r="IJJ84"/>
      <c r="IJK84"/>
      <c r="IJL84"/>
      <c r="IJM84"/>
      <c r="IJN84"/>
      <c r="IJO84"/>
      <c r="IJP84"/>
      <c r="IJQ84"/>
      <c r="IJR84"/>
      <c r="IJS84"/>
      <c r="IJT84"/>
      <c r="IJU84"/>
      <c r="IJV84"/>
      <c r="IJW84"/>
      <c r="IJX84"/>
      <c r="IJY84"/>
      <c r="IJZ84"/>
      <c r="IKA84"/>
      <c r="IKB84"/>
      <c r="IKC84"/>
      <c r="IKD84"/>
      <c r="IKE84"/>
      <c r="IKF84"/>
      <c r="IKG84"/>
      <c r="IKH84"/>
      <c r="IKI84"/>
      <c r="IKJ84"/>
      <c r="IKK84"/>
      <c r="IKL84"/>
      <c r="IKM84"/>
      <c r="IKN84"/>
      <c r="IKO84"/>
      <c r="IKP84"/>
      <c r="IKQ84"/>
      <c r="IKR84"/>
      <c r="IKS84"/>
      <c r="IKT84"/>
      <c r="IKU84"/>
      <c r="IKV84"/>
      <c r="IKW84"/>
      <c r="IKX84"/>
      <c r="IKY84"/>
      <c r="IKZ84"/>
      <c r="ILA84"/>
      <c r="ILB84"/>
      <c r="ILC84"/>
      <c r="ILD84"/>
      <c r="ILE84"/>
      <c r="ILF84"/>
      <c r="ILG84"/>
      <c r="ILH84"/>
      <c r="ILI84"/>
      <c r="ILJ84"/>
      <c r="ILK84"/>
      <c r="ILL84"/>
      <c r="ILM84"/>
      <c r="ILN84"/>
      <c r="ILO84"/>
      <c r="ILP84"/>
      <c r="ILQ84"/>
      <c r="ILR84"/>
      <c r="ILS84"/>
      <c r="ILT84"/>
      <c r="ILU84"/>
      <c r="ILV84"/>
      <c r="ILW84"/>
      <c r="ILX84"/>
      <c r="ILY84"/>
      <c r="ILZ84"/>
      <c r="IMA84"/>
      <c r="IMB84"/>
      <c r="IMC84"/>
      <c r="IMD84"/>
      <c r="IME84"/>
      <c r="IMF84"/>
      <c r="IMG84"/>
      <c r="IMH84"/>
      <c r="IMI84"/>
      <c r="IMJ84"/>
      <c r="IMK84"/>
      <c r="IML84"/>
      <c r="IMM84"/>
      <c r="IMN84"/>
      <c r="IMO84"/>
      <c r="IMP84"/>
      <c r="IMQ84"/>
      <c r="IMR84"/>
      <c r="IMS84"/>
      <c r="IMT84"/>
      <c r="IMU84"/>
      <c r="IMV84"/>
      <c r="IMW84"/>
      <c r="IMX84"/>
      <c r="IMY84"/>
      <c r="IMZ84"/>
      <c r="INA84"/>
      <c r="INB84"/>
      <c r="INC84"/>
      <c r="IND84"/>
      <c r="INE84"/>
      <c r="INF84"/>
      <c r="ING84"/>
      <c r="INH84"/>
      <c r="INI84"/>
      <c r="INJ84"/>
      <c r="INK84"/>
      <c r="INL84"/>
      <c r="INM84"/>
      <c r="INN84"/>
      <c r="INO84"/>
      <c r="INP84"/>
      <c r="INQ84"/>
      <c r="INR84"/>
      <c r="INS84"/>
      <c r="INT84"/>
      <c r="INU84"/>
      <c r="INV84"/>
      <c r="INW84"/>
      <c r="INX84"/>
      <c r="INY84"/>
      <c r="INZ84"/>
      <c r="IOA84"/>
      <c r="IOB84"/>
      <c r="IOC84"/>
      <c r="IOD84"/>
      <c r="IOE84"/>
      <c r="IOF84"/>
      <c r="IOG84"/>
      <c r="IOH84"/>
      <c r="IOI84"/>
      <c r="IOJ84"/>
      <c r="IOK84"/>
      <c r="IOL84"/>
      <c r="IOM84"/>
      <c r="ION84"/>
      <c r="IOO84"/>
      <c r="IOP84"/>
      <c r="IOQ84"/>
      <c r="IOR84"/>
      <c r="IOS84"/>
      <c r="IOT84"/>
      <c r="IOU84"/>
      <c r="IOV84"/>
      <c r="IOW84"/>
      <c r="IOX84"/>
      <c r="IOY84"/>
      <c r="IOZ84"/>
      <c r="IPA84"/>
      <c r="IPB84"/>
      <c r="IPC84"/>
      <c r="IPD84"/>
      <c r="IPE84"/>
      <c r="IPF84"/>
      <c r="IPG84"/>
      <c r="IPH84"/>
      <c r="IPI84"/>
      <c r="IPJ84"/>
      <c r="IPK84"/>
      <c r="IPL84"/>
      <c r="IPM84"/>
      <c r="IPN84"/>
      <c r="IPO84"/>
      <c r="IPP84"/>
      <c r="IPQ84"/>
      <c r="IPR84"/>
      <c r="IPS84"/>
      <c r="IPT84"/>
      <c r="IPU84"/>
      <c r="IPV84"/>
      <c r="IPW84"/>
      <c r="IPX84"/>
      <c r="IPY84"/>
      <c r="IPZ84"/>
      <c r="IQA84"/>
      <c r="IQB84"/>
      <c r="IQC84"/>
      <c r="IQD84"/>
      <c r="IQE84"/>
      <c r="IQF84"/>
      <c r="IQG84"/>
      <c r="IQH84"/>
      <c r="IQI84"/>
      <c r="IQJ84"/>
      <c r="IQK84"/>
      <c r="IQL84"/>
      <c r="IQM84"/>
      <c r="IQN84"/>
      <c r="IQO84"/>
      <c r="IQP84"/>
      <c r="IQQ84"/>
      <c r="IQR84"/>
      <c r="IQS84"/>
      <c r="IQT84"/>
      <c r="IQU84"/>
      <c r="IQV84"/>
      <c r="IQW84"/>
      <c r="IQX84"/>
      <c r="IQY84"/>
      <c r="IQZ84"/>
      <c r="IRA84"/>
      <c r="IRB84"/>
      <c r="IRC84"/>
      <c r="IRD84"/>
      <c r="IRE84"/>
      <c r="IRF84"/>
      <c r="IRG84"/>
      <c r="IRH84"/>
      <c r="IRI84"/>
      <c r="IRJ84"/>
      <c r="IRK84"/>
      <c r="IRL84"/>
      <c r="IRM84"/>
      <c r="IRN84"/>
      <c r="IRO84"/>
      <c r="IRP84"/>
      <c r="IRQ84"/>
      <c r="IRR84"/>
      <c r="IRS84"/>
      <c r="IRT84"/>
      <c r="IRU84"/>
      <c r="IRV84"/>
      <c r="IRW84"/>
      <c r="IRX84"/>
      <c r="IRY84"/>
      <c r="IRZ84"/>
      <c r="ISA84"/>
      <c r="ISB84"/>
      <c r="ISC84"/>
      <c r="ISD84"/>
      <c r="ISE84"/>
      <c r="ISF84"/>
      <c r="ISG84"/>
      <c r="ISH84"/>
      <c r="ISI84"/>
      <c r="ISJ84"/>
      <c r="ISK84"/>
      <c r="ISL84"/>
      <c r="ISM84"/>
      <c r="ISN84"/>
      <c r="ISO84"/>
      <c r="ISP84"/>
      <c r="ISQ84"/>
      <c r="ISR84"/>
      <c r="ISS84"/>
      <c r="IST84"/>
      <c r="ISU84"/>
      <c r="ISV84"/>
      <c r="ISW84"/>
      <c r="ISX84"/>
      <c r="ISY84"/>
      <c r="ISZ84"/>
      <c r="ITA84"/>
      <c r="ITB84"/>
      <c r="ITC84"/>
      <c r="ITD84"/>
      <c r="ITE84"/>
      <c r="ITF84"/>
      <c r="ITG84"/>
      <c r="ITH84"/>
      <c r="ITI84"/>
      <c r="ITJ84"/>
      <c r="ITK84"/>
      <c r="ITL84"/>
      <c r="ITM84"/>
      <c r="ITN84"/>
      <c r="ITO84"/>
      <c r="ITP84"/>
      <c r="ITQ84"/>
      <c r="ITR84"/>
      <c r="ITS84"/>
      <c r="ITT84"/>
      <c r="ITU84"/>
      <c r="ITV84"/>
      <c r="ITW84"/>
      <c r="ITX84"/>
      <c r="ITY84"/>
      <c r="ITZ84"/>
      <c r="IUA84"/>
      <c r="IUB84"/>
      <c r="IUC84"/>
      <c r="IUD84"/>
      <c r="IUE84"/>
      <c r="IUF84"/>
      <c r="IUG84"/>
      <c r="IUH84"/>
      <c r="IUI84"/>
      <c r="IUJ84"/>
      <c r="IUK84"/>
      <c r="IUL84"/>
      <c r="IUM84"/>
      <c r="IUN84"/>
      <c r="IUO84"/>
      <c r="IUP84"/>
      <c r="IUQ84"/>
      <c r="IUR84"/>
      <c r="IUS84"/>
      <c r="IUT84"/>
      <c r="IUU84"/>
      <c r="IUV84"/>
      <c r="IUW84"/>
      <c r="IUX84"/>
      <c r="IUY84"/>
      <c r="IUZ84"/>
      <c r="IVA84"/>
      <c r="IVB84"/>
      <c r="IVC84"/>
      <c r="IVD84"/>
      <c r="IVE84"/>
      <c r="IVF84"/>
      <c r="IVG84"/>
      <c r="IVH84"/>
      <c r="IVI84"/>
      <c r="IVJ84"/>
      <c r="IVK84"/>
      <c r="IVL84"/>
      <c r="IVM84"/>
      <c r="IVN84"/>
      <c r="IVO84"/>
      <c r="IVP84"/>
      <c r="IVQ84"/>
      <c r="IVR84"/>
      <c r="IVS84"/>
      <c r="IVT84"/>
      <c r="IVU84"/>
      <c r="IVV84"/>
      <c r="IVW84"/>
      <c r="IVX84"/>
      <c r="IVY84"/>
      <c r="IVZ84"/>
      <c r="IWA84"/>
      <c r="IWB84"/>
      <c r="IWC84"/>
      <c r="IWD84"/>
      <c r="IWE84"/>
      <c r="IWF84"/>
      <c r="IWG84"/>
      <c r="IWH84"/>
      <c r="IWI84"/>
      <c r="IWJ84"/>
      <c r="IWK84"/>
      <c r="IWL84"/>
      <c r="IWM84"/>
      <c r="IWN84"/>
      <c r="IWO84"/>
      <c r="IWP84"/>
      <c r="IWQ84"/>
      <c r="IWR84"/>
      <c r="IWS84"/>
      <c r="IWT84"/>
      <c r="IWU84"/>
      <c r="IWV84"/>
      <c r="IWW84"/>
      <c r="IWX84"/>
      <c r="IWY84"/>
      <c r="IWZ84"/>
      <c r="IXA84"/>
      <c r="IXB84"/>
      <c r="IXC84"/>
      <c r="IXD84"/>
      <c r="IXE84"/>
      <c r="IXF84"/>
      <c r="IXG84"/>
      <c r="IXH84"/>
      <c r="IXI84"/>
      <c r="IXJ84"/>
      <c r="IXK84"/>
      <c r="IXL84"/>
      <c r="IXM84"/>
      <c r="IXN84"/>
      <c r="IXO84"/>
      <c r="IXP84"/>
      <c r="IXQ84"/>
      <c r="IXR84"/>
      <c r="IXS84"/>
      <c r="IXT84"/>
      <c r="IXU84"/>
      <c r="IXV84"/>
      <c r="IXW84"/>
      <c r="IXX84"/>
      <c r="IXY84"/>
      <c r="IXZ84"/>
      <c r="IYA84"/>
      <c r="IYB84"/>
      <c r="IYC84"/>
      <c r="IYD84"/>
      <c r="IYE84"/>
      <c r="IYF84"/>
      <c r="IYG84"/>
      <c r="IYH84"/>
      <c r="IYI84"/>
      <c r="IYJ84"/>
      <c r="IYK84"/>
      <c r="IYL84"/>
      <c r="IYM84"/>
      <c r="IYN84"/>
      <c r="IYO84"/>
      <c r="IYP84"/>
      <c r="IYQ84"/>
      <c r="IYR84"/>
      <c r="IYS84"/>
      <c r="IYT84"/>
      <c r="IYU84"/>
      <c r="IYV84"/>
      <c r="IYW84"/>
      <c r="IYX84"/>
      <c r="IYY84"/>
      <c r="IYZ84"/>
      <c r="IZA84"/>
      <c r="IZB84"/>
      <c r="IZC84"/>
      <c r="IZD84"/>
      <c r="IZE84"/>
      <c r="IZF84"/>
      <c r="IZG84"/>
      <c r="IZH84"/>
      <c r="IZI84"/>
      <c r="IZJ84"/>
      <c r="IZK84"/>
      <c r="IZL84"/>
      <c r="IZM84"/>
      <c r="IZN84"/>
      <c r="IZO84"/>
      <c r="IZP84"/>
      <c r="IZQ84"/>
      <c r="IZR84"/>
      <c r="IZS84"/>
      <c r="IZT84"/>
      <c r="IZU84"/>
      <c r="IZV84"/>
      <c r="IZW84"/>
      <c r="IZX84"/>
      <c r="IZY84"/>
      <c r="IZZ84"/>
      <c r="JAA84"/>
      <c r="JAB84"/>
      <c r="JAC84"/>
      <c r="JAD84"/>
      <c r="JAE84"/>
      <c r="JAF84"/>
      <c r="JAG84"/>
      <c r="JAH84"/>
      <c r="JAI84"/>
      <c r="JAJ84"/>
      <c r="JAK84"/>
      <c r="JAL84"/>
      <c r="JAM84"/>
      <c r="JAN84"/>
      <c r="JAO84"/>
      <c r="JAP84"/>
      <c r="JAQ84"/>
      <c r="JAR84"/>
      <c r="JAS84"/>
      <c r="JAT84"/>
      <c r="JAU84"/>
      <c r="JAV84"/>
      <c r="JAW84"/>
      <c r="JAX84"/>
      <c r="JAY84"/>
      <c r="JAZ84"/>
      <c r="JBA84"/>
      <c r="JBB84"/>
      <c r="JBC84"/>
      <c r="JBD84"/>
      <c r="JBE84"/>
      <c r="JBF84"/>
      <c r="JBG84"/>
      <c r="JBH84"/>
      <c r="JBI84"/>
      <c r="JBJ84"/>
      <c r="JBK84"/>
      <c r="JBL84"/>
      <c r="JBM84"/>
      <c r="JBN84"/>
      <c r="JBO84"/>
      <c r="JBP84"/>
      <c r="JBQ84"/>
      <c r="JBR84"/>
      <c r="JBS84"/>
      <c r="JBT84"/>
      <c r="JBU84"/>
      <c r="JBV84"/>
      <c r="JBW84"/>
      <c r="JBX84"/>
      <c r="JBY84"/>
      <c r="JBZ84"/>
      <c r="JCA84"/>
      <c r="JCB84"/>
      <c r="JCC84"/>
      <c r="JCD84"/>
      <c r="JCE84"/>
      <c r="JCF84"/>
      <c r="JCG84"/>
      <c r="JCH84"/>
      <c r="JCI84"/>
      <c r="JCJ84"/>
      <c r="JCK84"/>
      <c r="JCL84"/>
      <c r="JCM84"/>
      <c r="JCN84"/>
      <c r="JCO84"/>
      <c r="JCP84"/>
      <c r="JCQ84"/>
      <c r="JCR84"/>
      <c r="JCS84"/>
      <c r="JCT84"/>
      <c r="JCU84"/>
      <c r="JCV84"/>
      <c r="JCW84"/>
      <c r="JCX84"/>
      <c r="JCY84"/>
      <c r="JCZ84"/>
      <c r="JDA84"/>
      <c r="JDB84"/>
      <c r="JDC84"/>
      <c r="JDD84"/>
      <c r="JDE84"/>
      <c r="JDF84"/>
      <c r="JDG84"/>
      <c r="JDH84"/>
      <c r="JDI84"/>
      <c r="JDJ84"/>
      <c r="JDK84"/>
      <c r="JDL84"/>
      <c r="JDM84"/>
      <c r="JDN84"/>
      <c r="JDO84"/>
      <c r="JDP84"/>
      <c r="JDQ84"/>
      <c r="JDR84"/>
      <c r="JDS84"/>
      <c r="JDT84"/>
      <c r="JDU84"/>
      <c r="JDV84"/>
      <c r="JDW84"/>
      <c r="JDX84"/>
      <c r="JDY84"/>
      <c r="JDZ84"/>
      <c r="JEA84"/>
      <c r="JEB84"/>
      <c r="JEC84"/>
      <c r="JED84"/>
      <c r="JEE84"/>
      <c r="JEF84"/>
      <c r="JEG84"/>
      <c r="JEH84"/>
      <c r="JEI84"/>
      <c r="JEJ84"/>
      <c r="JEK84"/>
      <c r="JEL84"/>
      <c r="JEM84"/>
      <c r="JEN84"/>
      <c r="JEO84"/>
      <c r="JEP84"/>
      <c r="JEQ84"/>
      <c r="JER84"/>
      <c r="JES84"/>
      <c r="JET84"/>
      <c r="JEU84"/>
      <c r="JEV84"/>
      <c r="JEW84"/>
      <c r="JEX84"/>
      <c r="JEY84"/>
      <c r="JEZ84"/>
      <c r="JFA84"/>
      <c r="JFB84"/>
      <c r="JFC84"/>
      <c r="JFD84"/>
      <c r="JFE84"/>
      <c r="JFF84"/>
      <c r="JFG84"/>
      <c r="JFH84"/>
      <c r="JFI84"/>
      <c r="JFJ84"/>
      <c r="JFK84"/>
      <c r="JFL84"/>
      <c r="JFM84"/>
      <c r="JFN84"/>
      <c r="JFO84"/>
      <c r="JFP84"/>
      <c r="JFQ84"/>
      <c r="JFR84"/>
      <c r="JFS84"/>
      <c r="JFT84"/>
      <c r="JFU84"/>
      <c r="JFV84"/>
      <c r="JFW84"/>
      <c r="JFX84"/>
      <c r="JFY84"/>
      <c r="JFZ84"/>
      <c r="JGA84"/>
      <c r="JGB84"/>
      <c r="JGC84"/>
      <c r="JGD84"/>
      <c r="JGE84"/>
      <c r="JGF84"/>
      <c r="JGG84"/>
      <c r="JGH84"/>
      <c r="JGI84"/>
      <c r="JGJ84"/>
      <c r="JGK84"/>
      <c r="JGL84"/>
      <c r="JGM84"/>
      <c r="JGN84"/>
      <c r="JGO84"/>
      <c r="JGP84"/>
      <c r="JGQ84"/>
      <c r="JGR84"/>
      <c r="JGS84"/>
      <c r="JGT84"/>
      <c r="JGU84"/>
      <c r="JGV84"/>
      <c r="JGW84"/>
      <c r="JGX84"/>
      <c r="JGY84"/>
      <c r="JGZ84"/>
      <c r="JHA84"/>
      <c r="JHB84"/>
      <c r="JHC84"/>
      <c r="JHD84"/>
      <c r="JHE84"/>
      <c r="JHF84"/>
      <c r="JHG84"/>
      <c r="JHH84"/>
      <c r="JHI84"/>
      <c r="JHJ84"/>
      <c r="JHK84"/>
      <c r="JHL84"/>
      <c r="JHM84"/>
      <c r="JHN84"/>
      <c r="JHO84"/>
      <c r="JHP84"/>
      <c r="JHQ84"/>
      <c r="JHR84"/>
      <c r="JHS84"/>
      <c r="JHT84"/>
      <c r="JHU84"/>
      <c r="JHV84"/>
      <c r="JHW84"/>
      <c r="JHX84"/>
      <c r="JHY84"/>
      <c r="JHZ84"/>
      <c r="JIA84"/>
      <c r="JIB84"/>
      <c r="JIC84"/>
      <c r="JID84"/>
      <c r="JIE84"/>
      <c r="JIF84"/>
      <c r="JIG84"/>
      <c r="JIH84"/>
      <c r="JII84"/>
      <c r="JIJ84"/>
      <c r="JIK84"/>
      <c r="JIL84"/>
      <c r="JIM84"/>
      <c r="JIN84"/>
      <c r="JIO84"/>
      <c r="JIP84"/>
      <c r="JIQ84"/>
      <c r="JIR84"/>
      <c r="JIS84"/>
      <c r="JIT84"/>
      <c r="JIU84"/>
      <c r="JIV84"/>
      <c r="JIW84"/>
      <c r="JIX84"/>
      <c r="JIY84"/>
      <c r="JIZ84"/>
      <c r="JJA84"/>
      <c r="JJB84"/>
      <c r="JJC84"/>
      <c r="JJD84"/>
      <c r="JJE84"/>
      <c r="JJF84"/>
      <c r="JJG84"/>
      <c r="JJH84"/>
      <c r="JJI84"/>
      <c r="JJJ84"/>
      <c r="JJK84"/>
      <c r="JJL84"/>
      <c r="JJM84"/>
      <c r="JJN84"/>
      <c r="JJO84"/>
      <c r="JJP84"/>
      <c r="JJQ84"/>
      <c r="JJR84"/>
      <c r="JJS84"/>
      <c r="JJT84"/>
      <c r="JJU84"/>
      <c r="JJV84"/>
      <c r="JJW84"/>
      <c r="JJX84"/>
      <c r="JJY84"/>
      <c r="JJZ84"/>
      <c r="JKA84"/>
      <c r="JKB84"/>
      <c r="JKC84"/>
      <c r="JKD84"/>
      <c r="JKE84"/>
      <c r="JKF84"/>
      <c r="JKG84"/>
      <c r="JKH84"/>
      <c r="JKI84"/>
      <c r="JKJ84"/>
      <c r="JKK84"/>
      <c r="JKL84"/>
      <c r="JKM84"/>
      <c r="JKN84"/>
      <c r="JKO84"/>
      <c r="JKP84"/>
      <c r="JKQ84"/>
      <c r="JKR84"/>
      <c r="JKS84"/>
      <c r="JKT84"/>
      <c r="JKU84"/>
      <c r="JKV84"/>
      <c r="JKW84"/>
      <c r="JKX84"/>
      <c r="JKY84"/>
      <c r="JKZ84"/>
      <c r="JLA84"/>
      <c r="JLB84"/>
      <c r="JLC84"/>
      <c r="JLD84"/>
      <c r="JLE84"/>
      <c r="JLF84"/>
      <c r="JLG84"/>
      <c r="JLH84"/>
      <c r="JLI84"/>
      <c r="JLJ84"/>
      <c r="JLK84"/>
      <c r="JLL84"/>
      <c r="JLM84"/>
      <c r="JLN84"/>
      <c r="JLO84"/>
      <c r="JLP84"/>
      <c r="JLQ84"/>
      <c r="JLR84"/>
      <c r="JLS84"/>
      <c r="JLT84"/>
      <c r="JLU84"/>
      <c r="JLV84"/>
      <c r="JLW84"/>
      <c r="JLX84"/>
      <c r="JLY84"/>
      <c r="JLZ84"/>
      <c r="JMA84"/>
      <c r="JMB84"/>
      <c r="JMC84"/>
      <c r="JMD84"/>
      <c r="JME84"/>
      <c r="JMF84"/>
      <c r="JMG84"/>
      <c r="JMH84"/>
      <c r="JMI84"/>
      <c r="JMJ84"/>
      <c r="JMK84"/>
      <c r="JML84"/>
      <c r="JMM84"/>
      <c r="JMN84"/>
      <c r="JMO84"/>
      <c r="JMP84"/>
      <c r="JMQ84"/>
      <c r="JMR84"/>
      <c r="JMS84"/>
      <c r="JMT84"/>
      <c r="JMU84"/>
      <c r="JMV84"/>
      <c r="JMW84"/>
      <c r="JMX84"/>
      <c r="JMY84"/>
      <c r="JMZ84"/>
      <c r="JNA84"/>
      <c r="JNB84"/>
      <c r="JNC84"/>
      <c r="JND84"/>
      <c r="JNE84"/>
      <c r="JNF84"/>
      <c r="JNG84"/>
      <c r="JNH84"/>
      <c r="JNI84"/>
      <c r="JNJ84"/>
      <c r="JNK84"/>
      <c r="JNL84"/>
      <c r="JNM84"/>
      <c r="JNN84"/>
      <c r="JNO84"/>
      <c r="JNP84"/>
      <c r="JNQ84"/>
      <c r="JNR84"/>
      <c r="JNS84"/>
      <c r="JNT84"/>
      <c r="JNU84"/>
      <c r="JNV84"/>
      <c r="JNW84"/>
      <c r="JNX84"/>
      <c r="JNY84"/>
      <c r="JNZ84"/>
      <c r="JOA84"/>
      <c r="JOB84"/>
      <c r="JOC84"/>
      <c r="JOD84"/>
      <c r="JOE84"/>
      <c r="JOF84"/>
      <c r="JOG84"/>
      <c r="JOH84"/>
      <c r="JOI84"/>
      <c r="JOJ84"/>
      <c r="JOK84"/>
      <c r="JOL84"/>
      <c r="JOM84"/>
      <c r="JON84"/>
      <c r="JOO84"/>
      <c r="JOP84"/>
      <c r="JOQ84"/>
      <c r="JOR84"/>
      <c r="JOS84"/>
      <c r="JOT84"/>
      <c r="JOU84"/>
      <c r="JOV84"/>
      <c r="JOW84"/>
      <c r="JOX84"/>
      <c r="JOY84"/>
      <c r="JOZ84"/>
      <c r="JPA84"/>
      <c r="JPB84"/>
      <c r="JPC84"/>
      <c r="JPD84"/>
      <c r="JPE84"/>
      <c r="JPF84"/>
      <c r="JPG84"/>
      <c r="JPH84"/>
      <c r="JPI84"/>
      <c r="JPJ84"/>
      <c r="JPK84"/>
      <c r="JPL84"/>
      <c r="JPM84"/>
      <c r="JPN84"/>
      <c r="JPO84"/>
      <c r="JPP84"/>
      <c r="JPQ84"/>
      <c r="JPR84"/>
      <c r="JPS84"/>
      <c r="JPT84"/>
      <c r="JPU84"/>
      <c r="JPV84"/>
      <c r="JPW84"/>
      <c r="JPX84"/>
      <c r="JPY84"/>
      <c r="JPZ84"/>
      <c r="JQA84"/>
      <c r="JQB84"/>
      <c r="JQC84"/>
      <c r="JQD84"/>
      <c r="JQE84"/>
      <c r="JQF84"/>
      <c r="JQG84"/>
      <c r="JQH84"/>
      <c r="JQI84"/>
      <c r="JQJ84"/>
      <c r="JQK84"/>
      <c r="JQL84"/>
      <c r="JQM84"/>
      <c r="JQN84"/>
      <c r="JQO84"/>
      <c r="JQP84"/>
      <c r="JQQ84"/>
      <c r="JQR84"/>
      <c r="JQS84"/>
      <c r="JQT84"/>
      <c r="JQU84"/>
      <c r="JQV84"/>
      <c r="JQW84"/>
      <c r="JQX84"/>
      <c r="JQY84"/>
      <c r="JQZ84"/>
      <c r="JRA84"/>
      <c r="JRB84"/>
      <c r="JRC84"/>
      <c r="JRD84"/>
      <c r="JRE84"/>
      <c r="JRF84"/>
      <c r="JRG84"/>
      <c r="JRH84"/>
      <c r="JRI84"/>
      <c r="JRJ84"/>
      <c r="JRK84"/>
      <c r="JRL84"/>
      <c r="JRM84"/>
      <c r="JRN84"/>
      <c r="JRO84"/>
      <c r="JRP84"/>
      <c r="JRQ84"/>
      <c r="JRR84"/>
      <c r="JRS84"/>
      <c r="JRT84"/>
      <c r="JRU84"/>
      <c r="JRV84"/>
      <c r="JRW84"/>
      <c r="JRX84"/>
      <c r="JRY84"/>
      <c r="JRZ84"/>
      <c r="JSA84"/>
      <c r="JSB84"/>
      <c r="JSC84"/>
      <c r="JSD84"/>
      <c r="JSE84"/>
      <c r="JSF84"/>
      <c r="JSG84"/>
      <c r="JSH84"/>
      <c r="JSI84"/>
      <c r="JSJ84"/>
      <c r="JSK84"/>
      <c r="JSL84"/>
      <c r="JSM84"/>
      <c r="JSN84"/>
      <c r="JSO84"/>
      <c r="JSP84"/>
      <c r="JSQ84"/>
      <c r="JSR84"/>
      <c r="JSS84"/>
      <c r="JST84"/>
      <c r="JSU84"/>
      <c r="JSV84"/>
      <c r="JSW84"/>
      <c r="JSX84"/>
      <c r="JSY84"/>
      <c r="JSZ84"/>
      <c r="JTA84"/>
      <c r="JTB84"/>
      <c r="JTC84"/>
      <c r="JTD84"/>
      <c r="JTE84"/>
      <c r="JTF84"/>
      <c r="JTG84"/>
      <c r="JTH84"/>
      <c r="JTI84"/>
      <c r="JTJ84"/>
      <c r="JTK84"/>
      <c r="JTL84"/>
      <c r="JTM84"/>
      <c r="JTN84"/>
      <c r="JTO84"/>
      <c r="JTP84"/>
      <c r="JTQ84"/>
      <c r="JTR84"/>
      <c r="JTS84"/>
      <c r="JTT84"/>
      <c r="JTU84"/>
      <c r="JTV84"/>
      <c r="JTW84"/>
      <c r="JTX84"/>
      <c r="JTY84"/>
      <c r="JTZ84"/>
      <c r="JUA84"/>
      <c r="JUB84"/>
      <c r="JUC84"/>
      <c r="JUD84"/>
      <c r="JUE84"/>
      <c r="JUF84"/>
      <c r="JUG84"/>
      <c r="JUH84"/>
      <c r="JUI84"/>
      <c r="JUJ84"/>
      <c r="JUK84"/>
      <c r="JUL84"/>
      <c r="JUM84"/>
      <c r="JUN84"/>
      <c r="JUO84"/>
      <c r="JUP84"/>
      <c r="JUQ84"/>
      <c r="JUR84"/>
      <c r="JUS84"/>
      <c r="JUT84"/>
      <c r="JUU84"/>
      <c r="JUV84"/>
      <c r="JUW84"/>
      <c r="JUX84"/>
      <c r="JUY84"/>
      <c r="JUZ84"/>
      <c r="JVA84"/>
      <c r="JVB84"/>
      <c r="JVC84"/>
      <c r="JVD84"/>
      <c r="JVE84"/>
      <c r="JVF84"/>
      <c r="JVG84"/>
      <c r="JVH84"/>
      <c r="JVI84"/>
      <c r="JVJ84"/>
      <c r="JVK84"/>
      <c r="JVL84"/>
      <c r="JVM84"/>
      <c r="JVN84"/>
      <c r="JVO84"/>
      <c r="JVP84"/>
      <c r="JVQ84"/>
      <c r="JVR84"/>
      <c r="JVS84"/>
      <c r="JVT84"/>
      <c r="JVU84"/>
      <c r="JVV84"/>
      <c r="JVW84"/>
      <c r="JVX84"/>
      <c r="JVY84"/>
      <c r="JVZ84"/>
      <c r="JWA84"/>
      <c r="JWB84"/>
      <c r="JWC84"/>
      <c r="JWD84"/>
      <c r="JWE84"/>
      <c r="JWF84"/>
      <c r="JWG84"/>
      <c r="JWH84"/>
      <c r="JWI84"/>
      <c r="JWJ84"/>
      <c r="JWK84"/>
      <c r="JWL84"/>
      <c r="JWM84"/>
      <c r="JWN84"/>
      <c r="JWO84"/>
      <c r="JWP84"/>
      <c r="JWQ84"/>
      <c r="JWR84"/>
      <c r="JWS84"/>
      <c r="JWT84"/>
      <c r="JWU84"/>
      <c r="JWV84"/>
      <c r="JWW84"/>
      <c r="JWX84"/>
      <c r="JWY84"/>
      <c r="JWZ84"/>
      <c r="JXA84"/>
      <c r="JXB84"/>
      <c r="JXC84"/>
      <c r="JXD84"/>
      <c r="JXE84"/>
      <c r="JXF84"/>
      <c r="JXG84"/>
      <c r="JXH84"/>
      <c r="JXI84"/>
      <c r="JXJ84"/>
      <c r="JXK84"/>
      <c r="JXL84"/>
      <c r="JXM84"/>
      <c r="JXN84"/>
      <c r="JXO84"/>
      <c r="JXP84"/>
      <c r="JXQ84"/>
      <c r="JXR84"/>
      <c r="JXS84"/>
      <c r="JXT84"/>
      <c r="JXU84"/>
      <c r="JXV84"/>
      <c r="JXW84"/>
      <c r="JXX84"/>
      <c r="JXY84"/>
      <c r="JXZ84"/>
      <c r="JYA84"/>
      <c r="JYB84"/>
      <c r="JYC84"/>
      <c r="JYD84"/>
      <c r="JYE84"/>
      <c r="JYF84"/>
      <c r="JYG84"/>
      <c r="JYH84"/>
      <c r="JYI84"/>
      <c r="JYJ84"/>
      <c r="JYK84"/>
      <c r="JYL84"/>
      <c r="JYM84"/>
      <c r="JYN84"/>
      <c r="JYO84"/>
      <c r="JYP84"/>
      <c r="JYQ84"/>
      <c r="JYR84"/>
      <c r="JYS84"/>
      <c r="JYT84"/>
      <c r="JYU84"/>
      <c r="JYV84"/>
      <c r="JYW84"/>
      <c r="JYX84"/>
      <c r="JYY84"/>
      <c r="JYZ84"/>
      <c r="JZA84"/>
      <c r="JZB84"/>
      <c r="JZC84"/>
      <c r="JZD84"/>
      <c r="JZE84"/>
      <c r="JZF84"/>
      <c r="JZG84"/>
      <c r="JZH84"/>
      <c r="JZI84"/>
      <c r="JZJ84"/>
      <c r="JZK84"/>
      <c r="JZL84"/>
      <c r="JZM84"/>
      <c r="JZN84"/>
      <c r="JZO84"/>
      <c r="JZP84"/>
      <c r="JZQ84"/>
      <c r="JZR84"/>
      <c r="JZS84"/>
      <c r="JZT84"/>
      <c r="JZU84"/>
      <c r="JZV84"/>
      <c r="JZW84"/>
      <c r="JZX84"/>
      <c r="JZY84"/>
      <c r="JZZ84"/>
      <c r="KAA84"/>
      <c r="KAB84"/>
      <c r="KAC84"/>
      <c r="KAD84"/>
      <c r="KAE84"/>
      <c r="KAF84"/>
      <c r="KAG84"/>
      <c r="KAH84"/>
      <c r="KAI84"/>
      <c r="KAJ84"/>
      <c r="KAK84"/>
      <c r="KAL84"/>
      <c r="KAM84"/>
      <c r="KAN84"/>
      <c r="KAO84"/>
      <c r="KAP84"/>
      <c r="KAQ84"/>
      <c r="KAR84"/>
      <c r="KAS84"/>
      <c r="KAT84"/>
      <c r="KAU84"/>
      <c r="KAV84"/>
      <c r="KAW84"/>
      <c r="KAX84"/>
      <c r="KAY84"/>
      <c r="KAZ84"/>
      <c r="KBA84"/>
      <c r="KBB84"/>
      <c r="KBC84"/>
      <c r="KBD84"/>
      <c r="KBE84"/>
      <c r="KBF84"/>
      <c r="KBG84"/>
      <c r="KBH84"/>
      <c r="KBI84"/>
      <c r="KBJ84"/>
      <c r="KBK84"/>
      <c r="KBL84"/>
      <c r="KBM84"/>
      <c r="KBN84"/>
      <c r="KBO84"/>
      <c r="KBP84"/>
      <c r="KBQ84"/>
      <c r="KBR84"/>
      <c r="KBS84"/>
      <c r="KBT84"/>
      <c r="KBU84"/>
      <c r="KBV84"/>
      <c r="KBW84"/>
      <c r="KBX84"/>
      <c r="KBY84"/>
      <c r="KBZ84"/>
      <c r="KCA84"/>
      <c r="KCB84"/>
      <c r="KCC84"/>
      <c r="KCD84"/>
      <c r="KCE84"/>
      <c r="KCF84"/>
      <c r="KCG84"/>
      <c r="KCH84"/>
      <c r="KCI84"/>
      <c r="KCJ84"/>
      <c r="KCK84"/>
      <c r="KCL84"/>
      <c r="KCM84"/>
      <c r="KCN84"/>
      <c r="KCO84"/>
      <c r="KCP84"/>
      <c r="KCQ84"/>
      <c r="KCR84"/>
      <c r="KCS84"/>
      <c r="KCT84"/>
      <c r="KCU84"/>
      <c r="KCV84"/>
      <c r="KCW84"/>
      <c r="KCX84"/>
      <c r="KCY84"/>
      <c r="KCZ84"/>
      <c r="KDA84"/>
      <c r="KDB84"/>
      <c r="KDC84"/>
      <c r="KDD84"/>
      <c r="KDE84"/>
      <c r="KDF84"/>
      <c r="KDG84"/>
      <c r="KDH84"/>
      <c r="KDI84"/>
      <c r="KDJ84"/>
      <c r="KDK84"/>
      <c r="KDL84"/>
      <c r="KDM84"/>
      <c r="KDN84"/>
      <c r="KDO84"/>
      <c r="KDP84"/>
      <c r="KDQ84"/>
      <c r="KDR84"/>
      <c r="KDS84"/>
      <c r="KDT84"/>
      <c r="KDU84"/>
      <c r="KDV84"/>
      <c r="KDW84"/>
      <c r="KDX84"/>
      <c r="KDY84"/>
      <c r="KDZ84"/>
      <c r="KEA84"/>
      <c r="KEB84"/>
      <c r="KEC84"/>
      <c r="KED84"/>
      <c r="KEE84"/>
      <c r="KEF84"/>
      <c r="KEG84"/>
      <c r="KEH84"/>
      <c r="KEI84"/>
      <c r="KEJ84"/>
      <c r="KEK84"/>
      <c r="KEL84"/>
      <c r="KEM84"/>
      <c r="KEN84"/>
      <c r="KEO84"/>
      <c r="KEP84"/>
      <c r="KEQ84"/>
      <c r="KER84"/>
      <c r="KES84"/>
      <c r="KET84"/>
      <c r="KEU84"/>
      <c r="KEV84"/>
      <c r="KEW84"/>
      <c r="KEX84"/>
      <c r="KEY84"/>
      <c r="KEZ84"/>
      <c r="KFA84"/>
      <c r="KFB84"/>
      <c r="KFC84"/>
      <c r="KFD84"/>
      <c r="KFE84"/>
      <c r="KFF84"/>
      <c r="KFG84"/>
      <c r="KFH84"/>
      <c r="KFI84"/>
      <c r="KFJ84"/>
      <c r="KFK84"/>
      <c r="KFL84"/>
      <c r="KFM84"/>
      <c r="KFN84"/>
      <c r="KFO84"/>
      <c r="KFP84"/>
      <c r="KFQ84"/>
      <c r="KFR84"/>
      <c r="KFS84"/>
      <c r="KFT84"/>
      <c r="KFU84"/>
      <c r="KFV84"/>
      <c r="KFW84"/>
      <c r="KFX84"/>
      <c r="KFY84"/>
      <c r="KFZ84"/>
      <c r="KGA84"/>
      <c r="KGB84"/>
      <c r="KGC84"/>
      <c r="KGD84"/>
      <c r="KGE84"/>
      <c r="KGF84"/>
      <c r="KGG84"/>
      <c r="KGH84"/>
      <c r="KGI84"/>
      <c r="KGJ84"/>
      <c r="KGK84"/>
      <c r="KGL84"/>
      <c r="KGM84"/>
      <c r="KGN84"/>
      <c r="KGO84"/>
      <c r="KGP84"/>
      <c r="KGQ84"/>
      <c r="KGR84"/>
      <c r="KGS84"/>
      <c r="KGT84"/>
      <c r="KGU84"/>
      <c r="KGV84"/>
      <c r="KGW84"/>
      <c r="KGX84"/>
      <c r="KGY84"/>
      <c r="KGZ84"/>
      <c r="KHA84"/>
      <c r="KHB84"/>
      <c r="KHC84"/>
      <c r="KHD84"/>
      <c r="KHE84"/>
      <c r="KHF84"/>
      <c r="KHG84"/>
      <c r="KHH84"/>
      <c r="KHI84"/>
      <c r="KHJ84"/>
      <c r="KHK84"/>
      <c r="KHL84"/>
      <c r="KHM84"/>
      <c r="KHN84"/>
      <c r="KHO84"/>
      <c r="KHP84"/>
      <c r="KHQ84"/>
      <c r="KHR84"/>
      <c r="KHS84"/>
      <c r="KHT84"/>
      <c r="KHU84"/>
      <c r="KHV84"/>
      <c r="KHW84"/>
      <c r="KHX84"/>
      <c r="KHY84"/>
      <c r="KHZ84"/>
      <c r="KIA84"/>
      <c r="KIB84"/>
      <c r="KIC84"/>
      <c r="KID84"/>
      <c r="KIE84"/>
      <c r="KIF84"/>
      <c r="KIG84"/>
      <c r="KIH84"/>
      <c r="KII84"/>
      <c r="KIJ84"/>
      <c r="KIK84"/>
      <c r="KIL84"/>
      <c r="KIM84"/>
      <c r="KIN84"/>
      <c r="KIO84"/>
      <c r="KIP84"/>
      <c r="KIQ84"/>
      <c r="KIR84"/>
      <c r="KIS84"/>
      <c r="KIT84"/>
      <c r="KIU84"/>
      <c r="KIV84"/>
      <c r="KIW84"/>
      <c r="KIX84"/>
      <c r="KIY84"/>
      <c r="KIZ84"/>
      <c r="KJA84"/>
      <c r="KJB84"/>
      <c r="KJC84"/>
      <c r="KJD84"/>
      <c r="KJE84"/>
      <c r="KJF84"/>
      <c r="KJG84"/>
      <c r="KJH84"/>
      <c r="KJI84"/>
      <c r="KJJ84"/>
      <c r="KJK84"/>
      <c r="KJL84"/>
      <c r="KJM84"/>
      <c r="KJN84"/>
      <c r="KJO84"/>
      <c r="KJP84"/>
      <c r="KJQ84"/>
      <c r="KJR84"/>
      <c r="KJS84"/>
      <c r="KJT84"/>
      <c r="KJU84"/>
      <c r="KJV84"/>
      <c r="KJW84"/>
      <c r="KJX84"/>
      <c r="KJY84"/>
      <c r="KJZ84"/>
      <c r="KKA84"/>
      <c r="KKB84"/>
      <c r="KKC84"/>
      <c r="KKD84"/>
      <c r="KKE84"/>
      <c r="KKF84"/>
      <c r="KKG84"/>
      <c r="KKH84"/>
      <c r="KKI84"/>
      <c r="KKJ84"/>
      <c r="KKK84"/>
      <c r="KKL84"/>
      <c r="KKM84"/>
      <c r="KKN84"/>
      <c r="KKO84"/>
      <c r="KKP84"/>
      <c r="KKQ84"/>
      <c r="KKR84"/>
      <c r="KKS84"/>
      <c r="KKT84"/>
      <c r="KKU84"/>
      <c r="KKV84"/>
      <c r="KKW84"/>
      <c r="KKX84"/>
      <c r="KKY84"/>
      <c r="KKZ84"/>
      <c r="KLA84"/>
      <c r="KLB84"/>
      <c r="KLC84"/>
      <c r="KLD84"/>
      <c r="KLE84"/>
      <c r="KLF84"/>
      <c r="KLG84"/>
      <c r="KLH84"/>
      <c r="KLI84"/>
      <c r="KLJ84"/>
      <c r="KLK84"/>
      <c r="KLL84"/>
      <c r="KLM84"/>
      <c r="KLN84"/>
      <c r="KLO84"/>
      <c r="KLP84"/>
      <c r="KLQ84"/>
      <c r="KLR84"/>
      <c r="KLS84"/>
      <c r="KLT84"/>
      <c r="KLU84"/>
      <c r="KLV84"/>
      <c r="KLW84"/>
      <c r="KLX84"/>
      <c r="KLY84"/>
      <c r="KLZ84"/>
      <c r="KMA84"/>
      <c r="KMB84"/>
      <c r="KMC84"/>
      <c r="KMD84"/>
      <c r="KME84"/>
      <c r="KMF84"/>
      <c r="KMG84"/>
      <c r="KMH84"/>
      <c r="KMI84"/>
      <c r="KMJ84"/>
      <c r="KMK84"/>
      <c r="KML84"/>
      <c r="KMM84"/>
      <c r="KMN84"/>
      <c r="KMO84"/>
      <c r="KMP84"/>
      <c r="KMQ84"/>
      <c r="KMR84"/>
      <c r="KMS84"/>
      <c r="KMT84"/>
      <c r="KMU84"/>
      <c r="KMV84"/>
      <c r="KMW84"/>
      <c r="KMX84"/>
      <c r="KMY84"/>
      <c r="KMZ84"/>
      <c r="KNA84"/>
      <c r="KNB84"/>
      <c r="KNC84"/>
      <c r="KND84"/>
      <c r="KNE84"/>
      <c r="KNF84"/>
      <c r="KNG84"/>
      <c r="KNH84"/>
      <c r="KNI84"/>
      <c r="KNJ84"/>
      <c r="KNK84"/>
      <c r="KNL84"/>
      <c r="KNM84"/>
      <c r="KNN84"/>
      <c r="KNO84"/>
      <c r="KNP84"/>
      <c r="KNQ84"/>
      <c r="KNR84"/>
      <c r="KNS84"/>
      <c r="KNT84"/>
      <c r="KNU84"/>
      <c r="KNV84"/>
      <c r="KNW84"/>
      <c r="KNX84"/>
      <c r="KNY84"/>
      <c r="KNZ84"/>
      <c r="KOA84"/>
      <c r="KOB84"/>
      <c r="KOC84"/>
      <c r="KOD84"/>
      <c r="KOE84"/>
      <c r="KOF84"/>
      <c r="KOG84"/>
      <c r="KOH84"/>
      <c r="KOI84"/>
      <c r="KOJ84"/>
      <c r="KOK84"/>
      <c r="KOL84"/>
      <c r="KOM84"/>
      <c r="KON84"/>
      <c r="KOO84"/>
      <c r="KOP84"/>
      <c r="KOQ84"/>
      <c r="KOR84"/>
      <c r="KOS84"/>
      <c r="KOT84"/>
      <c r="KOU84"/>
      <c r="KOV84"/>
      <c r="KOW84"/>
      <c r="KOX84"/>
      <c r="KOY84"/>
      <c r="KOZ84"/>
      <c r="KPA84"/>
      <c r="KPB84"/>
      <c r="KPC84"/>
      <c r="KPD84"/>
      <c r="KPE84"/>
      <c r="KPF84"/>
      <c r="KPG84"/>
      <c r="KPH84"/>
      <c r="KPI84"/>
      <c r="KPJ84"/>
      <c r="KPK84"/>
      <c r="KPL84"/>
      <c r="KPM84"/>
      <c r="KPN84"/>
      <c r="KPO84"/>
      <c r="KPP84"/>
      <c r="KPQ84"/>
      <c r="KPR84"/>
      <c r="KPS84"/>
      <c r="KPT84"/>
      <c r="KPU84"/>
      <c r="KPV84"/>
      <c r="KPW84"/>
      <c r="KPX84"/>
      <c r="KPY84"/>
      <c r="KPZ84"/>
      <c r="KQA84"/>
      <c r="KQB84"/>
      <c r="KQC84"/>
      <c r="KQD84"/>
      <c r="KQE84"/>
      <c r="KQF84"/>
      <c r="KQG84"/>
      <c r="KQH84"/>
      <c r="KQI84"/>
      <c r="KQJ84"/>
      <c r="KQK84"/>
      <c r="KQL84"/>
      <c r="KQM84"/>
      <c r="KQN84"/>
      <c r="KQO84"/>
      <c r="KQP84"/>
      <c r="KQQ84"/>
      <c r="KQR84"/>
      <c r="KQS84"/>
      <c r="KQT84"/>
      <c r="KQU84"/>
      <c r="KQV84"/>
      <c r="KQW84"/>
      <c r="KQX84"/>
      <c r="KQY84"/>
      <c r="KQZ84"/>
      <c r="KRA84"/>
      <c r="KRB84"/>
      <c r="KRC84"/>
      <c r="KRD84"/>
      <c r="KRE84"/>
      <c r="KRF84"/>
      <c r="KRG84"/>
      <c r="KRH84"/>
      <c r="KRI84"/>
      <c r="KRJ84"/>
      <c r="KRK84"/>
      <c r="KRL84"/>
      <c r="KRM84"/>
      <c r="KRN84"/>
      <c r="KRO84"/>
      <c r="KRP84"/>
      <c r="KRQ84"/>
      <c r="KRR84"/>
      <c r="KRS84"/>
      <c r="KRT84"/>
      <c r="KRU84"/>
      <c r="KRV84"/>
      <c r="KRW84"/>
      <c r="KRX84"/>
      <c r="KRY84"/>
      <c r="KRZ84"/>
      <c r="KSA84"/>
      <c r="KSB84"/>
      <c r="KSC84"/>
      <c r="KSD84"/>
      <c r="KSE84"/>
      <c r="KSF84"/>
      <c r="KSG84"/>
      <c r="KSH84"/>
      <c r="KSI84"/>
      <c r="KSJ84"/>
      <c r="KSK84"/>
      <c r="KSL84"/>
      <c r="KSM84"/>
      <c r="KSN84"/>
      <c r="KSO84"/>
      <c r="KSP84"/>
      <c r="KSQ84"/>
      <c r="KSR84"/>
      <c r="KSS84"/>
      <c r="KST84"/>
      <c r="KSU84"/>
      <c r="KSV84"/>
      <c r="KSW84"/>
      <c r="KSX84"/>
      <c r="KSY84"/>
      <c r="KSZ84"/>
      <c r="KTA84"/>
      <c r="KTB84"/>
      <c r="KTC84"/>
      <c r="KTD84"/>
      <c r="KTE84"/>
      <c r="KTF84"/>
      <c r="KTG84"/>
      <c r="KTH84"/>
      <c r="KTI84"/>
      <c r="KTJ84"/>
      <c r="KTK84"/>
      <c r="KTL84"/>
      <c r="KTM84"/>
      <c r="KTN84"/>
      <c r="KTO84"/>
      <c r="KTP84"/>
      <c r="KTQ84"/>
      <c r="KTR84"/>
      <c r="KTS84"/>
      <c r="KTT84"/>
      <c r="KTU84"/>
      <c r="KTV84"/>
      <c r="KTW84"/>
      <c r="KTX84"/>
      <c r="KTY84"/>
      <c r="KTZ84"/>
      <c r="KUA84"/>
      <c r="KUB84"/>
      <c r="KUC84"/>
      <c r="KUD84"/>
      <c r="KUE84"/>
      <c r="KUF84"/>
      <c r="KUG84"/>
      <c r="KUH84"/>
      <c r="KUI84"/>
      <c r="KUJ84"/>
      <c r="KUK84"/>
      <c r="KUL84"/>
      <c r="KUM84"/>
      <c r="KUN84"/>
      <c r="KUO84"/>
      <c r="KUP84"/>
      <c r="KUQ84"/>
      <c r="KUR84"/>
      <c r="KUS84"/>
      <c r="KUT84"/>
      <c r="KUU84"/>
      <c r="KUV84"/>
      <c r="KUW84"/>
      <c r="KUX84"/>
      <c r="KUY84"/>
      <c r="KUZ84"/>
      <c r="KVA84"/>
      <c r="KVB84"/>
      <c r="KVC84"/>
      <c r="KVD84"/>
      <c r="KVE84"/>
      <c r="KVF84"/>
      <c r="KVG84"/>
      <c r="KVH84"/>
      <c r="KVI84"/>
      <c r="KVJ84"/>
      <c r="KVK84"/>
      <c r="KVL84"/>
      <c r="KVM84"/>
      <c r="KVN84"/>
      <c r="KVO84"/>
      <c r="KVP84"/>
      <c r="KVQ84"/>
      <c r="KVR84"/>
      <c r="KVS84"/>
      <c r="KVT84"/>
      <c r="KVU84"/>
      <c r="KVV84"/>
      <c r="KVW84"/>
      <c r="KVX84"/>
      <c r="KVY84"/>
      <c r="KVZ84"/>
      <c r="KWA84"/>
      <c r="KWB84"/>
      <c r="KWC84"/>
      <c r="KWD84"/>
      <c r="KWE84"/>
      <c r="KWF84"/>
      <c r="KWG84"/>
      <c r="KWH84"/>
      <c r="KWI84"/>
      <c r="KWJ84"/>
      <c r="KWK84"/>
      <c r="KWL84"/>
      <c r="KWM84"/>
      <c r="KWN84"/>
      <c r="KWO84"/>
      <c r="KWP84"/>
      <c r="KWQ84"/>
      <c r="KWR84"/>
      <c r="KWS84"/>
      <c r="KWT84"/>
      <c r="KWU84"/>
      <c r="KWV84"/>
      <c r="KWW84"/>
      <c r="KWX84"/>
      <c r="KWY84"/>
      <c r="KWZ84"/>
      <c r="KXA84"/>
      <c r="KXB84"/>
      <c r="KXC84"/>
      <c r="KXD84"/>
      <c r="KXE84"/>
      <c r="KXF84"/>
      <c r="KXG84"/>
      <c r="KXH84"/>
      <c r="KXI84"/>
      <c r="KXJ84"/>
      <c r="KXK84"/>
      <c r="KXL84"/>
      <c r="KXM84"/>
      <c r="KXN84"/>
      <c r="KXO84"/>
      <c r="KXP84"/>
      <c r="KXQ84"/>
      <c r="KXR84"/>
      <c r="KXS84"/>
      <c r="KXT84"/>
      <c r="KXU84"/>
      <c r="KXV84"/>
      <c r="KXW84"/>
      <c r="KXX84"/>
      <c r="KXY84"/>
      <c r="KXZ84"/>
      <c r="KYA84"/>
      <c r="KYB84"/>
      <c r="KYC84"/>
      <c r="KYD84"/>
      <c r="KYE84"/>
      <c r="KYF84"/>
      <c r="KYG84"/>
      <c r="KYH84"/>
      <c r="KYI84"/>
      <c r="KYJ84"/>
      <c r="KYK84"/>
      <c r="KYL84"/>
      <c r="KYM84"/>
      <c r="KYN84"/>
      <c r="KYO84"/>
      <c r="KYP84"/>
      <c r="KYQ84"/>
      <c r="KYR84"/>
      <c r="KYS84"/>
      <c r="KYT84"/>
      <c r="KYU84"/>
      <c r="KYV84"/>
      <c r="KYW84"/>
      <c r="KYX84"/>
      <c r="KYY84"/>
      <c r="KYZ84"/>
      <c r="KZA84"/>
      <c r="KZB84"/>
      <c r="KZC84"/>
      <c r="KZD84"/>
      <c r="KZE84"/>
      <c r="KZF84"/>
      <c r="KZG84"/>
      <c r="KZH84"/>
      <c r="KZI84"/>
      <c r="KZJ84"/>
      <c r="KZK84"/>
      <c r="KZL84"/>
      <c r="KZM84"/>
      <c r="KZN84"/>
      <c r="KZO84"/>
      <c r="KZP84"/>
      <c r="KZQ84"/>
      <c r="KZR84"/>
      <c r="KZS84"/>
      <c r="KZT84"/>
      <c r="KZU84"/>
      <c r="KZV84"/>
      <c r="KZW84"/>
      <c r="KZX84"/>
      <c r="KZY84"/>
      <c r="KZZ84"/>
      <c r="LAA84"/>
      <c r="LAB84"/>
      <c r="LAC84"/>
      <c r="LAD84"/>
      <c r="LAE84"/>
      <c r="LAF84"/>
      <c r="LAG84"/>
      <c r="LAH84"/>
      <c r="LAI84"/>
      <c r="LAJ84"/>
      <c r="LAK84"/>
      <c r="LAL84"/>
      <c r="LAM84"/>
      <c r="LAN84"/>
      <c r="LAO84"/>
      <c r="LAP84"/>
      <c r="LAQ84"/>
      <c r="LAR84"/>
      <c r="LAS84"/>
      <c r="LAT84"/>
      <c r="LAU84"/>
      <c r="LAV84"/>
      <c r="LAW84"/>
      <c r="LAX84"/>
      <c r="LAY84"/>
      <c r="LAZ84"/>
      <c r="LBA84"/>
      <c r="LBB84"/>
      <c r="LBC84"/>
      <c r="LBD84"/>
      <c r="LBE84"/>
      <c r="LBF84"/>
      <c r="LBG84"/>
      <c r="LBH84"/>
      <c r="LBI84"/>
      <c r="LBJ84"/>
      <c r="LBK84"/>
      <c r="LBL84"/>
      <c r="LBM84"/>
      <c r="LBN84"/>
      <c r="LBO84"/>
      <c r="LBP84"/>
      <c r="LBQ84"/>
      <c r="LBR84"/>
      <c r="LBS84"/>
      <c r="LBT84"/>
      <c r="LBU84"/>
      <c r="LBV84"/>
      <c r="LBW84"/>
      <c r="LBX84"/>
      <c r="LBY84"/>
      <c r="LBZ84"/>
      <c r="LCA84"/>
      <c r="LCB84"/>
      <c r="LCC84"/>
      <c r="LCD84"/>
      <c r="LCE84"/>
      <c r="LCF84"/>
      <c r="LCG84"/>
      <c r="LCH84"/>
      <c r="LCI84"/>
      <c r="LCJ84"/>
      <c r="LCK84"/>
      <c r="LCL84"/>
      <c r="LCM84"/>
      <c r="LCN84"/>
      <c r="LCO84"/>
      <c r="LCP84"/>
      <c r="LCQ84"/>
      <c r="LCR84"/>
      <c r="LCS84"/>
      <c r="LCT84"/>
      <c r="LCU84"/>
      <c r="LCV84"/>
      <c r="LCW84"/>
      <c r="LCX84"/>
      <c r="LCY84"/>
      <c r="LCZ84"/>
      <c r="LDA84"/>
      <c r="LDB84"/>
      <c r="LDC84"/>
      <c r="LDD84"/>
      <c r="LDE84"/>
      <c r="LDF84"/>
      <c r="LDG84"/>
      <c r="LDH84"/>
      <c r="LDI84"/>
      <c r="LDJ84"/>
      <c r="LDK84"/>
      <c r="LDL84"/>
      <c r="LDM84"/>
      <c r="LDN84"/>
      <c r="LDO84"/>
      <c r="LDP84"/>
      <c r="LDQ84"/>
      <c r="LDR84"/>
      <c r="LDS84"/>
      <c r="LDT84"/>
      <c r="LDU84"/>
      <c r="LDV84"/>
      <c r="LDW84"/>
      <c r="LDX84"/>
      <c r="LDY84"/>
      <c r="LDZ84"/>
      <c r="LEA84"/>
      <c r="LEB84"/>
      <c r="LEC84"/>
      <c r="LED84"/>
      <c r="LEE84"/>
      <c r="LEF84"/>
      <c r="LEG84"/>
      <c r="LEH84"/>
      <c r="LEI84"/>
      <c r="LEJ84"/>
      <c r="LEK84"/>
      <c r="LEL84"/>
      <c r="LEM84"/>
      <c r="LEN84"/>
      <c r="LEO84"/>
      <c r="LEP84"/>
      <c r="LEQ84"/>
      <c r="LER84"/>
      <c r="LES84"/>
      <c r="LET84"/>
      <c r="LEU84"/>
      <c r="LEV84"/>
      <c r="LEW84"/>
      <c r="LEX84"/>
      <c r="LEY84"/>
      <c r="LEZ84"/>
      <c r="LFA84"/>
      <c r="LFB84"/>
      <c r="LFC84"/>
      <c r="LFD84"/>
      <c r="LFE84"/>
      <c r="LFF84"/>
      <c r="LFG84"/>
      <c r="LFH84"/>
      <c r="LFI84"/>
      <c r="LFJ84"/>
      <c r="LFK84"/>
      <c r="LFL84"/>
      <c r="LFM84"/>
      <c r="LFN84"/>
      <c r="LFO84"/>
      <c r="LFP84"/>
      <c r="LFQ84"/>
      <c r="LFR84"/>
      <c r="LFS84"/>
      <c r="LFT84"/>
      <c r="LFU84"/>
      <c r="LFV84"/>
      <c r="LFW84"/>
      <c r="LFX84"/>
      <c r="LFY84"/>
      <c r="LFZ84"/>
      <c r="LGA84"/>
      <c r="LGB84"/>
      <c r="LGC84"/>
      <c r="LGD84"/>
      <c r="LGE84"/>
      <c r="LGF84"/>
      <c r="LGG84"/>
      <c r="LGH84"/>
      <c r="LGI84"/>
      <c r="LGJ84"/>
      <c r="LGK84"/>
      <c r="LGL84"/>
      <c r="LGM84"/>
      <c r="LGN84"/>
      <c r="LGO84"/>
      <c r="LGP84"/>
      <c r="LGQ84"/>
      <c r="LGR84"/>
      <c r="LGS84"/>
      <c r="LGT84"/>
      <c r="LGU84"/>
      <c r="LGV84"/>
      <c r="LGW84"/>
      <c r="LGX84"/>
      <c r="LGY84"/>
      <c r="LGZ84"/>
      <c r="LHA84"/>
      <c r="LHB84"/>
      <c r="LHC84"/>
      <c r="LHD84"/>
      <c r="LHE84"/>
      <c r="LHF84"/>
      <c r="LHG84"/>
      <c r="LHH84"/>
      <c r="LHI84"/>
      <c r="LHJ84"/>
      <c r="LHK84"/>
      <c r="LHL84"/>
      <c r="LHM84"/>
      <c r="LHN84"/>
      <c r="LHO84"/>
      <c r="LHP84"/>
      <c r="LHQ84"/>
      <c r="LHR84"/>
      <c r="LHS84"/>
      <c r="LHT84"/>
      <c r="LHU84"/>
      <c r="LHV84"/>
      <c r="LHW84"/>
      <c r="LHX84"/>
      <c r="LHY84"/>
      <c r="LHZ84"/>
      <c r="LIA84"/>
      <c r="LIB84"/>
      <c r="LIC84"/>
      <c r="LID84"/>
      <c r="LIE84"/>
      <c r="LIF84"/>
      <c r="LIG84"/>
      <c r="LIH84"/>
      <c r="LII84"/>
      <c r="LIJ84"/>
      <c r="LIK84"/>
      <c r="LIL84"/>
      <c r="LIM84"/>
      <c r="LIN84"/>
      <c r="LIO84"/>
      <c r="LIP84"/>
      <c r="LIQ84"/>
      <c r="LIR84"/>
      <c r="LIS84"/>
      <c r="LIT84"/>
      <c r="LIU84"/>
      <c r="LIV84"/>
      <c r="LIW84"/>
      <c r="LIX84"/>
      <c r="LIY84"/>
      <c r="LIZ84"/>
      <c r="LJA84"/>
      <c r="LJB84"/>
      <c r="LJC84"/>
      <c r="LJD84"/>
      <c r="LJE84"/>
      <c r="LJF84"/>
      <c r="LJG84"/>
      <c r="LJH84"/>
      <c r="LJI84"/>
      <c r="LJJ84"/>
      <c r="LJK84"/>
      <c r="LJL84"/>
      <c r="LJM84"/>
      <c r="LJN84"/>
      <c r="LJO84"/>
      <c r="LJP84"/>
      <c r="LJQ84"/>
      <c r="LJR84"/>
      <c r="LJS84"/>
      <c r="LJT84"/>
      <c r="LJU84"/>
      <c r="LJV84"/>
      <c r="LJW84"/>
      <c r="LJX84"/>
      <c r="LJY84"/>
      <c r="LJZ84"/>
      <c r="LKA84"/>
      <c r="LKB84"/>
      <c r="LKC84"/>
      <c r="LKD84"/>
      <c r="LKE84"/>
      <c r="LKF84"/>
      <c r="LKG84"/>
      <c r="LKH84"/>
      <c r="LKI84"/>
      <c r="LKJ84"/>
      <c r="LKK84"/>
      <c r="LKL84"/>
      <c r="LKM84"/>
      <c r="LKN84"/>
      <c r="LKO84"/>
      <c r="LKP84"/>
      <c r="LKQ84"/>
      <c r="LKR84"/>
      <c r="LKS84"/>
      <c r="LKT84"/>
      <c r="LKU84"/>
      <c r="LKV84"/>
      <c r="LKW84"/>
      <c r="LKX84"/>
      <c r="LKY84"/>
      <c r="LKZ84"/>
      <c r="LLA84"/>
      <c r="LLB84"/>
      <c r="LLC84"/>
      <c r="LLD84"/>
      <c r="LLE84"/>
      <c r="LLF84"/>
      <c r="LLG84"/>
      <c r="LLH84"/>
      <c r="LLI84"/>
      <c r="LLJ84"/>
      <c r="LLK84"/>
      <c r="LLL84"/>
      <c r="LLM84"/>
      <c r="LLN84"/>
      <c r="LLO84"/>
      <c r="LLP84"/>
      <c r="LLQ84"/>
      <c r="LLR84"/>
      <c r="LLS84"/>
      <c r="LLT84"/>
      <c r="LLU84"/>
      <c r="LLV84"/>
      <c r="LLW84"/>
      <c r="LLX84"/>
      <c r="LLY84"/>
      <c r="LLZ84"/>
      <c r="LMA84"/>
      <c r="LMB84"/>
      <c r="LMC84"/>
      <c r="LMD84"/>
      <c r="LME84"/>
      <c r="LMF84"/>
      <c r="LMG84"/>
      <c r="LMH84"/>
      <c r="LMI84"/>
      <c r="LMJ84"/>
      <c r="LMK84"/>
      <c r="LML84"/>
      <c r="LMM84"/>
      <c r="LMN84"/>
      <c r="LMO84"/>
      <c r="LMP84"/>
      <c r="LMQ84"/>
      <c r="LMR84"/>
      <c r="LMS84"/>
      <c r="LMT84"/>
      <c r="LMU84"/>
      <c r="LMV84"/>
      <c r="LMW84"/>
      <c r="LMX84"/>
      <c r="LMY84"/>
      <c r="LMZ84"/>
      <c r="LNA84"/>
      <c r="LNB84"/>
      <c r="LNC84"/>
      <c r="LND84"/>
      <c r="LNE84"/>
      <c r="LNF84"/>
      <c r="LNG84"/>
      <c r="LNH84"/>
      <c r="LNI84"/>
      <c r="LNJ84"/>
      <c r="LNK84"/>
      <c r="LNL84"/>
      <c r="LNM84"/>
      <c r="LNN84"/>
      <c r="LNO84"/>
      <c r="LNP84"/>
      <c r="LNQ84"/>
      <c r="LNR84"/>
      <c r="LNS84"/>
      <c r="LNT84"/>
      <c r="LNU84"/>
      <c r="LNV84"/>
      <c r="LNW84"/>
      <c r="LNX84"/>
      <c r="LNY84"/>
      <c r="LNZ84"/>
      <c r="LOA84"/>
      <c r="LOB84"/>
      <c r="LOC84"/>
      <c r="LOD84"/>
      <c r="LOE84"/>
      <c r="LOF84"/>
      <c r="LOG84"/>
      <c r="LOH84"/>
      <c r="LOI84"/>
      <c r="LOJ84"/>
      <c r="LOK84"/>
      <c r="LOL84"/>
      <c r="LOM84"/>
      <c r="LON84"/>
      <c r="LOO84"/>
      <c r="LOP84"/>
      <c r="LOQ84"/>
      <c r="LOR84"/>
      <c r="LOS84"/>
      <c r="LOT84"/>
      <c r="LOU84"/>
      <c r="LOV84"/>
      <c r="LOW84"/>
      <c r="LOX84"/>
      <c r="LOY84"/>
      <c r="LOZ84"/>
      <c r="LPA84"/>
      <c r="LPB84"/>
      <c r="LPC84"/>
      <c r="LPD84"/>
      <c r="LPE84"/>
      <c r="LPF84"/>
      <c r="LPG84"/>
      <c r="LPH84"/>
      <c r="LPI84"/>
      <c r="LPJ84"/>
      <c r="LPK84"/>
      <c r="LPL84"/>
      <c r="LPM84"/>
      <c r="LPN84"/>
      <c r="LPO84"/>
      <c r="LPP84"/>
      <c r="LPQ84"/>
      <c r="LPR84"/>
      <c r="LPS84"/>
      <c r="LPT84"/>
      <c r="LPU84"/>
      <c r="LPV84"/>
      <c r="LPW84"/>
      <c r="LPX84"/>
      <c r="LPY84"/>
      <c r="LPZ84"/>
      <c r="LQA84"/>
      <c r="LQB84"/>
      <c r="LQC84"/>
      <c r="LQD84"/>
      <c r="LQE84"/>
      <c r="LQF84"/>
      <c r="LQG84"/>
      <c r="LQH84"/>
      <c r="LQI84"/>
      <c r="LQJ84"/>
      <c r="LQK84"/>
      <c r="LQL84"/>
      <c r="LQM84"/>
      <c r="LQN84"/>
      <c r="LQO84"/>
      <c r="LQP84"/>
      <c r="LQQ84"/>
      <c r="LQR84"/>
      <c r="LQS84"/>
      <c r="LQT84"/>
      <c r="LQU84"/>
      <c r="LQV84"/>
      <c r="LQW84"/>
      <c r="LQX84"/>
      <c r="LQY84"/>
      <c r="LQZ84"/>
      <c r="LRA84"/>
      <c r="LRB84"/>
      <c r="LRC84"/>
      <c r="LRD84"/>
      <c r="LRE84"/>
      <c r="LRF84"/>
      <c r="LRG84"/>
      <c r="LRH84"/>
      <c r="LRI84"/>
      <c r="LRJ84"/>
      <c r="LRK84"/>
      <c r="LRL84"/>
      <c r="LRM84"/>
      <c r="LRN84"/>
      <c r="LRO84"/>
      <c r="LRP84"/>
      <c r="LRQ84"/>
      <c r="LRR84"/>
      <c r="LRS84"/>
      <c r="LRT84"/>
      <c r="LRU84"/>
      <c r="LRV84"/>
      <c r="LRW84"/>
      <c r="LRX84"/>
      <c r="LRY84"/>
      <c r="LRZ84"/>
      <c r="LSA84"/>
      <c r="LSB84"/>
      <c r="LSC84"/>
      <c r="LSD84"/>
      <c r="LSE84"/>
      <c r="LSF84"/>
      <c r="LSG84"/>
      <c r="LSH84"/>
      <c r="LSI84"/>
      <c r="LSJ84"/>
      <c r="LSK84"/>
      <c r="LSL84"/>
      <c r="LSM84"/>
      <c r="LSN84"/>
      <c r="LSO84"/>
      <c r="LSP84"/>
      <c r="LSQ84"/>
      <c r="LSR84"/>
      <c r="LSS84"/>
      <c r="LST84"/>
      <c r="LSU84"/>
      <c r="LSV84"/>
      <c r="LSW84"/>
      <c r="LSX84"/>
      <c r="LSY84"/>
      <c r="LSZ84"/>
      <c r="LTA84"/>
      <c r="LTB84"/>
      <c r="LTC84"/>
      <c r="LTD84"/>
      <c r="LTE84"/>
      <c r="LTF84"/>
      <c r="LTG84"/>
      <c r="LTH84"/>
      <c r="LTI84"/>
      <c r="LTJ84"/>
      <c r="LTK84"/>
      <c r="LTL84"/>
      <c r="LTM84"/>
      <c r="LTN84"/>
      <c r="LTO84"/>
      <c r="LTP84"/>
      <c r="LTQ84"/>
      <c r="LTR84"/>
      <c r="LTS84"/>
      <c r="LTT84"/>
      <c r="LTU84"/>
      <c r="LTV84"/>
      <c r="LTW84"/>
      <c r="LTX84"/>
      <c r="LTY84"/>
      <c r="LTZ84"/>
      <c r="LUA84"/>
      <c r="LUB84"/>
      <c r="LUC84"/>
      <c r="LUD84"/>
      <c r="LUE84"/>
      <c r="LUF84"/>
      <c r="LUG84"/>
      <c r="LUH84"/>
      <c r="LUI84"/>
      <c r="LUJ84"/>
      <c r="LUK84"/>
      <c r="LUL84"/>
      <c r="LUM84"/>
      <c r="LUN84"/>
      <c r="LUO84"/>
      <c r="LUP84"/>
      <c r="LUQ84"/>
      <c r="LUR84"/>
      <c r="LUS84"/>
      <c r="LUT84"/>
      <c r="LUU84"/>
      <c r="LUV84"/>
      <c r="LUW84"/>
      <c r="LUX84"/>
      <c r="LUY84"/>
      <c r="LUZ84"/>
      <c r="LVA84"/>
      <c r="LVB84"/>
      <c r="LVC84"/>
      <c r="LVD84"/>
      <c r="LVE84"/>
      <c r="LVF84"/>
      <c r="LVG84"/>
      <c r="LVH84"/>
      <c r="LVI84"/>
      <c r="LVJ84"/>
      <c r="LVK84"/>
      <c r="LVL84"/>
      <c r="LVM84"/>
      <c r="LVN84"/>
      <c r="LVO84"/>
      <c r="LVP84"/>
      <c r="LVQ84"/>
      <c r="LVR84"/>
      <c r="LVS84"/>
      <c r="LVT84"/>
      <c r="LVU84"/>
      <c r="LVV84"/>
      <c r="LVW84"/>
      <c r="LVX84"/>
      <c r="LVY84"/>
      <c r="LVZ84"/>
      <c r="LWA84"/>
      <c r="LWB84"/>
      <c r="LWC84"/>
      <c r="LWD84"/>
      <c r="LWE84"/>
      <c r="LWF84"/>
      <c r="LWG84"/>
      <c r="LWH84"/>
      <c r="LWI84"/>
      <c r="LWJ84"/>
      <c r="LWK84"/>
      <c r="LWL84"/>
      <c r="LWM84"/>
      <c r="LWN84"/>
      <c r="LWO84"/>
      <c r="LWP84"/>
      <c r="LWQ84"/>
      <c r="LWR84"/>
      <c r="LWS84"/>
      <c r="LWT84"/>
      <c r="LWU84"/>
      <c r="LWV84"/>
      <c r="LWW84"/>
      <c r="LWX84"/>
      <c r="LWY84"/>
      <c r="LWZ84"/>
      <c r="LXA84"/>
      <c r="LXB84"/>
      <c r="LXC84"/>
      <c r="LXD84"/>
      <c r="LXE84"/>
      <c r="LXF84"/>
      <c r="LXG84"/>
      <c r="LXH84"/>
      <c r="LXI84"/>
      <c r="LXJ84"/>
      <c r="LXK84"/>
      <c r="LXL84"/>
      <c r="LXM84"/>
      <c r="LXN84"/>
      <c r="LXO84"/>
      <c r="LXP84"/>
      <c r="LXQ84"/>
      <c r="LXR84"/>
      <c r="LXS84"/>
      <c r="LXT84"/>
      <c r="LXU84"/>
      <c r="LXV84"/>
      <c r="LXW84"/>
      <c r="LXX84"/>
      <c r="LXY84"/>
      <c r="LXZ84"/>
      <c r="LYA84"/>
      <c r="LYB84"/>
      <c r="LYC84"/>
      <c r="LYD84"/>
      <c r="LYE84"/>
      <c r="LYF84"/>
      <c r="LYG84"/>
      <c r="LYH84"/>
      <c r="LYI84"/>
      <c r="LYJ84"/>
      <c r="LYK84"/>
      <c r="LYL84"/>
      <c r="LYM84"/>
      <c r="LYN84"/>
      <c r="LYO84"/>
      <c r="LYP84"/>
      <c r="LYQ84"/>
      <c r="LYR84"/>
      <c r="LYS84"/>
      <c r="LYT84"/>
      <c r="LYU84"/>
      <c r="LYV84"/>
      <c r="LYW84"/>
      <c r="LYX84"/>
      <c r="LYY84"/>
      <c r="LYZ84"/>
      <c r="LZA84"/>
      <c r="LZB84"/>
      <c r="LZC84"/>
      <c r="LZD84"/>
      <c r="LZE84"/>
      <c r="LZF84"/>
      <c r="LZG84"/>
      <c r="LZH84"/>
      <c r="LZI84"/>
      <c r="LZJ84"/>
      <c r="LZK84"/>
      <c r="LZL84"/>
      <c r="LZM84"/>
      <c r="LZN84"/>
      <c r="LZO84"/>
      <c r="LZP84"/>
      <c r="LZQ84"/>
      <c r="LZR84"/>
      <c r="LZS84"/>
      <c r="LZT84"/>
      <c r="LZU84"/>
      <c r="LZV84"/>
      <c r="LZW84"/>
      <c r="LZX84"/>
      <c r="LZY84"/>
      <c r="LZZ84"/>
      <c r="MAA84"/>
      <c r="MAB84"/>
      <c r="MAC84"/>
      <c r="MAD84"/>
      <c r="MAE84"/>
      <c r="MAF84"/>
      <c r="MAG84"/>
      <c r="MAH84"/>
      <c r="MAI84"/>
      <c r="MAJ84"/>
      <c r="MAK84"/>
      <c r="MAL84"/>
      <c r="MAM84"/>
      <c r="MAN84"/>
      <c r="MAO84"/>
      <c r="MAP84"/>
      <c r="MAQ84"/>
      <c r="MAR84"/>
      <c r="MAS84"/>
      <c r="MAT84"/>
      <c r="MAU84"/>
      <c r="MAV84"/>
      <c r="MAW84"/>
      <c r="MAX84"/>
      <c r="MAY84"/>
      <c r="MAZ84"/>
      <c r="MBA84"/>
      <c r="MBB84"/>
      <c r="MBC84"/>
      <c r="MBD84"/>
      <c r="MBE84"/>
      <c r="MBF84"/>
      <c r="MBG84"/>
      <c r="MBH84"/>
      <c r="MBI84"/>
      <c r="MBJ84"/>
      <c r="MBK84"/>
      <c r="MBL84"/>
      <c r="MBM84"/>
      <c r="MBN84"/>
      <c r="MBO84"/>
      <c r="MBP84"/>
      <c r="MBQ84"/>
      <c r="MBR84"/>
      <c r="MBS84"/>
      <c r="MBT84"/>
      <c r="MBU84"/>
      <c r="MBV84"/>
      <c r="MBW84"/>
      <c r="MBX84"/>
      <c r="MBY84"/>
      <c r="MBZ84"/>
      <c r="MCA84"/>
      <c r="MCB84"/>
      <c r="MCC84"/>
      <c r="MCD84"/>
      <c r="MCE84"/>
      <c r="MCF84"/>
      <c r="MCG84"/>
      <c r="MCH84"/>
      <c r="MCI84"/>
      <c r="MCJ84"/>
      <c r="MCK84"/>
      <c r="MCL84"/>
      <c r="MCM84"/>
      <c r="MCN84"/>
      <c r="MCO84"/>
      <c r="MCP84"/>
      <c r="MCQ84"/>
      <c r="MCR84"/>
      <c r="MCS84"/>
      <c r="MCT84"/>
      <c r="MCU84"/>
      <c r="MCV84"/>
      <c r="MCW84"/>
      <c r="MCX84"/>
      <c r="MCY84"/>
      <c r="MCZ84"/>
      <c r="MDA84"/>
      <c r="MDB84"/>
      <c r="MDC84"/>
      <c r="MDD84"/>
      <c r="MDE84"/>
      <c r="MDF84"/>
      <c r="MDG84"/>
      <c r="MDH84"/>
      <c r="MDI84"/>
      <c r="MDJ84"/>
      <c r="MDK84"/>
      <c r="MDL84"/>
      <c r="MDM84"/>
      <c r="MDN84"/>
      <c r="MDO84"/>
      <c r="MDP84"/>
      <c r="MDQ84"/>
      <c r="MDR84"/>
      <c r="MDS84"/>
      <c r="MDT84"/>
      <c r="MDU84"/>
      <c r="MDV84"/>
      <c r="MDW84"/>
      <c r="MDX84"/>
      <c r="MDY84"/>
      <c r="MDZ84"/>
      <c r="MEA84"/>
      <c r="MEB84"/>
      <c r="MEC84"/>
      <c r="MED84"/>
      <c r="MEE84"/>
      <c r="MEF84"/>
      <c r="MEG84"/>
      <c r="MEH84"/>
      <c r="MEI84"/>
      <c r="MEJ84"/>
      <c r="MEK84"/>
      <c r="MEL84"/>
      <c r="MEM84"/>
      <c r="MEN84"/>
      <c r="MEO84"/>
      <c r="MEP84"/>
      <c r="MEQ84"/>
      <c r="MER84"/>
      <c r="MES84"/>
      <c r="MET84"/>
      <c r="MEU84"/>
      <c r="MEV84"/>
      <c r="MEW84"/>
      <c r="MEX84"/>
      <c r="MEY84"/>
      <c r="MEZ84"/>
      <c r="MFA84"/>
      <c r="MFB84"/>
      <c r="MFC84"/>
      <c r="MFD84"/>
      <c r="MFE84"/>
      <c r="MFF84"/>
      <c r="MFG84"/>
      <c r="MFH84"/>
      <c r="MFI84"/>
      <c r="MFJ84"/>
      <c r="MFK84"/>
      <c r="MFL84"/>
      <c r="MFM84"/>
      <c r="MFN84"/>
      <c r="MFO84"/>
      <c r="MFP84"/>
      <c r="MFQ84"/>
      <c r="MFR84"/>
      <c r="MFS84"/>
      <c r="MFT84"/>
      <c r="MFU84"/>
      <c r="MFV84"/>
      <c r="MFW84"/>
      <c r="MFX84"/>
      <c r="MFY84"/>
      <c r="MFZ84"/>
      <c r="MGA84"/>
      <c r="MGB84"/>
      <c r="MGC84"/>
      <c r="MGD84"/>
      <c r="MGE84"/>
      <c r="MGF84"/>
      <c r="MGG84"/>
      <c r="MGH84"/>
      <c r="MGI84"/>
      <c r="MGJ84"/>
      <c r="MGK84"/>
      <c r="MGL84"/>
      <c r="MGM84"/>
      <c r="MGN84"/>
      <c r="MGO84"/>
      <c r="MGP84"/>
      <c r="MGQ84"/>
      <c r="MGR84"/>
      <c r="MGS84"/>
      <c r="MGT84"/>
      <c r="MGU84"/>
      <c r="MGV84"/>
      <c r="MGW84"/>
      <c r="MGX84"/>
      <c r="MGY84"/>
      <c r="MGZ84"/>
      <c r="MHA84"/>
      <c r="MHB84"/>
      <c r="MHC84"/>
      <c r="MHD84"/>
      <c r="MHE84"/>
      <c r="MHF84"/>
      <c r="MHG84"/>
      <c r="MHH84"/>
      <c r="MHI84"/>
      <c r="MHJ84"/>
      <c r="MHK84"/>
      <c r="MHL84"/>
      <c r="MHM84"/>
      <c r="MHN84"/>
      <c r="MHO84"/>
      <c r="MHP84"/>
      <c r="MHQ84"/>
      <c r="MHR84"/>
      <c r="MHS84"/>
      <c r="MHT84"/>
      <c r="MHU84"/>
      <c r="MHV84"/>
      <c r="MHW84"/>
      <c r="MHX84"/>
      <c r="MHY84"/>
      <c r="MHZ84"/>
      <c r="MIA84"/>
      <c r="MIB84"/>
      <c r="MIC84"/>
      <c r="MID84"/>
      <c r="MIE84"/>
      <c r="MIF84"/>
      <c r="MIG84"/>
      <c r="MIH84"/>
      <c r="MII84"/>
      <c r="MIJ84"/>
      <c r="MIK84"/>
      <c r="MIL84"/>
      <c r="MIM84"/>
      <c r="MIN84"/>
      <c r="MIO84"/>
      <c r="MIP84"/>
      <c r="MIQ84"/>
      <c r="MIR84"/>
      <c r="MIS84"/>
      <c r="MIT84"/>
      <c r="MIU84"/>
      <c r="MIV84"/>
      <c r="MIW84"/>
      <c r="MIX84"/>
      <c r="MIY84"/>
      <c r="MIZ84"/>
      <c r="MJA84"/>
      <c r="MJB84"/>
      <c r="MJC84"/>
      <c r="MJD84"/>
      <c r="MJE84"/>
      <c r="MJF84"/>
      <c r="MJG84"/>
      <c r="MJH84"/>
      <c r="MJI84"/>
      <c r="MJJ84"/>
      <c r="MJK84"/>
      <c r="MJL84"/>
      <c r="MJM84"/>
      <c r="MJN84"/>
      <c r="MJO84"/>
      <c r="MJP84"/>
      <c r="MJQ84"/>
      <c r="MJR84"/>
      <c r="MJS84"/>
      <c r="MJT84"/>
      <c r="MJU84"/>
      <c r="MJV84"/>
      <c r="MJW84"/>
      <c r="MJX84"/>
      <c r="MJY84"/>
      <c r="MJZ84"/>
      <c r="MKA84"/>
      <c r="MKB84"/>
      <c r="MKC84"/>
      <c r="MKD84"/>
      <c r="MKE84"/>
      <c r="MKF84"/>
      <c r="MKG84"/>
      <c r="MKH84"/>
      <c r="MKI84"/>
      <c r="MKJ84"/>
      <c r="MKK84"/>
      <c r="MKL84"/>
      <c r="MKM84"/>
      <c r="MKN84"/>
      <c r="MKO84"/>
      <c r="MKP84"/>
      <c r="MKQ84"/>
      <c r="MKR84"/>
      <c r="MKS84"/>
      <c r="MKT84"/>
      <c r="MKU84"/>
      <c r="MKV84"/>
      <c r="MKW84"/>
      <c r="MKX84"/>
      <c r="MKY84"/>
      <c r="MKZ84"/>
      <c r="MLA84"/>
      <c r="MLB84"/>
      <c r="MLC84"/>
      <c r="MLD84"/>
      <c r="MLE84"/>
      <c r="MLF84"/>
      <c r="MLG84"/>
      <c r="MLH84"/>
      <c r="MLI84"/>
      <c r="MLJ84"/>
      <c r="MLK84"/>
      <c r="MLL84"/>
      <c r="MLM84"/>
      <c r="MLN84"/>
      <c r="MLO84"/>
      <c r="MLP84"/>
      <c r="MLQ84"/>
      <c r="MLR84"/>
      <c r="MLS84"/>
      <c r="MLT84"/>
      <c r="MLU84"/>
      <c r="MLV84"/>
      <c r="MLW84"/>
      <c r="MLX84"/>
      <c r="MLY84"/>
      <c r="MLZ84"/>
      <c r="MMA84"/>
      <c r="MMB84"/>
      <c r="MMC84"/>
      <c r="MMD84"/>
      <c r="MME84"/>
      <c r="MMF84"/>
      <c r="MMG84"/>
      <c r="MMH84"/>
      <c r="MMI84"/>
      <c r="MMJ84"/>
      <c r="MMK84"/>
      <c r="MML84"/>
      <c r="MMM84"/>
      <c r="MMN84"/>
      <c r="MMO84"/>
      <c r="MMP84"/>
      <c r="MMQ84"/>
      <c r="MMR84"/>
      <c r="MMS84"/>
      <c r="MMT84"/>
      <c r="MMU84"/>
      <c r="MMV84"/>
      <c r="MMW84"/>
      <c r="MMX84"/>
      <c r="MMY84"/>
      <c r="MMZ84"/>
      <c r="MNA84"/>
      <c r="MNB84"/>
      <c r="MNC84"/>
      <c r="MND84"/>
      <c r="MNE84"/>
      <c r="MNF84"/>
      <c r="MNG84"/>
      <c r="MNH84"/>
      <c r="MNI84"/>
      <c r="MNJ84"/>
      <c r="MNK84"/>
      <c r="MNL84"/>
      <c r="MNM84"/>
      <c r="MNN84"/>
      <c r="MNO84"/>
      <c r="MNP84"/>
      <c r="MNQ84"/>
      <c r="MNR84"/>
      <c r="MNS84"/>
      <c r="MNT84"/>
      <c r="MNU84"/>
      <c r="MNV84"/>
      <c r="MNW84"/>
      <c r="MNX84"/>
      <c r="MNY84"/>
      <c r="MNZ84"/>
      <c r="MOA84"/>
      <c r="MOB84"/>
      <c r="MOC84"/>
      <c r="MOD84"/>
      <c r="MOE84"/>
      <c r="MOF84"/>
      <c r="MOG84"/>
      <c r="MOH84"/>
      <c r="MOI84"/>
      <c r="MOJ84"/>
      <c r="MOK84"/>
      <c r="MOL84"/>
      <c r="MOM84"/>
      <c r="MON84"/>
      <c r="MOO84"/>
      <c r="MOP84"/>
      <c r="MOQ84"/>
      <c r="MOR84"/>
      <c r="MOS84"/>
      <c r="MOT84"/>
      <c r="MOU84"/>
      <c r="MOV84"/>
      <c r="MOW84"/>
      <c r="MOX84"/>
      <c r="MOY84"/>
      <c r="MOZ84"/>
      <c r="MPA84"/>
      <c r="MPB84"/>
      <c r="MPC84"/>
      <c r="MPD84"/>
      <c r="MPE84"/>
      <c r="MPF84"/>
      <c r="MPG84"/>
      <c r="MPH84"/>
      <c r="MPI84"/>
      <c r="MPJ84"/>
      <c r="MPK84"/>
      <c r="MPL84"/>
      <c r="MPM84"/>
      <c r="MPN84"/>
      <c r="MPO84"/>
      <c r="MPP84"/>
      <c r="MPQ84"/>
      <c r="MPR84"/>
      <c r="MPS84"/>
      <c r="MPT84"/>
      <c r="MPU84"/>
      <c r="MPV84"/>
      <c r="MPW84"/>
      <c r="MPX84"/>
      <c r="MPY84"/>
      <c r="MPZ84"/>
      <c r="MQA84"/>
      <c r="MQB84"/>
      <c r="MQC84"/>
      <c r="MQD84"/>
      <c r="MQE84"/>
      <c r="MQF84"/>
      <c r="MQG84"/>
      <c r="MQH84"/>
      <c r="MQI84"/>
      <c r="MQJ84"/>
      <c r="MQK84"/>
      <c r="MQL84"/>
      <c r="MQM84"/>
      <c r="MQN84"/>
      <c r="MQO84"/>
      <c r="MQP84"/>
      <c r="MQQ84"/>
      <c r="MQR84"/>
      <c r="MQS84"/>
      <c r="MQT84"/>
      <c r="MQU84"/>
      <c r="MQV84"/>
      <c r="MQW84"/>
      <c r="MQX84"/>
      <c r="MQY84"/>
      <c r="MQZ84"/>
      <c r="MRA84"/>
      <c r="MRB84"/>
      <c r="MRC84"/>
      <c r="MRD84"/>
      <c r="MRE84"/>
      <c r="MRF84"/>
      <c r="MRG84"/>
      <c r="MRH84"/>
      <c r="MRI84"/>
      <c r="MRJ84"/>
      <c r="MRK84"/>
      <c r="MRL84"/>
      <c r="MRM84"/>
      <c r="MRN84"/>
      <c r="MRO84"/>
      <c r="MRP84"/>
      <c r="MRQ84"/>
      <c r="MRR84"/>
      <c r="MRS84"/>
      <c r="MRT84"/>
      <c r="MRU84"/>
      <c r="MRV84"/>
      <c r="MRW84"/>
      <c r="MRX84"/>
      <c r="MRY84"/>
      <c r="MRZ84"/>
      <c r="MSA84"/>
      <c r="MSB84"/>
      <c r="MSC84"/>
      <c r="MSD84"/>
      <c r="MSE84"/>
      <c r="MSF84"/>
      <c r="MSG84"/>
      <c r="MSH84"/>
      <c r="MSI84"/>
      <c r="MSJ84"/>
      <c r="MSK84"/>
      <c r="MSL84"/>
      <c r="MSM84"/>
      <c r="MSN84"/>
      <c r="MSO84"/>
      <c r="MSP84"/>
      <c r="MSQ84"/>
      <c r="MSR84"/>
      <c r="MSS84"/>
      <c r="MST84"/>
      <c r="MSU84"/>
      <c r="MSV84"/>
      <c r="MSW84"/>
      <c r="MSX84"/>
      <c r="MSY84"/>
      <c r="MSZ84"/>
      <c r="MTA84"/>
      <c r="MTB84"/>
      <c r="MTC84"/>
      <c r="MTD84"/>
      <c r="MTE84"/>
      <c r="MTF84"/>
      <c r="MTG84"/>
      <c r="MTH84"/>
      <c r="MTI84"/>
      <c r="MTJ84"/>
      <c r="MTK84"/>
      <c r="MTL84"/>
      <c r="MTM84"/>
      <c r="MTN84"/>
      <c r="MTO84"/>
      <c r="MTP84"/>
      <c r="MTQ84"/>
      <c r="MTR84"/>
      <c r="MTS84"/>
      <c r="MTT84"/>
      <c r="MTU84"/>
      <c r="MTV84"/>
      <c r="MTW84"/>
      <c r="MTX84"/>
      <c r="MTY84"/>
      <c r="MTZ84"/>
      <c r="MUA84"/>
      <c r="MUB84"/>
      <c r="MUC84"/>
      <c r="MUD84"/>
      <c r="MUE84"/>
      <c r="MUF84"/>
      <c r="MUG84"/>
      <c r="MUH84"/>
      <c r="MUI84"/>
      <c r="MUJ84"/>
      <c r="MUK84"/>
      <c r="MUL84"/>
      <c r="MUM84"/>
      <c r="MUN84"/>
      <c r="MUO84"/>
      <c r="MUP84"/>
      <c r="MUQ84"/>
      <c r="MUR84"/>
      <c r="MUS84"/>
      <c r="MUT84"/>
      <c r="MUU84"/>
      <c r="MUV84"/>
      <c r="MUW84"/>
      <c r="MUX84"/>
      <c r="MUY84"/>
      <c r="MUZ84"/>
      <c r="MVA84"/>
      <c r="MVB84"/>
      <c r="MVC84"/>
      <c r="MVD84"/>
      <c r="MVE84"/>
      <c r="MVF84"/>
      <c r="MVG84"/>
      <c r="MVH84"/>
      <c r="MVI84"/>
      <c r="MVJ84"/>
      <c r="MVK84"/>
      <c r="MVL84"/>
      <c r="MVM84"/>
      <c r="MVN84"/>
      <c r="MVO84"/>
      <c r="MVP84"/>
      <c r="MVQ84"/>
      <c r="MVR84"/>
      <c r="MVS84"/>
      <c r="MVT84"/>
      <c r="MVU84"/>
      <c r="MVV84"/>
      <c r="MVW84"/>
      <c r="MVX84"/>
      <c r="MVY84"/>
      <c r="MVZ84"/>
      <c r="MWA84"/>
      <c r="MWB84"/>
      <c r="MWC84"/>
      <c r="MWD84"/>
      <c r="MWE84"/>
      <c r="MWF84"/>
      <c r="MWG84"/>
      <c r="MWH84"/>
      <c r="MWI84"/>
      <c r="MWJ84"/>
      <c r="MWK84"/>
      <c r="MWL84"/>
      <c r="MWM84"/>
      <c r="MWN84"/>
      <c r="MWO84"/>
      <c r="MWP84"/>
      <c r="MWQ84"/>
      <c r="MWR84"/>
      <c r="MWS84"/>
      <c r="MWT84"/>
      <c r="MWU84"/>
      <c r="MWV84"/>
      <c r="MWW84"/>
      <c r="MWX84"/>
      <c r="MWY84"/>
      <c r="MWZ84"/>
      <c r="MXA84"/>
      <c r="MXB84"/>
      <c r="MXC84"/>
      <c r="MXD84"/>
      <c r="MXE84"/>
      <c r="MXF84"/>
      <c r="MXG84"/>
      <c r="MXH84"/>
      <c r="MXI84"/>
      <c r="MXJ84"/>
      <c r="MXK84"/>
      <c r="MXL84"/>
      <c r="MXM84"/>
      <c r="MXN84"/>
      <c r="MXO84"/>
      <c r="MXP84"/>
      <c r="MXQ84"/>
      <c r="MXR84"/>
      <c r="MXS84"/>
      <c r="MXT84"/>
      <c r="MXU84"/>
      <c r="MXV84"/>
      <c r="MXW84"/>
      <c r="MXX84"/>
      <c r="MXY84"/>
      <c r="MXZ84"/>
      <c r="MYA84"/>
      <c r="MYB84"/>
      <c r="MYC84"/>
      <c r="MYD84"/>
      <c r="MYE84"/>
      <c r="MYF84"/>
      <c r="MYG84"/>
      <c r="MYH84"/>
      <c r="MYI84"/>
      <c r="MYJ84"/>
      <c r="MYK84"/>
      <c r="MYL84"/>
      <c r="MYM84"/>
      <c r="MYN84"/>
      <c r="MYO84"/>
      <c r="MYP84"/>
      <c r="MYQ84"/>
      <c r="MYR84"/>
      <c r="MYS84"/>
      <c r="MYT84"/>
      <c r="MYU84"/>
      <c r="MYV84"/>
      <c r="MYW84"/>
      <c r="MYX84"/>
      <c r="MYY84"/>
      <c r="MYZ84"/>
      <c r="MZA84"/>
      <c r="MZB84"/>
      <c r="MZC84"/>
      <c r="MZD84"/>
      <c r="MZE84"/>
      <c r="MZF84"/>
      <c r="MZG84"/>
      <c r="MZH84"/>
      <c r="MZI84"/>
      <c r="MZJ84"/>
      <c r="MZK84"/>
      <c r="MZL84"/>
      <c r="MZM84"/>
      <c r="MZN84"/>
      <c r="MZO84"/>
      <c r="MZP84"/>
      <c r="MZQ84"/>
      <c r="MZR84"/>
      <c r="MZS84"/>
      <c r="MZT84"/>
      <c r="MZU84"/>
      <c r="MZV84"/>
      <c r="MZW84"/>
      <c r="MZX84"/>
      <c r="MZY84"/>
      <c r="MZZ84"/>
      <c r="NAA84"/>
      <c r="NAB84"/>
      <c r="NAC84"/>
      <c r="NAD84"/>
      <c r="NAE84"/>
      <c r="NAF84"/>
      <c r="NAG84"/>
      <c r="NAH84"/>
      <c r="NAI84"/>
      <c r="NAJ84"/>
      <c r="NAK84"/>
      <c r="NAL84"/>
      <c r="NAM84"/>
      <c r="NAN84"/>
      <c r="NAO84"/>
      <c r="NAP84"/>
      <c r="NAQ84"/>
      <c r="NAR84"/>
      <c r="NAS84"/>
      <c r="NAT84"/>
      <c r="NAU84"/>
      <c r="NAV84"/>
      <c r="NAW84"/>
      <c r="NAX84"/>
      <c r="NAY84"/>
      <c r="NAZ84"/>
      <c r="NBA84"/>
      <c r="NBB84"/>
      <c r="NBC84"/>
      <c r="NBD84"/>
      <c r="NBE84"/>
      <c r="NBF84"/>
      <c r="NBG84"/>
      <c r="NBH84"/>
      <c r="NBI84"/>
      <c r="NBJ84"/>
      <c r="NBK84"/>
      <c r="NBL84"/>
      <c r="NBM84"/>
      <c r="NBN84"/>
      <c r="NBO84"/>
      <c r="NBP84"/>
      <c r="NBQ84"/>
      <c r="NBR84"/>
      <c r="NBS84"/>
      <c r="NBT84"/>
      <c r="NBU84"/>
      <c r="NBV84"/>
      <c r="NBW84"/>
      <c r="NBX84"/>
      <c r="NBY84"/>
      <c r="NBZ84"/>
      <c r="NCA84"/>
      <c r="NCB84"/>
      <c r="NCC84"/>
      <c r="NCD84"/>
      <c r="NCE84"/>
      <c r="NCF84"/>
      <c r="NCG84"/>
      <c r="NCH84"/>
      <c r="NCI84"/>
      <c r="NCJ84"/>
      <c r="NCK84"/>
      <c r="NCL84"/>
      <c r="NCM84"/>
      <c r="NCN84"/>
      <c r="NCO84"/>
      <c r="NCP84"/>
      <c r="NCQ84"/>
      <c r="NCR84"/>
      <c r="NCS84"/>
      <c r="NCT84"/>
      <c r="NCU84"/>
      <c r="NCV84"/>
      <c r="NCW84"/>
      <c r="NCX84"/>
      <c r="NCY84"/>
      <c r="NCZ84"/>
      <c r="NDA84"/>
      <c r="NDB84"/>
      <c r="NDC84"/>
      <c r="NDD84"/>
      <c r="NDE84"/>
      <c r="NDF84"/>
      <c r="NDG84"/>
      <c r="NDH84"/>
      <c r="NDI84"/>
      <c r="NDJ84"/>
      <c r="NDK84"/>
      <c r="NDL84"/>
      <c r="NDM84"/>
      <c r="NDN84"/>
      <c r="NDO84"/>
      <c r="NDP84"/>
      <c r="NDQ84"/>
      <c r="NDR84"/>
      <c r="NDS84"/>
      <c r="NDT84"/>
      <c r="NDU84"/>
      <c r="NDV84"/>
      <c r="NDW84"/>
      <c r="NDX84"/>
      <c r="NDY84"/>
      <c r="NDZ84"/>
      <c r="NEA84"/>
      <c r="NEB84"/>
      <c r="NEC84"/>
      <c r="NED84"/>
      <c r="NEE84"/>
      <c r="NEF84"/>
      <c r="NEG84"/>
      <c r="NEH84"/>
      <c r="NEI84"/>
      <c r="NEJ84"/>
      <c r="NEK84"/>
      <c r="NEL84"/>
      <c r="NEM84"/>
      <c r="NEN84"/>
      <c r="NEO84"/>
      <c r="NEP84"/>
      <c r="NEQ84"/>
      <c r="NER84"/>
      <c r="NES84"/>
      <c r="NET84"/>
      <c r="NEU84"/>
      <c r="NEV84"/>
      <c r="NEW84"/>
      <c r="NEX84"/>
      <c r="NEY84"/>
      <c r="NEZ84"/>
      <c r="NFA84"/>
      <c r="NFB84"/>
      <c r="NFC84"/>
      <c r="NFD84"/>
      <c r="NFE84"/>
      <c r="NFF84"/>
      <c r="NFG84"/>
      <c r="NFH84"/>
      <c r="NFI84"/>
      <c r="NFJ84"/>
      <c r="NFK84"/>
      <c r="NFL84"/>
      <c r="NFM84"/>
      <c r="NFN84"/>
      <c r="NFO84"/>
      <c r="NFP84"/>
      <c r="NFQ84"/>
      <c r="NFR84"/>
      <c r="NFS84"/>
      <c r="NFT84"/>
      <c r="NFU84"/>
      <c r="NFV84"/>
      <c r="NFW84"/>
      <c r="NFX84"/>
      <c r="NFY84"/>
      <c r="NFZ84"/>
      <c r="NGA84"/>
      <c r="NGB84"/>
      <c r="NGC84"/>
      <c r="NGD84"/>
      <c r="NGE84"/>
      <c r="NGF84"/>
      <c r="NGG84"/>
      <c r="NGH84"/>
      <c r="NGI84"/>
      <c r="NGJ84"/>
      <c r="NGK84"/>
      <c r="NGL84"/>
      <c r="NGM84"/>
      <c r="NGN84"/>
      <c r="NGO84"/>
      <c r="NGP84"/>
      <c r="NGQ84"/>
      <c r="NGR84"/>
      <c r="NGS84"/>
      <c r="NGT84"/>
      <c r="NGU84"/>
      <c r="NGV84"/>
      <c r="NGW84"/>
      <c r="NGX84"/>
      <c r="NGY84"/>
      <c r="NGZ84"/>
      <c r="NHA84"/>
      <c r="NHB84"/>
      <c r="NHC84"/>
      <c r="NHD84"/>
      <c r="NHE84"/>
      <c r="NHF84"/>
      <c r="NHG84"/>
      <c r="NHH84"/>
      <c r="NHI84"/>
      <c r="NHJ84"/>
      <c r="NHK84"/>
      <c r="NHL84"/>
      <c r="NHM84"/>
      <c r="NHN84"/>
      <c r="NHO84"/>
      <c r="NHP84"/>
      <c r="NHQ84"/>
      <c r="NHR84"/>
      <c r="NHS84"/>
      <c r="NHT84"/>
      <c r="NHU84"/>
      <c r="NHV84"/>
      <c r="NHW84"/>
      <c r="NHX84"/>
      <c r="NHY84"/>
      <c r="NHZ84"/>
      <c r="NIA84"/>
      <c r="NIB84"/>
      <c r="NIC84"/>
      <c r="NID84"/>
      <c r="NIE84"/>
      <c r="NIF84"/>
      <c r="NIG84"/>
      <c r="NIH84"/>
      <c r="NII84"/>
      <c r="NIJ84"/>
      <c r="NIK84"/>
      <c r="NIL84"/>
      <c r="NIM84"/>
      <c r="NIN84"/>
      <c r="NIO84"/>
      <c r="NIP84"/>
      <c r="NIQ84"/>
      <c r="NIR84"/>
      <c r="NIS84"/>
      <c r="NIT84"/>
      <c r="NIU84"/>
      <c r="NIV84"/>
      <c r="NIW84"/>
      <c r="NIX84"/>
      <c r="NIY84"/>
      <c r="NIZ84"/>
      <c r="NJA84"/>
      <c r="NJB84"/>
      <c r="NJC84"/>
      <c r="NJD84"/>
      <c r="NJE84"/>
      <c r="NJF84"/>
      <c r="NJG84"/>
      <c r="NJH84"/>
      <c r="NJI84"/>
      <c r="NJJ84"/>
      <c r="NJK84"/>
      <c r="NJL84"/>
      <c r="NJM84"/>
      <c r="NJN84"/>
      <c r="NJO84"/>
      <c r="NJP84"/>
      <c r="NJQ84"/>
      <c r="NJR84"/>
      <c r="NJS84"/>
      <c r="NJT84"/>
      <c r="NJU84"/>
      <c r="NJV84"/>
      <c r="NJW84"/>
      <c r="NJX84"/>
      <c r="NJY84"/>
      <c r="NJZ84"/>
      <c r="NKA84"/>
      <c r="NKB84"/>
      <c r="NKC84"/>
      <c r="NKD84"/>
      <c r="NKE84"/>
      <c r="NKF84"/>
      <c r="NKG84"/>
      <c r="NKH84"/>
      <c r="NKI84"/>
      <c r="NKJ84"/>
      <c r="NKK84"/>
      <c r="NKL84"/>
      <c r="NKM84"/>
      <c r="NKN84"/>
      <c r="NKO84"/>
      <c r="NKP84"/>
      <c r="NKQ84"/>
      <c r="NKR84"/>
      <c r="NKS84"/>
      <c r="NKT84"/>
      <c r="NKU84"/>
      <c r="NKV84"/>
      <c r="NKW84"/>
      <c r="NKX84"/>
      <c r="NKY84"/>
      <c r="NKZ84"/>
      <c r="NLA84"/>
      <c r="NLB84"/>
      <c r="NLC84"/>
      <c r="NLD84"/>
      <c r="NLE84"/>
      <c r="NLF84"/>
      <c r="NLG84"/>
      <c r="NLH84"/>
      <c r="NLI84"/>
      <c r="NLJ84"/>
      <c r="NLK84"/>
      <c r="NLL84"/>
      <c r="NLM84"/>
      <c r="NLN84"/>
      <c r="NLO84"/>
      <c r="NLP84"/>
      <c r="NLQ84"/>
      <c r="NLR84"/>
      <c r="NLS84"/>
      <c r="NLT84"/>
      <c r="NLU84"/>
      <c r="NLV84"/>
      <c r="NLW84"/>
      <c r="NLX84"/>
      <c r="NLY84"/>
      <c r="NLZ84"/>
      <c r="NMA84"/>
      <c r="NMB84"/>
      <c r="NMC84"/>
      <c r="NMD84"/>
      <c r="NME84"/>
      <c r="NMF84"/>
      <c r="NMG84"/>
      <c r="NMH84"/>
      <c r="NMI84"/>
      <c r="NMJ84"/>
      <c r="NMK84"/>
      <c r="NML84"/>
      <c r="NMM84"/>
      <c r="NMN84"/>
      <c r="NMO84"/>
      <c r="NMP84"/>
      <c r="NMQ84"/>
      <c r="NMR84"/>
      <c r="NMS84"/>
      <c r="NMT84"/>
      <c r="NMU84"/>
      <c r="NMV84"/>
      <c r="NMW84"/>
      <c r="NMX84"/>
      <c r="NMY84"/>
      <c r="NMZ84"/>
      <c r="NNA84"/>
      <c r="NNB84"/>
      <c r="NNC84"/>
      <c r="NND84"/>
      <c r="NNE84"/>
      <c r="NNF84"/>
      <c r="NNG84"/>
      <c r="NNH84"/>
      <c r="NNI84"/>
      <c r="NNJ84"/>
      <c r="NNK84"/>
      <c r="NNL84"/>
      <c r="NNM84"/>
      <c r="NNN84"/>
      <c r="NNO84"/>
      <c r="NNP84"/>
      <c r="NNQ84"/>
      <c r="NNR84"/>
      <c r="NNS84"/>
      <c r="NNT84"/>
      <c r="NNU84"/>
      <c r="NNV84"/>
      <c r="NNW84"/>
      <c r="NNX84"/>
      <c r="NNY84"/>
      <c r="NNZ84"/>
      <c r="NOA84"/>
      <c r="NOB84"/>
      <c r="NOC84"/>
      <c r="NOD84"/>
      <c r="NOE84"/>
      <c r="NOF84"/>
      <c r="NOG84"/>
      <c r="NOH84"/>
      <c r="NOI84"/>
      <c r="NOJ84"/>
      <c r="NOK84"/>
      <c r="NOL84"/>
      <c r="NOM84"/>
      <c r="NON84"/>
      <c r="NOO84"/>
      <c r="NOP84"/>
      <c r="NOQ84"/>
      <c r="NOR84"/>
      <c r="NOS84"/>
      <c r="NOT84"/>
      <c r="NOU84"/>
      <c r="NOV84"/>
      <c r="NOW84"/>
      <c r="NOX84"/>
      <c r="NOY84"/>
      <c r="NOZ84"/>
      <c r="NPA84"/>
      <c r="NPB84"/>
      <c r="NPC84"/>
      <c r="NPD84"/>
      <c r="NPE84"/>
      <c r="NPF84"/>
      <c r="NPG84"/>
      <c r="NPH84"/>
      <c r="NPI84"/>
      <c r="NPJ84"/>
      <c r="NPK84"/>
      <c r="NPL84"/>
      <c r="NPM84"/>
      <c r="NPN84"/>
      <c r="NPO84"/>
      <c r="NPP84"/>
      <c r="NPQ84"/>
      <c r="NPR84"/>
      <c r="NPS84"/>
      <c r="NPT84"/>
      <c r="NPU84"/>
      <c r="NPV84"/>
      <c r="NPW84"/>
      <c r="NPX84"/>
      <c r="NPY84"/>
      <c r="NPZ84"/>
      <c r="NQA84"/>
      <c r="NQB84"/>
      <c r="NQC84"/>
      <c r="NQD84"/>
      <c r="NQE84"/>
      <c r="NQF84"/>
      <c r="NQG84"/>
      <c r="NQH84"/>
      <c r="NQI84"/>
      <c r="NQJ84"/>
      <c r="NQK84"/>
      <c r="NQL84"/>
      <c r="NQM84"/>
      <c r="NQN84"/>
      <c r="NQO84"/>
      <c r="NQP84"/>
      <c r="NQQ84"/>
      <c r="NQR84"/>
      <c r="NQS84"/>
      <c r="NQT84"/>
      <c r="NQU84"/>
      <c r="NQV84"/>
      <c r="NQW84"/>
      <c r="NQX84"/>
      <c r="NQY84"/>
      <c r="NQZ84"/>
      <c r="NRA84"/>
      <c r="NRB84"/>
      <c r="NRC84"/>
      <c r="NRD84"/>
      <c r="NRE84"/>
      <c r="NRF84"/>
      <c r="NRG84"/>
      <c r="NRH84"/>
      <c r="NRI84"/>
      <c r="NRJ84"/>
      <c r="NRK84"/>
      <c r="NRL84"/>
      <c r="NRM84"/>
      <c r="NRN84"/>
      <c r="NRO84"/>
      <c r="NRP84"/>
      <c r="NRQ84"/>
      <c r="NRR84"/>
      <c r="NRS84"/>
      <c r="NRT84"/>
      <c r="NRU84"/>
      <c r="NRV84"/>
      <c r="NRW84"/>
      <c r="NRX84"/>
      <c r="NRY84"/>
      <c r="NRZ84"/>
      <c r="NSA84"/>
      <c r="NSB84"/>
      <c r="NSC84"/>
      <c r="NSD84"/>
      <c r="NSE84"/>
      <c r="NSF84"/>
      <c r="NSG84"/>
      <c r="NSH84"/>
      <c r="NSI84"/>
      <c r="NSJ84"/>
      <c r="NSK84"/>
      <c r="NSL84"/>
      <c r="NSM84"/>
      <c r="NSN84"/>
      <c r="NSO84"/>
      <c r="NSP84"/>
      <c r="NSQ84"/>
      <c r="NSR84"/>
      <c r="NSS84"/>
      <c r="NST84"/>
      <c r="NSU84"/>
      <c r="NSV84"/>
      <c r="NSW84"/>
      <c r="NSX84"/>
      <c r="NSY84"/>
      <c r="NSZ84"/>
      <c r="NTA84"/>
      <c r="NTB84"/>
      <c r="NTC84"/>
      <c r="NTD84"/>
      <c r="NTE84"/>
      <c r="NTF84"/>
      <c r="NTG84"/>
      <c r="NTH84"/>
      <c r="NTI84"/>
      <c r="NTJ84"/>
      <c r="NTK84"/>
      <c r="NTL84"/>
      <c r="NTM84"/>
      <c r="NTN84"/>
      <c r="NTO84"/>
      <c r="NTP84"/>
      <c r="NTQ84"/>
      <c r="NTR84"/>
      <c r="NTS84"/>
      <c r="NTT84"/>
      <c r="NTU84"/>
      <c r="NTV84"/>
      <c r="NTW84"/>
      <c r="NTX84"/>
      <c r="NTY84"/>
      <c r="NTZ84"/>
      <c r="NUA84"/>
      <c r="NUB84"/>
      <c r="NUC84"/>
      <c r="NUD84"/>
      <c r="NUE84"/>
      <c r="NUF84"/>
      <c r="NUG84"/>
      <c r="NUH84"/>
      <c r="NUI84"/>
      <c r="NUJ84"/>
      <c r="NUK84"/>
      <c r="NUL84"/>
      <c r="NUM84"/>
      <c r="NUN84"/>
      <c r="NUO84"/>
      <c r="NUP84"/>
      <c r="NUQ84"/>
      <c r="NUR84"/>
      <c r="NUS84"/>
      <c r="NUT84"/>
      <c r="NUU84"/>
      <c r="NUV84"/>
      <c r="NUW84"/>
      <c r="NUX84"/>
      <c r="NUY84"/>
      <c r="NUZ84"/>
      <c r="NVA84"/>
      <c r="NVB84"/>
      <c r="NVC84"/>
      <c r="NVD84"/>
      <c r="NVE84"/>
      <c r="NVF84"/>
      <c r="NVG84"/>
      <c r="NVH84"/>
      <c r="NVI84"/>
      <c r="NVJ84"/>
      <c r="NVK84"/>
      <c r="NVL84"/>
      <c r="NVM84"/>
      <c r="NVN84"/>
      <c r="NVO84"/>
      <c r="NVP84"/>
      <c r="NVQ84"/>
      <c r="NVR84"/>
      <c r="NVS84"/>
      <c r="NVT84"/>
      <c r="NVU84"/>
      <c r="NVV84"/>
      <c r="NVW84"/>
      <c r="NVX84"/>
      <c r="NVY84"/>
      <c r="NVZ84"/>
      <c r="NWA84"/>
      <c r="NWB84"/>
      <c r="NWC84"/>
      <c r="NWD84"/>
      <c r="NWE84"/>
      <c r="NWF84"/>
      <c r="NWG84"/>
      <c r="NWH84"/>
      <c r="NWI84"/>
      <c r="NWJ84"/>
      <c r="NWK84"/>
      <c r="NWL84"/>
      <c r="NWM84"/>
      <c r="NWN84"/>
      <c r="NWO84"/>
      <c r="NWP84"/>
      <c r="NWQ84"/>
      <c r="NWR84"/>
      <c r="NWS84"/>
      <c r="NWT84"/>
      <c r="NWU84"/>
      <c r="NWV84"/>
      <c r="NWW84"/>
      <c r="NWX84"/>
      <c r="NWY84"/>
      <c r="NWZ84"/>
      <c r="NXA84"/>
      <c r="NXB84"/>
      <c r="NXC84"/>
      <c r="NXD84"/>
      <c r="NXE84"/>
      <c r="NXF84"/>
      <c r="NXG84"/>
      <c r="NXH84"/>
      <c r="NXI84"/>
      <c r="NXJ84"/>
      <c r="NXK84"/>
      <c r="NXL84"/>
      <c r="NXM84"/>
      <c r="NXN84"/>
      <c r="NXO84"/>
      <c r="NXP84"/>
      <c r="NXQ84"/>
      <c r="NXR84"/>
      <c r="NXS84"/>
      <c r="NXT84"/>
      <c r="NXU84"/>
      <c r="NXV84"/>
      <c r="NXW84"/>
      <c r="NXX84"/>
      <c r="NXY84"/>
      <c r="NXZ84"/>
      <c r="NYA84"/>
      <c r="NYB84"/>
      <c r="NYC84"/>
      <c r="NYD84"/>
      <c r="NYE84"/>
      <c r="NYF84"/>
      <c r="NYG84"/>
      <c r="NYH84"/>
      <c r="NYI84"/>
      <c r="NYJ84"/>
      <c r="NYK84"/>
      <c r="NYL84"/>
      <c r="NYM84"/>
      <c r="NYN84"/>
      <c r="NYO84"/>
      <c r="NYP84"/>
      <c r="NYQ84"/>
      <c r="NYR84"/>
      <c r="NYS84"/>
      <c r="NYT84"/>
      <c r="NYU84"/>
      <c r="NYV84"/>
      <c r="NYW84"/>
      <c r="NYX84"/>
      <c r="NYY84"/>
      <c r="NYZ84"/>
      <c r="NZA84"/>
      <c r="NZB84"/>
      <c r="NZC84"/>
      <c r="NZD84"/>
      <c r="NZE84"/>
      <c r="NZF84"/>
      <c r="NZG84"/>
      <c r="NZH84"/>
      <c r="NZI84"/>
      <c r="NZJ84"/>
      <c r="NZK84"/>
      <c r="NZL84"/>
      <c r="NZM84"/>
      <c r="NZN84"/>
      <c r="NZO84"/>
      <c r="NZP84"/>
      <c r="NZQ84"/>
      <c r="NZR84"/>
      <c r="NZS84"/>
      <c r="NZT84"/>
      <c r="NZU84"/>
      <c r="NZV84"/>
      <c r="NZW84"/>
      <c r="NZX84"/>
      <c r="NZY84"/>
      <c r="NZZ84"/>
      <c r="OAA84"/>
      <c r="OAB84"/>
      <c r="OAC84"/>
      <c r="OAD84"/>
      <c r="OAE84"/>
      <c r="OAF84"/>
      <c r="OAG84"/>
      <c r="OAH84"/>
      <c r="OAI84"/>
      <c r="OAJ84"/>
      <c r="OAK84"/>
      <c r="OAL84"/>
      <c r="OAM84"/>
      <c r="OAN84"/>
      <c r="OAO84"/>
      <c r="OAP84"/>
      <c r="OAQ84"/>
      <c r="OAR84"/>
      <c r="OAS84"/>
      <c r="OAT84"/>
      <c r="OAU84"/>
      <c r="OAV84"/>
      <c r="OAW84"/>
      <c r="OAX84"/>
      <c r="OAY84"/>
      <c r="OAZ84"/>
      <c r="OBA84"/>
      <c r="OBB84"/>
      <c r="OBC84"/>
      <c r="OBD84"/>
      <c r="OBE84"/>
      <c r="OBF84"/>
      <c r="OBG84"/>
      <c r="OBH84"/>
      <c r="OBI84"/>
      <c r="OBJ84"/>
      <c r="OBK84"/>
      <c r="OBL84"/>
      <c r="OBM84"/>
      <c r="OBN84"/>
      <c r="OBO84"/>
      <c r="OBP84"/>
      <c r="OBQ84"/>
      <c r="OBR84"/>
      <c r="OBS84"/>
      <c r="OBT84"/>
      <c r="OBU84"/>
      <c r="OBV84"/>
      <c r="OBW84"/>
      <c r="OBX84"/>
      <c r="OBY84"/>
      <c r="OBZ84"/>
      <c r="OCA84"/>
      <c r="OCB84"/>
      <c r="OCC84"/>
      <c r="OCD84"/>
      <c r="OCE84"/>
      <c r="OCF84"/>
      <c r="OCG84"/>
      <c r="OCH84"/>
      <c r="OCI84"/>
      <c r="OCJ84"/>
      <c r="OCK84"/>
      <c r="OCL84"/>
      <c r="OCM84"/>
      <c r="OCN84"/>
      <c r="OCO84"/>
      <c r="OCP84"/>
      <c r="OCQ84"/>
      <c r="OCR84"/>
      <c r="OCS84"/>
      <c r="OCT84"/>
      <c r="OCU84"/>
      <c r="OCV84"/>
      <c r="OCW84"/>
      <c r="OCX84"/>
      <c r="OCY84"/>
      <c r="OCZ84"/>
      <c r="ODA84"/>
      <c r="ODB84"/>
      <c r="ODC84"/>
      <c r="ODD84"/>
      <c r="ODE84"/>
      <c r="ODF84"/>
      <c r="ODG84"/>
      <c r="ODH84"/>
      <c r="ODI84"/>
      <c r="ODJ84"/>
      <c r="ODK84"/>
      <c r="ODL84"/>
      <c r="ODM84"/>
      <c r="ODN84"/>
      <c r="ODO84"/>
      <c r="ODP84"/>
      <c r="ODQ84"/>
      <c r="ODR84"/>
      <c r="ODS84"/>
      <c r="ODT84"/>
      <c r="ODU84"/>
      <c r="ODV84"/>
      <c r="ODW84"/>
      <c r="ODX84"/>
      <c r="ODY84"/>
      <c r="ODZ84"/>
      <c r="OEA84"/>
      <c r="OEB84"/>
      <c r="OEC84"/>
      <c r="OED84"/>
      <c r="OEE84"/>
      <c r="OEF84"/>
      <c r="OEG84"/>
      <c r="OEH84"/>
      <c r="OEI84"/>
      <c r="OEJ84"/>
      <c r="OEK84"/>
      <c r="OEL84"/>
      <c r="OEM84"/>
      <c r="OEN84"/>
      <c r="OEO84"/>
      <c r="OEP84"/>
      <c r="OEQ84"/>
      <c r="OER84"/>
      <c r="OES84"/>
      <c r="OET84"/>
      <c r="OEU84"/>
      <c r="OEV84"/>
      <c r="OEW84"/>
      <c r="OEX84"/>
      <c r="OEY84"/>
      <c r="OEZ84"/>
      <c r="OFA84"/>
      <c r="OFB84"/>
      <c r="OFC84"/>
      <c r="OFD84"/>
      <c r="OFE84"/>
      <c r="OFF84"/>
      <c r="OFG84"/>
      <c r="OFH84"/>
      <c r="OFI84"/>
      <c r="OFJ84"/>
      <c r="OFK84"/>
      <c r="OFL84"/>
      <c r="OFM84"/>
      <c r="OFN84"/>
      <c r="OFO84"/>
      <c r="OFP84"/>
      <c r="OFQ84"/>
      <c r="OFR84"/>
      <c r="OFS84"/>
      <c r="OFT84"/>
      <c r="OFU84"/>
      <c r="OFV84"/>
      <c r="OFW84"/>
      <c r="OFX84"/>
      <c r="OFY84"/>
      <c r="OFZ84"/>
      <c r="OGA84"/>
      <c r="OGB84"/>
      <c r="OGC84"/>
      <c r="OGD84"/>
      <c r="OGE84"/>
      <c r="OGF84"/>
      <c r="OGG84"/>
      <c r="OGH84"/>
      <c r="OGI84"/>
      <c r="OGJ84"/>
      <c r="OGK84"/>
      <c r="OGL84"/>
      <c r="OGM84"/>
      <c r="OGN84"/>
      <c r="OGO84"/>
      <c r="OGP84"/>
      <c r="OGQ84"/>
      <c r="OGR84"/>
      <c r="OGS84"/>
      <c r="OGT84"/>
      <c r="OGU84"/>
      <c r="OGV84"/>
      <c r="OGW84"/>
      <c r="OGX84"/>
      <c r="OGY84"/>
      <c r="OGZ84"/>
      <c r="OHA84"/>
      <c r="OHB84"/>
      <c r="OHC84"/>
      <c r="OHD84"/>
      <c r="OHE84"/>
      <c r="OHF84"/>
      <c r="OHG84"/>
      <c r="OHH84"/>
      <c r="OHI84"/>
      <c r="OHJ84"/>
      <c r="OHK84"/>
      <c r="OHL84"/>
      <c r="OHM84"/>
      <c r="OHN84"/>
      <c r="OHO84"/>
      <c r="OHP84"/>
      <c r="OHQ84"/>
      <c r="OHR84"/>
      <c r="OHS84"/>
      <c r="OHT84"/>
      <c r="OHU84"/>
      <c r="OHV84"/>
      <c r="OHW84"/>
      <c r="OHX84"/>
      <c r="OHY84"/>
      <c r="OHZ84"/>
      <c r="OIA84"/>
      <c r="OIB84"/>
      <c r="OIC84"/>
      <c r="OID84"/>
      <c r="OIE84"/>
      <c r="OIF84"/>
      <c r="OIG84"/>
      <c r="OIH84"/>
      <c r="OII84"/>
      <c r="OIJ84"/>
      <c r="OIK84"/>
      <c r="OIL84"/>
      <c r="OIM84"/>
      <c r="OIN84"/>
      <c r="OIO84"/>
      <c r="OIP84"/>
      <c r="OIQ84"/>
      <c r="OIR84"/>
      <c r="OIS84"/>
      <c r="OIT84"/>
      <c r="OIU84"/>
      <c r="OIV84"/>
      <c r="OIW84"/>
      <c r="OIX84"/>
      <c r="OIY84"/>
      <c r="OIZ84"/>
      <c r="OJA84"/>
      <c r="OJB84"/>
      <c r="OJC84"/>
      <c r="OJD84"/>
      <c r="OJE84"/>
      <c r="OJF84"/>
      <c r="OJG84"/>
      <c r="OJH84"/>
      <c r="OJI84"/>
      <c r="OJJ84"/>
      <c r="OJK84"/>
      <c r="OJL84"/>
      <c r="OJM84"/>
      <c r="OJN84"/>
      <c r="OJO84"/>
      <c r="OJP84"/>
      <c r="OJQ84"/>
      <c r="OJR84"/>
      <c r="OJS84"/>
      <c r="OJT84"/>
      <c r="OJU84"/>
      <c r="OJV84"/>
      <c r="OJW84"/>
      <c r="OJX84"/>
      <c r="OJY84"/>
      <c r="OJZ84"/>
      <c r="OKA84"/>
      <c r="OKB84"/>
      <c r="OKC84"/>
      <c r="OKD84"/>
      <c r="OKE84"/>
      <c r="OKF84"/>
      <c r="OKG84"/>
      <c r="OKH84"/>
      <c r="OKI84"/>
      <c r="OKJ84"/>
      <c r="OKK84"/>
      <c r="OKL84"/>
      <c r="OKM84"/>
      <c r="OKN84"/>
      <c r="OKO84"/>
      <c r="OKP84"/>
      <c r="OKQ84"/>
      <c r="OKR84"/>
      <c r="OKS84"/>
      <c r="OKT84"/>
      <c r="OKU84"/>
      <c r="OKV84"/>
      <c r="OKW84"/>
      <c r="OKX84"/>
      <c r="OKY84"/>
      <c r="OKZ84"/>
      <c r="OLA84"/>
      <c r="OLB84"/>
      <c r="OLC84"/>
      <c r="OLD84"/>
      <c r="OLE84"/>
      <c r="OLF84"/>
      <c r="OLG84"/>
      <c r="OLH84"/>
      <c r="OLI84"/>
      <c r="OLJ84"/>
      <c r="OLK84"/>
      <c r="OLL84"/>
      <c r="OLM84"/>
      <c r="OLN84"/>
      <c r="OLO84"/>
      <c r="OLP84"/>
      <c r="OLQ84"/>
      <c r="OLR84"/>
      <c r="OLS84"/>
      <c r="OLT84"/>
      <c r="OLU84"/>
      <c r="OLV84"/>
      <c r="OLW84"/>
      <c r="OLX84"/>
      <c r="OLY84"/>
      <c r="OLZ84"/>
      <c r="OMA84"/>
      <c r="OMB84"/>
      <c r="OMC84"/>
      <c r="OMD84"/>
      <c r="OME84"/>
      <c r="OMF84"/>
      <c r="OMG84"/>
      <c r="OMH84"/>
      <c r="OMI84"/>
      <c r="OMJ84"/>
      <c r="OMK84"/>
      <c r="OML84"/>
      <c r="OMM84"/>
      <c r="OMN84"/>
      <c r="OMO84"/>
      <c r="OMP84"/>
      <c r="OMQ84"/>
      <c r="OMR84"/>
      <c r="OMS84"/>
      <c r="OMT84"/>
      <c r="OMU84"/>
      <c r="OMV84"/>
      <c r="OMW84"/>
      <c r="OMX84"/>
      <c r="OMY84"/>
      <c r="OMZ84"/>
      <c r="ONA84"/>
      <c r="ONB84"/>
      <c r="ONC84"/>
      <c r="OND84"/>
      <c r="ONE84"/>
      <c r="ONF84"/>
      <c r="ONG84"/>
      <c r="ONH84"/>
      <c r="ONI84"/>
      <c r="ONJ84"/>
      <c r="ONK84"/>
      <c r="ONL84"/>
      <c r="ONM84"/>
      <c r="ONN84"/>
      <c r="ONO84"/>
      <c r="ONP84"/>
      <c r="ONQ84"/>
      <c r="ONR84"/>
      <c r="ONS84"/>
      <c r="ONT84"/>
      <c r="ONU84"/>
      <c r="ONV84"/>
      <c r="ONW84"/>
      <c r="ONX84"/>
      <c r="ONY84"/>
      <c r="ONZ84"/>
      <c r="OOA84"/>
      <c r="OOB84"/>
      <c r="OOC84"/>
      <c r="OOD84"/>
      <c r="OOE84"/>
      <c r="OOF84"/>
      <c r="OOG84"/>
      <c r="OOH84"/>
      <c r="OOI84"/>
      <c r="OOJ84"/>
      <c r="OOK84"/>
      <c r="OOL84"/>
      <c r="OOM84"/>
      <c r="OON84"/>
      <c r="OOO84"/>
      <c r="OOP84"/>
      <c r="OOQ84"/>
      <c r="OOR84"/>
      <c r="OOS84"/>
      <c r="OOT84"/>
      <c r="OOU84"/>
      <c r="OOV84"/>
      <c r="OOW84"/>
      <c r="OOX84"/>
      <c r="OOY84"/>
      <c r="OOZ84"/>
      <c r="OPA84"/>
      <c r="OPB84"/>
      <c r="OPC84"/>
      <c r="OPD84"/>
      <c r="OPE84"/>
      <c r="OPF84"/>
      <c r="OPG84"/>
      <c r="OPH84"/>
      <c r="OPI84"/>
      <c r="OPJ84"/>
      <c r="OPK84"/>
      <c r="OPL84"/>
      <c r="OPM84"/>
      <c r="OPN84"/>
      <c r="OPO84"/>
      <c r="OPP84"/>
      <c r="OPQ84"/>
      <c r="OPR84"/>
      <c r="OPS84"/>
      <c r="OPT84"/>
      <c r="OPU84"/>
      <c r="OPV84"/>
      <c r="OPW84"/>
      <c r="OPX84"/>
      <c r="OPY84"/>
      <c r="OPZ84"/>
      <c r="OQA84"/>
      <c r="OQB84"/>
      <c r="OQC84"/>
      <c r="OQD84"/>
      <c r="OQE84"/>
      <c r="OQF84"/>
      <c r="OQG84"/>
      <c r="OQH84"/>
      <c r="OQI84"/>
      <c r="OQJ84"/>
      <c r="OQK84"/>
      <c r="OQL84"/>
      <c r="OQM84"/>
      <c r="OQN84"/>
      <c r="OQO84"/>
      <c r="OQP84"/>
      <c r="OQQ84"/>
      <c r="OQR84"/>
      <c r="OQS84"/>
      <c r="OQT84"/>
      <c r="OQU84"/>
      <c r="OQV84"/>
      <c r="OQW84"/>
      <c r="OQX84"/>
      <c r="OQY84"/>
      <c r="OQZ84"/>
      <c r="ORA84"/>
      <c r="ORB84"/>
      <c r="ORC84"/>
      <c r="ORD84"/>
      <c r="ORE84"/>
      <c r="ORF84"/>
      <c r="ORG84"/>
      <c r="ORH84"/>
      <c r="ORI84"/>
      <c r="ORJ84"/>
      <c r="ORK84"/>
      <c r="ORL84"/>
      <c r="ORM84"/>
      <c r="ORN84"/>
      <c r="ORO84"/>
      <c r="ORP84"/>
      <c r="ORQ84"/>
      <c r="ORR84"/>
      <c r="ORS84"/>
      <c r="ORT84"/>
      <c r="ORU84"/>
      <c r="ORV84"/>
      <c r="ORW84"/>
      <c r="ORX84"/>
      <c r="ORY84"/>
      <c r="ORZ84"/>
      <c r="OSA84"/>
      <c r="OSB84"/>
      <c r="OSC84"/>
      <c r="OSD84"/>
      <c r="OSE84"/>
      <c r="OSF84"/>
      <c r="OSG84"/>
      <c r="OSH84"/>
      <c r="OSI84"/>
      <c r="OSJ84"/>
      <c r="OSK84"/>
      <c r="OSL84"/>
      <c r="OSM84"/>
      <c r="OSN84"/>
      <c r="OSO84"/>
      <c r="OSP84"/>
      <c r="OSQ84"/>
      <c r="OSR84"/>
      <c r="OSS84"/>
      <c r="OST84"/>
      <c r="OSU84"/>
      <c r="OSV84"/>
      <c r="OSW84"/>
      <c r="OSX84"/>
      <c r="OSY84"/>
      <c r="OSZ84"/>
      <c r="OTA84"/>
      <c r="OTB84"/>
      <c r="OTC84"/>
      <c r="OTD84"/>
      <c r="OTE84"/>
      <c r="OTF84"/>
      <c r="OTG84"/>
      <c r="OTH84"/>
      <c r="OTI84"/>
      <c r="OTJ84"/>
      <c r="OTK84"/>
      <c r="OTL84"/>
      <c r="OTM84"/>
      <c r="OTN84"/>
      <c r="OTO84"/>
      <c r="OTP84"/>
      <c r="OTQ84"/>
      <c r="OTR84"/>
      <c r="OTS84"/>
      <c r="OTT84"/>
      <c r="OTU84"/>
      <c r="OTV84"/>
      <c r="OTW84"/>
      <c r="OTX84"/>
      <c r="OTY84"/>
      <c r="OTZ84"/>
      <c r="OUA84"/>
      <c r="OUB84"/>
      <c r="OUC84"/>
      <c r="OUD84"/>
      <c r="OUE84"/>
      <c r="OUF84"/>
      <c r="OUG84"/>
      <c r="OUH84"/>
      <c r="OUI84"/>
      <c r="OUJ84"/>
      <c r="OUK84"/>
      <c r="OUL84"/>
      <c r="OUM84"/>
      <c r="OUN84"/>
      <c r="OUO84"/>
      <c r="OUP84"/>
      <c r="OUQ84"/>
      <c r="OUR84"/>
      <c r="OUS84"/>
      <c r="OUT84"/>
      <c r="OUU84"/>
      <c r="OUV84"/>
      <c r="OUW84"/>
      <c r="OUX84"/>
      <c r="OUY84"/>
      <c r="OUZ84"/>
      <c r="OVA84"/>
      <c r="OVB84"/>
      <c r="OVC84"/>
      <c r="OVD84"/>
      <c r="OVE84"/>
      <c r="OVF84"/>
      <c r="OVG84"/>
      <c r="OVH84"/>
      <c r="OVI84"/>
      <c r="OVJ84"/>
      <c r="OVK84"/>
      <c r="OVL84"/>
      <c r="OVM84"/>
      <c r="OVN84"/>
      <c r="OVO84"/>
      <c r="OVP84"/>
      <c r="OVQ84"/>
      <c r="OVR84"/>
      <c r="OVS84"/>
      <c r="OVT84"/>
      <c r="OVU84"/>
      <c r="OVV84"/>
      <c r="OVW84"/>
      <c r="OVX84"/>
      <c r="OVY84"/>
      <c r="OVZ84"/>
      <c r="OWA84"/>
      <c r="OWB84"/>
      <c r="OWC84"/>
      <c r="OWD84"/>
      <c r="OWE84"/>
      <c r="OWF84"/>
      <c r="OWG84"/>
      <c r="OWH84"/>
      <c r="OWI84"/>
      <c r="OWJ84"/>
      <c r="OWK84"/>
      <c r="OWL84"/>
      <c r="OWM84"/>
      <c r="OWN84"/>
      <c r="OWO84"/>
      <c r="OWP84"/>
      <c r="OWQ84"/>
      <c r="OWR84"/>
      <c r="OWS84"/>
      <c r="OWT84"/>
      <c r="OWU84"/>
      <c r="OWV84"/>
      <c r="OWW84"/>
      <c r="OWX84"/>
      <c r="OWY84"/>
      <c r="OWZ84"/>
      <c r="OXA84"/>
      <c r="OXB84"/>
      <c r="OXC84"/>
      <c r="OXD84"/>
      <c r="OXE84"/>
      <c r="OXF84"/>
      <c r="OXG84"/>
      <c r="OXH84"/>
      <c r="OXI84"/>
      <c r="OXJ84"/>
      <c r="OXK84"/>
      <c r="OXL84"/>
      <c r="OXM84"/>
      <c r="OXN84"/>
      <c r="OXO84"/>
      <c r="OXP84"/>
      <c r="OXQ84"/>
      <c r="OXR84"/>
      <c r="OXS84"/>
      <c r="OXT84"/>
      <c r="OXU84"/>
      <c r="OXV84"/>
      <c r="OXW84"/>
      <c r="OXX84"/>
      <c r="OXY84"/>
      <c r="OXZ84"/>
      <c r="OYA84"/>
      <c r="OYB84"/>
      <c r="OYC84"/>
      <c r="OYD84"/>
      <c r="OYE84"/>
      <c r="OYF84"/>
      <c r="OYG84"/>
      <c r="OYH84"/>
      <c r="OYI84"/>
      <c r="OYJ84"/>
      <c r="OYK84"/>
      <c r="OYL84"/>
      <c r="OYM84"/>
      <c r="OYN84"/>
      <c r="OYO84"/>
      <c r="OYP84"/>
      <c r="OYQ84"/>
      <c r="OYR84"/>
      <c r="OYS84"/>
      <c r="OYT84"/>
      <c r="OYU84"/>
      <c r="OYV84"/>
      <c r="OYW84"/>
      <c r="OYX84"/>
      <c r="OYY84"/>
      <c r="OYZ84"/>
      <c r="OZA84"/>
      <c r="OZB84"/>
      <c r="OZC84"/>
      <c r="OZD84"/>
      <c r="OZE84"/>
      <c r="OZF84"/>
      <c r="OZG84"/>
      <c r="OZH84"/>
      <c r="OZI84"/>
      <c r="OZJ84"/>
      <c r="OZK84"/>
      <c r="OZL84"/>
      <c r="OZM84"/>
      <c r="OZN84"/>
      <c r="OZO84"/>
      <c r="OZP84"/>
      <c r="OZQ84"/>
      <c r="OZR84"/>
      <c r="OZS84"/>
      <c r="OZT84"/>
      <c r="OZU84"/>
      <c r="OZV84"/>
      <c r="OZW84"/>
      <c r="OZX84"/>
      <c r="OZY84"/>
      <c r="OZZ84"/>
      <c r="PAA84"/>
      <c r="PAB84"/>
      <c r="PAC84"/>
      <c r="PAD84"/>
      <c r="PAE84"/>
      <c r="PAF84"/>
      <c r="PAG84"/>
      <c r="PAH84"/>
      <c r="PAI84"/>
      <c r="PAJ84"/>
      <c r="PAK84"/>
      <c r="PAL84"/>
      <c r="PAM84"/>
      <c r="PAN84"/>
      <c r="PAO84"/>
      <c r="PAP84"/>
      <c r="PAQ84"/>
      <c r="PAR84"/>
      <c r="PAS84"/>
      <c r="PAT84"/>
      <c r="PAU84"/>
      <c r="PAV84"/>
      <c r="PAW84"/>
      <c r="PAX84"/>
      <c r="PAY84"/>
      <c r="PAZ84"/>
      <c r="PBA84"/>
      <c r="PBB84"/>
      <c r="PBC84"/>
      <c r="PBD84"/>
      <c r="PBE84"/>
      <c r="PBF84"/>
      <c r="PBG84"/>
      <c r="PBH84"/>
      <c r="PBI84"/>
      <c r="PBJ84"/>
      <c r="PBK84"/>
      <c r="PBL84"/>
      <c r="PBM84"/>
      <c r="PBN84"/>
      <c r="PBO84"/>
      <c r="PBP84"/>
      <c r="PBQ84"/>
      <c r="PBR84"/>
      <c r="PBS84"/>
      <c r="PBT84"/>
      <c r="PBU84"/>
      <c r="PBV84"/>
      <c r="PBW84"/>
      <c r="PBX84"/>
      <c r="PBY84"/>
      <c r="PBZ84"/>
      <c r="PCA84"/>
      <c r="PCB84"/>
      <c r="PCC84"/>
      <c r="PCD84"/>
      <c r="PCE84"/>
      <c r="PCF84"/>
      <c r="PCG84"/>
      <c r="PCH84"/>
      <c r="PCI84"/>
      <c r="PCJ84"/>
      <c r="PCK84"/>
      <c r="PCL84"/>
      <c r="PCM84"/>
      <c r="PCN84"/>
      <c r="PCO84"/>
      <c r="PCP84"/>
      <c r="PCQ84"/>
      <c r="PCR84"/>
      <c r="PCS84"/>
      <c r="PCT84"/>
      <c r="PCU84"/>
      <c r="PCV84"/>
      <c r="PCW84"/>
      <c r="PCX84"/>
      <c r="PCY84"/>
      <c r="PCZ84"/>
      <c r="PDA84"/>
      <c r="PDB84"/>
      <c r="PDC84"/>
      <c r="PDD84"/>
      <c r="PDE84"/>
      <c r="PDF84"/>
      <c r="PDG84"/>
      <c r="PDH84"/>
      <c r="PDI84"/>
      <c r="PDJ84"/>
      <c r="PDK84"/>
      <c r="PDL84"/>
      <c r="PDM84"/>
      <c r="PDN84"/>
      <c r="PDO84"/>
      <c r="PDP84"/>
      <c r="PDQ84"/>
      <c r="PDR84"/>
      <c r="PDS84"/>
      <c r="PDT84"/>
      <c r="PDU84"/>
      <c r="PDV84"/>
      <c r="PDW84"/>
      <c r="PDX84"/>
      <c r="PDY84"/>
      <c r="PDZ84"/>
      <c r="PEA84"/>
      <c r="PEB84"/>
      <c r="PEC84"/>
      <c r="PED84"/>
      <c r="PEE84"/>
      <c r="PEF84"/>
      <c r="PEG84"/>
      <c r="PEH84"/>
      <c r="PEI84"/>
      <c r="PEJ84"/>
      <c r="PEK84"/>
      <c r="PEL84"/>
      <c r="PEM84"/>
      <c r="PEN84"/>
      <c r="PEO84"/>
      <c r="PEP84"/>
      <c r="PEQ84"/>
      <c r="PER84"/>
      <c r="PES84"/>
      <c r="PET84"/>
      <c r="PEU84"/>
      <c r="PEV84"/>
      <c r="PEW84"/>
      <c r="PEX84"/>
      <c r="PEY84"/>
      <c r="PEZ84"/>
      <c r="PFA84"/>
      <c r="PFB84"/>
      <c r="PFC84"/>
      <c r="PFD84"/>
      <c r="PFE84"/>
      <c r="PFF84"/>
      <c r="PFG84"/>
      <c r="PFH84"/>
      <c r="PFI84"/>
      <c r="PFJ84"/>
      <c r="PFK84"/>
      <c r="PFL84"/>
      <c r="PFM84"/>
      <c r="PFN84"/>
      <c r="PFO84"/>
      <c r="PFP84"/>
      <c r="PFQ84"/>
      <c r="PFR84"/>
      <c r="PFS84"/>
      <c r="PFT84"/>
      <c r="PFU84"/>
      <c r="PFV84"/>
      <c r="PFW84"/>
      <c r="PFX84"/>
      <c r="PFY84"/>
      <c r="PFZ84"/>
      <c r="PGA84"/>
      <c r="PGB84"/>
      <c r="PGC84"/>
      <c r="PGD84"/>
      <c r="PGE84"/>
      <c r="PGF84"/>
      <c r="PGG84"/>
      <c r="PGH84"/>
      <c r="PGI84"/>
      <c r="PGJ84"/>
      <c r="PGK84"/>
      <c r="PGL84"/>
      <c r="PGM84"/>
      <c r="PGN84"/>
      <c r="PGO84"/>
      <c r="PGP84"/>
      <c r="PGQ84"/>
      <c r="PGR84"/>
      <c r="PGS84"/>
      <c r="PGT84"/>
      <c r="PGU84"/>
      <c r="PGV84"/>
      <c r="PGW84"/>
      <c r="PGX84"/>
      <c r="PGY84"/>
      <c r="PGZ84"/>
      <c r="PHA84"/>
      <c r="PHB84"/>
      <c r="PHC84"/>
      <c r="PHD84"/>
      <c r="PHE84"/>
      <c r="PHF84"/>
      <c r="PHG84"/>
      <c r="PHH84"/>
      <c r="PHI84"/>
      <c r="PHJ84"/>
      <c r="PHK84"/>
      <c r="PHL84"/>
      <c r="PHM84"/>
      <c r="PHN84"/>
      <c r="PHO84"/>
      <c r="PHP84"/>
      <c r="PHQ84"/>
      <c r="PHR84"/>
      <c r="PHS84"/>
      <c r="PHT84"/>
      <c r="PHU84"/>
      <c r="PHV84"/>
      <c r="PHW84"/>
      <c r="PHX84"/>
      <c r="PHY84"/>
      <c r="PHZ84"/>
      <c r="PIA84"/>
      <c r="PIB84"/>
      <c r="PIC84"/>
      <c r="PID84"/>
      <c r="PIE84"/>
      <c r="PIF84"/>
      <c r="PIG84"/>
      <c r="PIH84"/>
      <c r="PII84"/>
      <c r="PIJ84"/>
      <c r="PIK84"/>
      <c r="PIL84"/>
      <c r="PIM84"/>
      <c r="PIN84"/>
      <c r="PIO84"/>
      <c r="PIP84"/>
      <c r="PIQ84"/>
      <c r="PIR84"/>
      <c r="PIS84"/>
      <c r="PIT84"/>
      <c r="PIU84"/>
      <c r="PIV84"/>
      <c r="PIW84"/>
      <c r="PIX84"/>
      <c r="PIY84"/>
      <c r="PIZ84"/>
      <c r="PJA84"/>
      <c r="PJB84"/>
      <c r="PJC84"/>
      <c r="PJD84"/>
      <c r="PJE84"/>
      <c r="PJF84"/>
      <c r="PJG84"/>
      <c r="PJH84"/>
      <c r="PJI84"/>
      <c r="PJJ84"/>
      <c r="PJK84"/>
      <c r="PJL84"/>
      <c r="PJM84"/>
      <c r="PJN84"/>
      <c r="PJO84"/>
      <c r="PJP84"/>
      <c r="PJQ84"/>
      <c r="PJR84"/>
      <c r="PJS84"/>
      <c r="PJT84"/>
      <c r="PJU84"/>
      <c r="PJV84"/>
      <c r="PJW84"/>
      <c r="PJX84"/>
      <c r="PJY84"/>
      <c r="PJZ84"/>
      <c r="PKA84"/>
      <c r="PKB84"/>
      <c r="PKC84"/>
      <c r="PKD84"/>
      <c r="PKE84"/>
      <c r="PKF84"/>
      <c r="PKG84"/>
      <c r="PKH84"/>
      <c r="PKI84"/>
      <c r="PKJ84"/>
      <c r="PKK84"/>
      <c r="PKL84"/>
      <c r="PKM84"/>
      <c r="PKN84"/>
      <c r="PKO84"/>
      <c r="PKP84"/>
      <c r="PKQ84"/>
      <c r="PKR84"/>
      <c r="PKS84"/>
      <c r="PKT84"/>
      <c r="PKU84"/>
      <c r="PKV84"/>
      <c r="PKW84"/>
      <c r="PKX84"/>
      <c r="PKY84"/>
      <c r="PKZ84"/>
      <c r="PLA84"/>
      <c r="PLB84"/>
      <c r="PLC84"/>
      <c r="PLD84"/>
      <c r="PLE84"/>
      <c r="PLF84"/>
      <c r="PLG84"/>
      <c r="PLH84"/>
      <c r="PLI84"/>
      <c r="PLJ84"/>
      <c r="PLK84"/>
      <c r="PLL84"/>
      <c r="PLM84"/>
      <c r="PLN84"/>
      <c r="PLO84"/>
      <c r="PLP84"/>
      <c r="PLQ84"/>
      <c r="PLR84"/>
      <c r="PLS84"/>
      <c r="PLT84"/>
      <c r="PLU84"/>
      <c r="PLV84"/>
      <c r="PLW84"/>
      <c r="PLX84"/>
      <c r="PLY84"/>
      <c r="PLZ84"/>
      <c r="PMA84"/>
      <c r="PMB84"/>
      <c r="PMC84"/>
      <c r="PMD84"/>
      <c r="PME84"/>
      <c r="PMF84"/>
      <c r="PMG84"/>
      <c r="PMH84"/>
      <c r="PMI84"/>
      <c r="PMJ84"/>
      <c r="PMK84"/>
      <c r="PML84"/>
      <c r="PMM84"/>
      <c r="PMN84"/>
      <c r="PMO84"/>
      <c r="PMP84"/>
      <c r="PMQ84"/>
      <c r="PMR84"/>
      <c r="PMS84"/>
      <c r="PMT84"/>
      <c r="PMU84"/>
      <c r="PMV84"/>
      <c r="PMW84"/>
      <c r="PMX84"/>
      <c r="PMY84"/>
      <c r="PMZ84"/>
      <c r="PNA84"/>
      <c r="PNB84"/>
      <c r="PNC84"/>
      <c r="PND84"/>
      <c r="PNE84"/>
      <c r="PNF84"/>
      <c r="PNG84"/>
      <c r="PNH84"/>
      <c r="PNI84"/>
      <c r="PNJ84"/>
      <c r="PNK84"/>
      <c r="PNL84"/>
      <c r="PNM84"/>
      <c r="PNN84"/>
      <c r="PNO84"/>
      <c r="PNP84"/>
      <c r="PNQ84"/>
      <c r="PNR84"/>
      <c r="PNS84"/>
      <c r="PNT84"/>
      <c r="PNU84"/>
      <c r="PNV84"/>
      <c r="PNW84"/>
      <c r="PNX84"/>
      <c r="PNY84"/>
      <c r="PNZ84"/>
      <c r="POA84"/>
      <c r="POB84"/>
      <c r="POC84"/>
      <c r="POD84"/>
      <c r="POE84"/>
      <c r="POF84"/>
      <c r="POG84"/>
      <c r="POH84"/>
      <c r="POI84"/>
      <c r="POJ84"/>
      <c r="POK84"/>
      <c r="POL84"/>
      <c r="POM84"/>
      <c r="PON84"/>
      <c r="POO84"/>
      <c r="POP84"/>
      <c r="POQ84"/>
      <c r="POR84"/>
      <c r="POS84"/>
      <c r="POT84"/>
      <c r="POU84"/>
      <c r="POV84"/>
      <c r="POW84"/>
      <c r="POX84"/>
      <c r="POY84"/>
      <c r="POZ84"/>
      <c r="PPA84"/>
      <c r="PPB84"/>
      <c r="PPC84"/>
      <c r="PPD84"/>
      <c r="PPE84"/>
      <c r="PPF84"/>
      <c r="PPG84"/>
      <c r="PPH84"/>
      <c r="PPI84"/>
      <c r="PPJ84"/>
      <c r="PPK84"/>
      <c r="PPL84"/>
      <c r="PPM84"/>
      <c r="PPN84"/>
      <c r="PPO84"/>
      <c r="PPP84"/>
      <c r="PPQ84"/>
      <c r="PPR84"/>
      <c r="PPS84"/>
      <c r="PPT84"/>
      <c r="PPU84"/>
      <c r="PPV84"/>
      <c r="PPW84"/>
      <c r="PPX84"/>
      <c r="PPY84"/>
      <c r="PPZ84"/>
      <c r="PQA84"/>
      <c r="PQB84"/>
      <c r="PQC84"/>
      <c r="PQD84"/>
      <c r="PQE84"/>
      <c r="PQF84"/>
      <c r="PQG84"/>
      <c r="PQH84"/>
      <c r="PQI84"/>
      <c r="PQJ84"/>
      <c r="PQK84"/>
      <c r="PQL84"/>
      <c r="PQM84"/>
      <c r="PQN84"/>
      <c r="PQO84"/>
      <c r="PQP84"/>
      <c r="PQQ84"/>
      <c r="PQR84"/>
      <c r="PQS84"/>
      <c r="PQT84"/>
      <c r="PQU84"/>
      <c r="PQV84"/>
      <c r="PQW84"/>
      <c r="PQX84"/>
      <c r="PQY84"/>
      <c r="PQZ84"/>
      <c r="PRA84"/>
      <c r="PRB84"/>
      <c r="PRC84"/>
      <c r="PRD84"/>
      <c r="PRE84"/>
      <c r="PRF84"/>
      <c r="PRG84"/>
      <c r="PRH84"/>
      <c r="PRI84"/>
      <c r="PRJ84"/>
      <c r="PRK84"/>
      <c r="PRL84"/>
      <c r="PRM84"/>
      <c r="PRN84"/>
      <c r="PRO84"/>
      <c r="PRP84"/>
      <c r="PRQ84"/>
      <c r="PRR84"/>
      <c r="PRS84"/>
      <c r="PRT84"/>
      <c r="PRU84"/>
      <c r="PRV84"/>
      <c r="PRW84"/>
      <c r="PRX84"/>
      <c r="PRY84"/>
      <c r="PRZ84"/>
      <c r="PSA84"/>
      <c r="PSB84"/>
      <c r="PSC84"/>
      <c r="PSD84"/>
      <c r="PSE84"/>
      <c r="PSF84"/>
      <c r="PSG84"/>
      <c r="PSH84"/>
      <c r="PSI84"/>
      <c r="PSJ84"/>
      <c r="PSK84"/>
      <c r="PSL84"/>
      <c r="PSM84"/>
      <c r="PSN84"/>
      <c r="PSO84"/>
      <c r="PSP84"/>
      <c r="PSQ84"/>
      <c r="PSR84"/>
      <c r="PSS84"/>
      <c r="PST84"/>
      <c r="PSU84"/>
      <c r="PSV84"/>
      <c r="PSW84"/>
      <c r="PSX84"/>
      <c r="PSY84"/>
      <c r="PSZ84"/>
      <c r="PTA84"/>
      <c r="PTB84"/>
      <c r="PTC84"/>
      <c r="PTD84"/>
      <c r="PTE84"/>
      <c r="PTF84"/>
      <c r="PTG84"/>
      <c r="PTH84"/>
      <c r="PTI84"/>
      <c r="PTJ84"/>
      <c r="PTK84"/>
      <c r="PTL84"/>
      <c r="PTM84"/>
      <c r="PTN84"/>
      <c r="PTO84"/>
      <c r="PTP84"/>
      <c r="PTQ84"/>
      <c r="PTR84"/>
      <c r="PTS84"/>
      <c r="PTT84"/>
      <c r="PTU84"/>
      <c r="PTV84"/>
      <c r="PTW84"/>
      <c r="PTX84"/>
      <c r="PTY84"/>
      <c r="PTZ84"/>
      <c r="PUA84"/>
      <c r="PUB84"/>
      <c r="PUC84"/>
      <c r="PUD84"/>
      <c r="PUE84"/>
      <c r="PUF84"/>
      <c r="PUG84"/>
      <c r="PUH84"/>
      <c r="PUI84"/>
      <c r="PUJ84"/>
      <c r="PUK84"/>
      <c r="PUL84"/>
      <c r="PUM84"/>
      <c r="PUN84"/>
      <c r="PUO84"/>
      <c r="PUP84"/>
      <c r="PUQ84"/>
      <c r="PUR84"/>
      <c r="PUS84"/>
      <c r="PUT84"/>
      <c r="PUU84"/>
      <c r="PUV84"/>
      <c r="PUW84"/>
      <c r="PUX84"/>
      <c r="PUY84"/>
      <c r="PUZ84"/>
      <c r="PVA84"/>
      <c r="PVB84"/>
      <c r="PVC84"/>
      <c r="PVD84"/>
      <c r="PVE84"/>
      <c r="PVF84"/>
      <c r="PVG84"/>
      <c r="PVH84"/>
      <c r="PVI84"/>
      <c r="PVJ84"/>
      <c r="PVK84"/>
      <c r="PVL84"/>
      <c r="PVM84"/>
      <c r="PVN84"/>
      <c r="PVO84"/>
      <c r="PVP84"/>
      <c r="PVQ84"/>
      <c r="PVR84"/>
      <c r="PVS84"/>
      <c r="PVT84"/>
      <c r="PVU84"/>
      <c r="PVV84"/>
      <c r="PVW84"/>
      <c r="PVX84"/>
      <c r="PVY84"/>
      <c r="PVZ84"/>
      <c r="PWA84"/>
      <c r="PWB84"/>
      <c r="PWC84"/>
      <c r="PWD84"/>
      <c r="PWE84"/>
      <c r="PWF84"/>
      <c r="PWG84"/>
      <c r="PWH84"/>
      <c r="PWI84"/>
      <c r="PWJ84"/>
      <c r="PWK84"/>
      <c r="PWL84"/>
      <c r="PWM84"/>
      <c r="PWN84"/>
      <c r="PWO84"/>
      <c r="PWP84"/>
      <c r="PWQ84"/>
      <c r="PWR84"/>
      <c r="PWS84"/>
      <c r="PWT84"/>
      <c r="PWU84"/>
      <c r="PWV84"/>
      <c r="PWW84"/>
      <c r="PWX84"/>
      <c r="PWY84"/>
      <c r="PWZ84"/>
      <c r="PXA84"/>
      <c r="PXB84"/>
      <c r="PXC84"/>
      <c r="PXD84"/>
      <c r="PXE84"/>
      <c r="PXF84"/>
      <c r="PXG84"/>
      <c r="PXH84"/>
      <c r="PXI84"/>
      <c r="PXJ84"/>
      <c r="PXK84"/>
      <c r="PXL84"/>
      <c r="PXM84"/>
      <c r="PXN84"/>
      <c r="PXO84"/>
      <c r="PXP84"/>
      <c r="PXQ84"/>
      <c r="PXR84"/>
      <c r="PXS84"/>
      <c r="PXT84"/>
      <c r="PXU84"/>
      <c r="PXV84"/>
      <c r="PXW84"/>
      <c r="PXX84"/>
      <c r="PXY84"/>
      <c r="PXZ84"/>
      <c r="PYA84"/>
      <c r="PYB84"/>
      <c r="PYC84"/>
      <c r="PYD84"/>
      <c r="PYE84"/>
      <c r="PYF84"/>
      <c r="PYG84"/>
      <c r="PYH84"/>
      <c r="PYI84"/>
      <c r="PYJ84"/>
      <c r="PYK84"/>
      <c r="PYL84"/>
      <c r="PYM84"/>
      <c r="PYN84"/>
      <c r="PYO84"/>
      <c r="PYP84"/>
      <c r="PYQ84"/>
      <c r="PYR84"/>
      <c r="PYS84"/>
      <c r="PYT84"/>
      <c r="PYU84"/>
      <c r="PYV84"/>
      <c r="PYW84"/>
      <c r="PYX84"/>
      <c r="PYY84"/>
      <c r="PYZ84"/>
      <c r="PZA84"/>
      <c r="PZB84"/>
      <c r="PZC84"/>
      <c r="PZD84"/>
      <c r="PZE84"/>
      <c r="PZF84"/>
      <c r="PZG84"/>
      <c r="PZH84"/>
      <c r="PZI84"/>
      <c r="PZJ84"/>
      <c r="PZK84"/>
      <c r="PZL84"/>
      <c r="PZM84"/>
      <c r="PZN84"/>
      <c r="PZO84"/>
      <c r="PZP84"/>
      <c r="PZQ84"/>
      <c r="PZR84"/>
      <c r="PZS84"/>
      <c r="PZT84"/>
      <c r="PZU84"/>
      <c r="PZV84"/>
      <c r="PZW84"/>
      <c r="PZX84"/>
      <c r="PZY84"/>
      <c r="PZZ84"/>
      <c r="QAA84"/>
      <c r="QAB84"/>
      <c r="QAC84"/>
      <c r="QAD84"/>
      <c r="QAE84"/>
      <c r="QAF84"/>
      <c r="QAG84"/>
      <c r="QAH84"/>
      <c r="QAI84"/>
      <c r="QAJ84"/>
      <c r="QAK84"/>
      <c r="QAL84"/>
      <c r="QAM84"/>
      <c r="QAN84"/>
      <c r="QAO84"/>
      <c r="QAP84"/>
      <c r="QAQ84"/>
      <c r="QAR84"/>
      <c r="QAS84"/>
      <c r="QAT84"/>
      <c r="QAU84"/>
      <c r="QAV84"/>
      <c r="QAW84"/>
      <c r="QAX84"/>
      <c r="QAY84"/>
      <c r="QAZ84"/>
      <c r="QBA84"/>
      <c r="QBB84"/>
      <c r="QBC84"/>
      <c r="QBD84"/>
      <c r="QBE84"/>
      <c r="QBF84"/>
      <c r="QBG84"/>
      <c r="QBH84"/>
      <c r="QBI84"/>
      <c r="QBJ84"/>
      <c r="QBK84"/>
      <c r="QBL84"/>
      <c r="QBM84"/>
      <c r="QBN84"/>
      <c r="QBO84"/>
      <c r="QBP84"/>
      <c r="QBQ84"/>
      <c r="QBR84"/>
      <c r="QBS84"/>
      <c r="QBT84"/>
      <c r="QBU84"/>
      <c r="QBV84"/>
      <c r="QBW84"/>
      <c r="QBX84"/>
      <c r="QBY84"/>
      <c r="QBZ84"/>
      <c r="QCA84"/>
      <c r="QCB84"/>
      <c r="QCC84"/>
      <c r="QCD84"/>
      <c r="QCE84"/>
      <c r="QCF84"/>
      <c r="QCG84"/>
      <c r="QCH84"/>
      <c r="QCI84"/>
      <c r="QCJ84"/>
      <c r="QCK84"/>
      <c r="QCL84"/>
      <c r="QCM84"/>
      <c r="QCN84"/>
      <c r="QCO84"/>
      <c r="QCP84"/>
      <c r="QCQ84"/>
      <c r="QCR84"/>
      <c r="QCS84"/>
      <c r="QCT84"/>
      <c r="QCU84"/>
      <c r="QCV84"/>
      <c r="QCW84"/>
      <c r="QCX84"/>
      <c r="QCY84"/>
      <c r="QCZ84"/>
      <c r="QDA84"/>
      <c r="QDB84"/>
      <c r="QDC84"/>
      <c r="QDD84"/>
      <c r="QDE84"/>
      <c r="QDF84"/>
      <c r="QDG84"/>
      <c r="QDH84"/>
      <c r="QDI84"/>
      <c r="QDJ84"/>
      <c r="QDK84"/>
      <c r="QDL84"/>
      <c r="QDM84"/>
      <c r="QDN84"/>
      <c r="QDO84"/>
      <c r="QDP84"/>
      <c r="QDQ84"/>
      <c r="QDR84"/>
      <c r="QDS84"/>
      <c r="QDT84"/>
      <c r="QDU84"/>
      <c r="QDV84"/>
      <c r="QDW84"/>
      <c r="QDX84"/>
      <c r="QDY84"/>
      <c r="QDZ84"/>
      <c r="QEA84"/>
      <c r="QEB84"/>
      <c r="QEC84"/>
      <c r="QED84"/>
      <c r="QEE84"/>
      <c r="QEF84"/>
      <c r="QEG84"/>
      <c r="QEH84"/>
      <c r="QEI84"/>
      <c r="QEJ84"/>
      <c r="QEK84"/>
      <c r="QEL84"/>
      <c r="QEM84"/>
      <c r="QEN84"/>
      <c r="QEO84"/>
      <c r="QEP84"/>
      <c r="QEQ84"/>
      <c r="QER84"/>
      <c r="QES84"/>
      <c r="QET84"/>
      <c r="QEU84"/>
      <c r="QEV84"/>
      <c r="QEW84"/>
      <c r="QEX84"/>
      <c r="QEY84"/>
      <c r="QEZ84"/>
      <c r="QFA84"/>
      <c r="QFB84"/>
      <c r="QFC84"/>
      <c r="QFD84"/>
      <c r="QFE84"/>
      <c r="QFF84"/>
      <c r="QFG84"/>
      <c r="QFH84"/>
      <c r="QFI84"/>
      <c r="QFJ84"/>
      <c r="QFK84"/>
      <c r="QFL84"/>
      <c r="QFM84"/>
      <c r="QFN84"/>
      <c r="QFO84"/>
      <c r="QFP84"/>
      <c r="QFQ84"/>
      <c r="QFR84"/>
      <c r="QFS84"/>
      <c r="QFT84"/>
      <c r="QFU84"/>
      <c r="QFV84"/>
      <c r="QFW84"/>
      <c r="QFX84"/>
      <c r="QFY84"/>
      <c r="QFZ84"/>
      <c r="QGA84"/>
      <c r="QGB84"/>
      <c r="QGC84"/>
      <c r="QGD84"/>
      <c r="QGE84"/>
      <c r="QGF84"/>
      <c r="QGG84"/>
      <c r="QGH84"/>
      <c r="QGI84"/>
      <c r="QGJ84"/>
      <c r="QGK84"/>
      <c r="QGL84"/>
      <c r="QGM84"/>
      <c r="QGN84"/>
      <c r="QGO84"/>
      <c r="QGP84"/>
      <c r="QGQ84"/>
      <c r="QGR84"/>
      <c r="QGS84"/>
      <c r="QGT84"/>
      <c r="QGU84"/>
      <c r="QGV84"/>
      <c r="QGW84"/>
      <c r="QGX84"/>
      <c r="QGY84"/>
      <c r="QGZ84"/>
      <c r="QHA84"/>
      <c r="QHB84"/>
      <c r="QHC84"/>
      <c r="QHD84"/>
      <c r="QHE84"/>
      <c r="QHF84"/>
      <c r="QHG84"/>
      <c r="QHH84"/>
      <c r="QHI84"/>
      <c r="QHJ84"/>
      <c r="QHK84"/>
      <c r="QHL84"/>
      <c r="QHM84"/>
      <c r="QHN84"/>
      <c r="QHO84"/>
      <c r="QHP84"/>
      <c r="QHQ84"/>
      <c r="QHR84"/>
      <c r="QHS84"/>
      <c r="QHT84"/>
      <c r="QHU84"/>
      <c r="QHV84"/>
      <c r="QHW84"/>
      <c r="QHX84"/>
      <c r="QHY84"/>
      <c r="QHZ84"/>
      <c r="QIA84"/>
      <c r="QIB84"/>
      <c r="QIC84"/>
      <c r="QID84"/>
      <c r="QIE84"/>
      <c r="QIF84"/>
      <c r="QIG84"/>
      <c r="QIH84"/>
      <c r="QII84"/>
      <c r="QIJ84"/>
      <c r="QIK84"/>
      <c r="QIL84"/>
      <c r="QIM84"/>
      <c r="QIN84"/>
      <c r="QIO84"/>
      <c r="QIP84"/>
      <c r="QIQ84"/>
      <c r="QIR84"/>
      <c r="QIS84"/>
      <c r="QIT84"/>
      <c r="QIU84"/>
      <c r="QIV84"/>
      <c r="QIW84"/>
      <c r="QIX84"/>
      <c r="QIY84"/>
      <c r="QIZ84"/>
      <c r="QJA84"/>
      <c r="QJB84"/>
      <c r="QJC84"/>
      <c r="QJD84"/>
      <c r="QJE84"/>
      <c r="QJF84"/>
      <c r="QJG84"/>
      <c r="QJH84"/>
      <c r="QJI84"/>
      <c r="QJJ84"/>
      <c r="QJK84"/>
      <c r="QJL84"/>
      <c r="QJM84"/>
      <c r="QJN84"/>
      <c r="QJO84"/>
      <c r="QJP84"/>
      <c r="QJQ84"/>
      <c r="QJR84"/>
      <c r="QJS84"/>
      <c r="QJT84"/>
      <c r="QJU84"/>
      <c r="QJV84"/>
      <c r="QJW84"/>
      <c r="QJX84"/>
      <c r="QJY84"/>
      <c r="QJZ84"/>
      <c r="QKA84"/>
      <c r="QKB84"/>
      <c r="QKC84"/>
      <c r="QKD84"/>
      <c r="QKE84"/>
      <c r="QKF84"/>
      <c r="QKG84"/>
      <c r="QKH84"/>
      <c r="QKI84"/>
      <c r="QKJ84"/>
      <c r="QKK84"/>
      <c r="QKL84"/>
      <c r="QKM84"/>
      <c r="QKN84"/>
      <c r="QKO84"/>
      <c r="QKP84"/>
      <c r="QKQ84"/>
      <c r="QKR84"/>
      <c r="QKS84"/>
      <c r="QKT84"/>
      <c r="QKU84"/>
      <c r="QKV84"/>
      <c r="QKW84"/>
      <c r="QKX84"/>
      <c r="QKY84"/>
      <c r="QKZ84"/>
      <c r="QLA84"/>
      <c r="QLB84"/>
      <c r="QLC84"/>
      <c r="QLD84"/>
      <c r="QLE84"/>
      <c r="QLF84"/>
      <c r="QLG84"/>
      <c r="QLH84"/>
      <c r="QLI84"/>
      <c r="QLJ84"/>
      <c r="QLK84"/>
      <c r="QLL84"/>
      <c r="QLM84"/>
      <c r="QLN84"/>
      <c r="QLO84"/>
      <c r="QLP84"/>
      <c r="QLQ84"/>
      <c r="QLR84"/>
      <c r="QLS84"/>
      <c r="QLT84"/>
      <c r="QLU84"/>
      <c r="QLV84"/>
      <c r="QLW84"/>
      <c r="QLX84"/>
      <c r="QLY84"/>
      <c r="QLZ84"/>
      <c r="QMA84"/>
      <c r="QMB84"/>
      <c r="QMC84"/>
      <c r="QMD84"/>
      <c r="QME84"/>
      <c r="QMF84"/>
      <c r="QMG84"/>
      <c r="QMH84"/>
      <c r="QMI84"/>
      <c r="QMJ84"/>
      <c r="QMK84"/>
      <c r="QML84"/>
      <c r="QMM84"/>
      <c r="QMN84"/>
      <c r="QMO84"/>
      <c r="QMP84"/>
      <c r="QMQ84"/>
      <c r="QMR84"/>
      <c r="QMS84"/>
      <c r="QMT84"/>
      <c r="QMU84"/>
      <c r="QMV84"/>
      <c r="QMW84"/>
      <c r="QMX84"/>
      <c r="QMY84"/>
      <c r="QMZ84"/>
      <c r="QNA84"/>
      <c r="QNB84"/>
      <c r="QNC84"/>
      <c r="QND84"/>
      <c r="QNE84"/>
      <c r="QNF84"/>
      <c r="QNG84"/>
      <c r="QNH84"/>
      <c r="QNI84"/>
      <c r="QNJ84"/>
      <c r="QNK84"/>
      <c r="QNL84"/>
      <c r="QNM84"/>
      <c r="QNN84"/>
      <c r="QNO84"/>
      <c r="QNP84"/>
      <c r="QNQ84"/>
      <c r="QNR84"/>
      <c r="QNS84"/>
      <c r="QNT84"/>
      <c r="QNU84"/>
      <c r="QNV84"/>
      <c r="QNW84"/>
      <c r="QNX84"/>
      <c r="QNY84"/>
      <c r="QNZ84"/>
      <c r="QOA84"/>
      <c r="QOB84"/>
      <c r="QOC84"/>
      <c r="QOD84"/>
      <c r="QOE84"/>
      <c r="QOF84"/>
      <c r="QOG84"/>
      <c r="QOH84"/>
      <c r="QOI84"/>
      <c r="QOJ84"/>
      <c r="QOK84"/>
      <c r="QOL84"/>
      <c r="QOM84"/>
      <c r="QON84"/>
      <c r="QOO84"/>
      <c r="QOP84"/>
      <c r="QOQ84"/>
      <c r="QOR84"/>
      <c r="QOS84"/>
      <c r="QOT84"/>
      <c r="QOU84"/>
      <c r="QOV84"/>
      <c r="QOW84"/>
      <c r="QOX84"/>
      <c r="QOY84"/>
      <c r="QOZ84"/>
      <c r="QPA84"/>
      <c r="QPB84"/>
      <c r="QPC84"/>
      <c r="QPD84"/>
      <c r="QPE84"/>
      <c r="QPF84"/>
      <c r="QPG84"/>
      <c r="QPH84"/>
      <c r="QPI84"/>
      <c r="QPJ84"/>
      <c r="QPK84"/>
      <c r="QPL84"/>
      <c r="QPM84"/>
      <c r="QPN84"/>
      <c r="QPO84"/>
      <c r="QPP84"/>
      <c r="QPQ84"/>
      <c r="QPR84"/>
      <c r="QPS84"/>
      <c r="QPT84"/>
      <c r="QPU84"/>
      <c r="QPV84"/>
      <c r="QPW84"/>
      <c r="QPX84"/>
      <c r="QPY84"/>
      <c r="QPZ84"/>
      <c r="QQA84"/>
      <c r="QQB84"/>
      <c r="QQC84"/>
      <c r="QQD84"/>
      <c r="QQE84"/>
      <c r="QQF84"/>
      <c r="QQG84"/>
      <c r="QQH84"/>
      <c r="QQI84"/>
      <c r="QQJ84"/>
      <c r="QQK84"/>
      <c r="QQL84"/>
      <c r="QQM84"/>
      <c r="QQN84"/>
      <c r="QQO84"/>
      <c r="QQP84"/>
      <c r="QQQ84"/>
      <c r="QQR84"/>
      <c r="QQS84"/>
      <c r="QQT84"/>
      <c r="QQU84"/>
      <c r="QQV84"/>
      <c r="QQW84"/>
      <c r="QQX84"/>
      <c r="QQY84"/>
      <c r="QQZ84"/>
      <c r="QRA84"/>
      <c r="QRB84"/>
      <c r="QRC84"/>
      <c r="QRD84"/>
      <c r="QRE84"/>
      <c r="QRF84"/>
      <c r="QRG84"/>
      <c r="QRH84"/>
      <c r="QRI84"/>
      <c r="QRJ84"/>
      <c r="QRK84"/>
      <c r="QRL84"/>
      <c r="QRM84"/>
      <c r="QRN84"/>
      <c r="QRO84"/>
      <c r="QRP84"/>
      <c r="QRQ84"/>
      <c r="QRR84"/>
      <c r="QRS84"/>
      <c r="QRT84"/>
      <c r="QRU84"/>
      <c r="QRV84"/>
      <c r="QRW84"/>
      <c r="QRX84"/>
      <c r="QRY84"/>
      <c r="QRZ84"/>
      <c r="QSA84"/>
      <c r="QSB84"/>
      <c r="QSC84"/>
      <c r="QSD84"/>
      <c r="QSE84"/>
      <c r="QSF84"/>
      <c r="QSG84"/>
      <c r="QSH84"/>
      <c r="QSI84"/>
      <c r="QSJ84"/>
      <c r="QSK84"/>
      <c r="QSL84"/>
      <c r="QSM84"/>
      <c r="QSN84"/>
      <c r="QSO84"/>
      <c r="QSP84"/>
      <c r="QSQ84"/>
      <c r="QSR84"/>
      <c r="QSS84"/>
      <c r="QST84"/>
      <c r="QSU84"/>
      <c r="QSV84"/>
      <c r="QSW84"/>
      <c r="QSX84"/>
      <c r="QSY84"/>
      <c r="QSZ84"/>
      <c r="QTA84"/>
      <c r="QTB84"/>
      <c r="QTC84"/>
      <c r="QTD84"/>
      <c r="QTE84"/>
      <c r="QTF84"/>
      <c r="QTG84"/>
      <c r="QTH84"/>
      <c r="QTI84"/>
      <c r="QTJ84"/>
      <c r="QTK84"/>
      <c r="QTL84"/>
      <c r="QTM84"/>
      <c r="QTN84"/>
      <c r="QTO84"/>
      <c r="QTP84"/>
      <c r="QTQ84"/>
      <c r="QTR84"/>
      <c r="QTS84"/>
      <c r="QTT84"/>
      <c r="QTU84"/>
      <c r="QTV84"/>
      <c r="QTW84"/>
      <c r="QTX84"/>
      <c r="QTY84"/>
      <c r="QTZ84"/>
      <c r="QUA84"/>
      <c r="QUB84"/>
      <c r="QUC84"/>
      <c r="QUD84"/>
      <c r="QUE84"/>
      <c r="QUF84"/>
      <c r="QUG84"/>
      <c r="QUH84"/>
      <c r="QUI84"/>
      <c r="QUJ84"/>
      <c r="QUK84"/>
      <c r="QUL84"/>
      <c r="QUM84"/>
      <c r="QUN84"/>
      <c r="QUO84"/>
      <c r="QUP84"/>
      <c r="QUQ84"/>
      <c r="QUR84"/>
      <c r="QUS84"/>
      <c r="QUT84"/>
      <c r="QUU84"/>
      <c r="QUV84"/>
      <c r="QUW84"/>
      <c r="QUX84"/>
      <c r="QUY84"/>
      <c r="QUZ84"/>
      <c r="QVA84"/>
      <c r="QVB84"/>
      <c r="QVC84"/>
      <c r="QVD84"/>
      <c r="QVE84"/>
      <c r="QVF84"/>
      <c r="QVG84"/>
      <c r="QVH84"/>
      <c r="QVI84"/>
      <c r="QVJ84"/>
      <c r="QVK84"/>
      <c r="QVL84"/>
      <c r="QVM84"/>
      <c r="QVN84"/>
      <c r="QVO84"/>
      <c r="QVP84"/>
      <c r="QVQ84"/>
      <c r="QVR84"/>
      <c r="QVS84"/>
      <c r="QVT84"/>
      <c r="QVU84"/>
      <c r="QVV84"/>
      <c r="QVW84"/>
      <c r="QVX84"/>
      <c r="QVY84"/>
      <c r="QVZ84"/>
      <c r="QWA84"/>
      <c r="QWB84"/>
      <c r="QWC84"/>
      <c r="QWD84"/>
      <c r="QWE84"/>
      <c r="QWF84"/>
      <c r="QWG84"/>
      <c r="QWH84"/>
      <c r="QWI84"/>
      <c r="QWJ84"/>
      <c r="QWK84"/>
      <c r="QWL84"/>
      <c r="QWM84"/>
      <c r="QWN84"/>
      <c r="QWO84"/>
      <c r="QWP84"/>
      <c r="QWQ84"/>
      <c r="QWR84"/>
      <c r="QWS84"/>
      <c r="QWT84"/>
      <c r="QWU84"/>
      <c r="QWV84"/>
      <c r="QWW84"/>
      <c r="QWX84"/>
      <c r="QWY84"/>
      <c r="QWZ84"/>
      <c r="QXA84"/>
      <c r="QXB84"/>
      <c r="QXC84"/>
      <c r="QXD84"/>
      <c r="QXE84"/>
      <c r="QXF84"/>
      <c r="QXG84"/>
      <c r="QXH84"/>
      <c r="QXI84"/>
      <c r="QXJ84"/>
      <c r="QXK84"/>
      <c r="QXL84"/>
      <c r="QXM84"/>
      <c r="QXN84"/>
      <c r="QXO84"/>
      <c r="QXP84"/>
      <c r="QXQ84"/>
      <c r="QXR84"/>
      <c r="QXS84"/>
      <c r="QXT84"/>
      <c r="QXU84"/>
      <c r="QXV84"/>
      <c r="QXW84"/>
      <c r="QXX84"/>
      <c r="QXY84"/>
      <c r="QXZ84"/>
      <c r="QYA84"/>
      <c r="QYB84"/>
      <c r="QYC84"/>
      <c r="QYD84"/>
      <c r="QYE84"/>
      <c r="QYF84"/>
      <c r="QYG84"/>
      <c r="QYH84"/>
      <c r="QYI84"/>
      <c r="QYJ84"/>
      <c r="QYK84"/>
      <c r="QYL84"/>
      <c r="QYM84"/>
      <c r="QYN84"/>
      <c r="QYO84"/>
      <c r="QYP84"/>
      <c r="QYQ84"/>
      <c r="QYR84"/>
      <c r="QYS84"/>
      <c r="QYT84"/>
      <c r="QYU84"/>
      <c r="QYV84"/>
      <c r="QYW84"/>
      <c r="QYX84"/>
      <c r="QYY84"/>
      <c r="QYZ84"/>
      <c r="QZA84"/>
      <c r="QZB84"/>
      <c r="QZC84"/>
      <c r="QZD84"/>
      <c r="QZE84"/>
      <c r="QZF84"/>
      <c r="QZG84"/>
      <c r="QZH84"/>
      <c r="QZI84"/>
      <c r="QZJ84"/>
      <c r="QZK84"/>
      <c r="QZL84"/>
      <c r="QZM84"/>
      <c r="QZN84"/>
      <c r="QZO84"/>
      <c r="QZP84"/>
      <c r="QZQ84"/>
      <c r="QZR84"/>
      <c r="QZS84"/>
      <c r="QZT84"/>
      <c r="QZU84"/>
      <c r="QZV84"/>
      <c r="QZW84"/>
      <c r="QZX84"/>
      <c r="QZY84"/>
      <c r="QZZ84"/>
      <c r="RAA84"/>
      <c r="RAB84"/>
      <c r="RAC84"/>
      <c r="RAD84"/>
      <c r="RAE84"/>
      <c r="RAF84"/>
      <c r="RAG84"/>
      <c r="RAH84"/>
      <c r="RAI84"/>
      <c r="RAJ84"/>
      <c r="RAK84"/>
      <c r="RAL84"/>
      <c r="RAM84"/>
      <c r="RAN84"/>
      <c r="RAO84"/>
      <c r="RAP84"/>
      <c r="RAQ84"/>
      <c r="RAR84"/>
      <c r="RAS84"/>
      <c r="RAT84"/>
      <c r="RAU84"/>
      <c r="RAV84"/>
      <c r="RAW84"/>
      <c r="RAX84"/>
      <c r="RAY84"/>
      <c r="RAZ84"/>
      <c r="RBA84"/>
      <c r="RBB84"/>
      <c r="RBC84"/>
      <c r="RBD84"/>
      <c r="RBE84"/>
      <c r="RBF84"/>
      <c r="RBG84"/>
      <c r="RBH84"/>
      <c r="RBI84"/>
      <c r="RBJ84"/>
      <c r="RBK84"/>
      <c r="RBL84"/>
      <c r="RBM84"/>
      <c r="RBN84"/>
      <c r="RBO84"/>
      <c r="RBP84"/>
      <c r="RBQ84"/>
      <c r="RBR84"/>
      <c r="RBS84"/>
      <c r="RBT84"/>
      <c r="RBU84"/>
      <c r="RBV84"/>
      <c r="RBW84"/>
      <c r="RBX84"/>
      <c r="RBY84"/>
      <c r="RBZ84"/>
      <c r="RCA84"/>
      <c r="RCB84"/>
      <c r="RCC84"/>
      <c r="RCD84"/>
      <c r="RCE84"/>
      <c r="RCF84"/>
      <c r="RCG84"/>
      <c r="RCH84"/>
      <c r="RCI84"/>
      <c r="RCJ84"/>
      <c r="RCK84"/>
      <c r="RCL84"/>
      <c r="RCM84"/>
      <c r="RCN84"/>
      <c r="RCO84"/>
      <c r="RCP84"/>
      <c r="RCQ84"/>
      <c r="RCR84"/>
      <c r="RCS84"/>
      <c r="RCT84"/>
      <c r="RCU84"/>
      <c r="RCV84"/>
      <c r="RCW84"/>
      <c r="RCX84"/>
      <c r="RCY84"/>
      <c r="RCZ84"/>
      <c r="RDA84"/>
      <c r="RDB84"/>
      <c r="RDC84"/>
      <c r="RDD84"/>
      <c r="RDE84"/>
      <c r="RDF84"/>
      <c r="RDG84"/>
      <c r="RDH84"/>
      <c r="RDI84"/>
      <c r="RDJ84"/>
      <c r="RDK84"/>
      <c r="RDL84"/>
      <c r="RDM84"/>
      <c r="RDN84"/>
      <c r="RDO84"/>
      <c r="RDP84"/>
      <c r="RDQ84"/>
      <c r="RDR84"/>
      <c r="RDS84"/>
      <c r="RDT84"/>
      <c r="RDU84"/>
      <c r="RDV84"/>
      <c r="RDW84"/>
      <c r="RDX84"/>
      <c r="RDY84"/>
      <c r="RDZ84"/>
      <c r="REA84"/>
      <c r="REB84"/>
      <c r="REC84"/>
      <c r="RED84"/>
      <c r="REE84"/>
      <c r="REF84"/>
      <c r="REG84"/>
      <c r="REH84"/>
      <c r="REI84"/>
      <c r="REJ84"/>
      <c r="REK84"/>
      <c r="REL84"/>
      <c r="REM84"/>
      <c r="REN84"/>
      <c r="REO84"/>
      <c r="REP84"/>
      <c r="REQ84"/>
      <c r="RER84"/>
      <c r="RES84"/>
      <c r="RET84"/>
      <c r="REU84"/>
      <c r="REV84"/>
      <c r="REW84"/>
      <c r="REX84"/>
      <c r="REY84"/>
      <c r="REZ84"/>
      <c r="RFA84"/>
      <c r="RFB84"/>
      <c r="RFC84"/>
      <c r="RFD84"/>
      <c r="RFE84"/>
      <c r="RFF84"/>
      <c r="RFG84"/>
      <c r="RFH84"/>
      <c r="RFI84"/>
      <c r="RFJ84"/>
      <c r="RFK84"/>
      <c r="RFL84"/>
      <c r="RFM84"/>
      <c r="RFN84"/>
      <c r="RFO84"/>
      <c r="RFP84"/>
      <c r="RFQ84"/>
      <c r="RFR84"/>
      <c r="RFS84"/>
      <c r="RFT84"/>
      <c r="RFU84"/>
      <c r="RFV84"/>
      <c r="RFW84"/>
      <c r="RFX84"/>
      <c r="RFY84"/>
      <c r="RFZ84"/>
      <c r="RGA84"/>
      <c r="RGB84"/>
      <c r="RGC84"/>
      <c r="RGD84"/>
      <c r="RGE84"/>
      <c r="RGF84"/>
      <c r="RGG84"/>
      <c r="RGH84"/>
      <c r="RGI84"/>
      <c r="RGJ84"/>
      <c r="RGK84"/>
      <c r="RGL84"/>
      <c r="RGM84"/>
      <c r="RGN84"/>
      <c r="RGO84"/>
      <c r="RGP84"/>
      <c r="RGQ84"/>
      <c r="RGR84"/>
      <c r="RGS84"/>
      <c r="RGT84"/>
      <c r="RGU84"/>
      <c r="RGV84"/>
      <c r="RGW84"/>
      <c r="RGX84"/>
      <c r="RGY84"/>
      <c r="RGZ84"/>
      <c r="RHA84"/>
      <c r="RHB84"/>
      <c r="RHC84"/>
      <c r="RHD84"/>
      <c r="RHE84"/>
      <c r="RHF84"/>
      <c r="RHG84"/>
      <c r="RHH84"/>
      <c r="RHI84"/>
      <c r="RHJ84"/>
      <c r="RHK84"/>
      <c r="RHL84"/>
      <c r="RHM84"/>
      <c r="RHN84"/>
      <c r="RHO84"/>
      <c r="RHP84"/>
      <c r="RHQ84"/>
      <c r="RHR84"/>
      <c r="RHS84"/>
      <c r="RHT84"/>
      <c r="RHU84"/>
      <c r="RHV84"/>
      <c r="RHW84"/>
      <c r="RHX84"/>
      <c r="RHY84"/>
      <c r="RHZ84"/>
      <c r="RIA84"/>
      <c r="RIB84"/>
      <c r="RIC84"/>
      <c r="RID84"/>
      <c r="RIE84"/>
      <c r="RIF84"/>
      <c r="RIG84"/>
      <c r="RIH84"/>
      <c r="RII84"/>
      <c r="RIJ84"/>
      <c r="RIK84"/>
      <c r="RIL84"/>
      <c r="RIM84"/>
      <c r="RIN84"/>
      <c r="RIO84"/>
      <c r="RIP84"/>
      <c r="RIQ84"/>
      <c r="RIR84"/>
      <c r="RIS84"/>
      <c r="RIT84"/>
      <c r="RIU84"/>
      <c r="RIV84"/>
      <c r="RIW84"/>
      <c r="RIX84"/>
      <c r="RIY84"/>
      <c r="RIZ84"/>
      <c r="RJA84"/>
      <c r="RJB84"/>
      <c r="RJC84"/>
      <c r="RJD84"/>
      <c r="RJE84"/>
      <c r="RJF84"/>
      <c r="RJG84"/>
      <c r="RJH84"/>
      <c r="RJI84"/>
      <c r="RJJ84"/>
      <c r="RJK84"/>
      <c r="RJL84"/>
      <c r="RJM84"/>
      <c r="RJN84"/>
      <c r="RJO84"/>
      <c r="RJP84"/>
      <c r="RJQ84"/>
      <c r="RJR84"/>
      <c r="RJS84"/>
      <c r="RJT84"/>
      <c r="RJU84"/>
      <c r="RJV84"/>
      <c r="RJW84"/>
      <c r="RJX84"/>
      <c r="RJY84"/>
      <c r="RJZ84"/>
      <c r="RKA84"/>
      <c r="RKB84"/>
      <c r="RKC84"/>
      <c r="RKD84"/>
      <c r="RKE84"/>
      <c r="RKF84"/>
      <c r="RKG84"/>
      <c r="RKH84"/>
      <c r="RKI84"/>
      <c r="RKJ84"/>
      <c r="RKK84"/>
      <c r="RKL84"/>
      <c r="RKM84"/>
      <c r="RKN84"/>
      <c r="RKO84"/>
      <c r="RKP84"/>
      <c r="RKQ84"/>
      <c r="RKR84"/>
      <c r="RKS84"/>
      <c r="RKT84"/>
      <c r="RKU84"/>
      <c r="RKV84"/>
      <c r="RKW84"/>
      <c r="RKX84"/>
      <c r="RKY84"/>
      <c r="RKZ84"/>
      <c r="RLA84"/>
      <c r="RLB84"/>
      <c r="RLC84"/>
      <c r="RLD84"/>
      <c r="RLE84"/>
      <c r="RLF84"/>
      <c r="RLG84"/>
      <c r="RLH84"/>
      <c r="RLI84"/>
      <c r="RLJ84"/>
      <c r="RLK84"/>
      <c r="RLL84"/>
      <c r="RLM84"/>
      <c r="RLN84"/>
      <c r="RLO84"/>
      <c r="RLP84"/>
      <c r="RLQ84"/>
      <c r="RLR84"/>
      <c r="RLS84"/>
      <c r="RLT84"/>
      <c r="RLU84"/>
      <c r="RLV84"/>
      <c r="RLW84"/>
      <c r="RLX84"/>
      <c r="RLY84"/>
      <c r="RLZ84"/>
      <c r="RMA84"/>
      <c r="RMB84"/>
      <c r="RMC84"/>
      <c r="RMD84"/>
      <c r="RME84"/>
      <c r="RMF84"/>
      <c r="RMG84"/>
      <c r="RMH84"/>
      <c r="RMI84"/>
      <c r="RMJ84"/>
      <c r="RMK84"/>
      <c r="RML84"/>
      <c r="RMM84"/>
      <c r="RMN84"/>
      <c r="RMO84"/>
      <c r="RMP84"/>
      <c r="RMQ84"/>
      <c r="RMR84"/>
      <c r="RMS84"/>
      <c r="RMT84"/>
      <c r="RMU84"/>
      <c r="RMV84"/>
      <c r="RMW84"/>
      <c r="RMX84"/>
      <c r="RMY84"/>
      <c r="RMZ84"/>
      <c r="RNA84"/>
      <c r="RNB84"/>
      <c r="RNC84"/>
      <c r="RND84"/>
      <c r="RNE84"/>
      <c r="RNF84"/>
      <c r="RNG84"/>
      <c r="RNH84"/>
      <c r="RNI84"/>
      <c r="RNJ84"/>
      <c r="RNK84"/>
      <c r="RNL84"/>
      <c r="RNM84"/>
      <c r="RNN84"/>
      <c r="RNO84"/>
      <c r="RNP84"/>
      <c r="RNQ84"/>
      <c r="RNR84"/>
      <c r="RNS84"/>
      <c r="RNT84"/>
      <c r="RNU84"/>
      <c r="RNV84"/>
      <c r="RNW84"/>
      <c r="RNX84"/>
      <c r="RNY84"/>
      <c r="RNZ84"/>
      <c r="ROA84"/>
      <c r="ROB84"/>
      <c r="ROC84"/>
      <c r="ROD84"/>
      <c r="ROE84"/>
      <c r="ROF84"/>
      <c r="ROG84"/>
      <c r="ROH84"/>
      <c r="ROI84"/>
      <c r="ROJ84"/>
      <c r="ROK84"/>
      <c r="ROL84"/>
      <c r="ROM84"/>
      <c r="RON84"/>
      <c r="ROO84"/>
      <c r="ROP84"/>
      <c r="ROQ84"/>
      <c r="ROR84"/>
      <c r="ROS84"/>
      <c r="ROT84"/>
      <c r="ROU84"/>
      <c r="ROV84"/>
      <c r="ROW84"/>
      <c r="ROX84"/>
      <c r="ROY84"/>
      <c r="ROZ84"/>
      <c r="RPA84"/>
      <c r="RPB84"/>
      <c r="RPC84"/>
      <c r="RPD84"/>
      <c r="RPE84"/>
      <c r="RPF84"/>
      <c r="RPG84"/>
      <c r="RPH84"/>
      <c r="RPI84"/>
      <c r="RPJ84"/>
      <c r="RPK84"/>
      <c r="RPL84"/>
      <c r="RPM84"/>
      <c r="RPN84"/>
      <c r="RPO84"/>
      <c r="RPP84"/>
      <c r="RPQ84"/>
      <c r="RPR84"/>
      <c r="RPS84"/>
      <c r="RPT84"/>
      <c r="RPU84"/>
      <c r="RPV84"/>
      <c r="RPW84"/>
      <c r="RPX84"/>
      <c r="RPY84"/>
      <c r="RPZ84"/>
      <c r="RQA84"/>
      <c r="RQB84"/>
      <c r="RQC84"/>
      <c r="RQD84"/>
      <c r="RQE84"/>
      <c r="RQF84"/>
      <c r="RQG84"/>
      <c r="RQH84"/>
      <c r="RQI84"/>
      <c r="RQJ84"/>
      <c r="RQK84"/>
      <c r="RQL84"/>
      <c r="RQM84"/>
      <c r="RQN84"/>
      <c r="RQO84"/>
      <c r="RQP84"/>
      <c r="RQQ84"/>
      <c r="RQR84"/>
      <c r="RQS84"/>
      <c r="RQT84"/>
      <c r="RQU84"/>
      <c r="RQV84"/>
      <c r="RQW84"/>
      <c r="RQX84"/>
      <c r="RQY84"/>
      <c r="RQZ84"/>
      <c r="RRA84"/>
      <c r="RRB84"/>
      <c r="RRC84"/>
      <c r="RRD84"/>
      <c r="RRE84"/>
      <c r="RRF84"/>
      <c r="RRG84"/>
      <c r="RRH84"/>
      <c r="RRI84"/>
      <c r="RRJ84"/>
      <c r="RRK84"/>
      <c r="RRL84"/>
      <c r="RRM84"/>
      <c r="RRN84"/>
      <c r="RRO84"/>
      <c r="RRP84"/>
      <c r="RRQ84"/>
      <c r="RRR84"/>
      <c r="RRS84"/>
      <c r="RRT84"/>
      <c r="RRU84"/>
      <c r="RRV84"/>
      <c r="RRW84"/>
      <c r="RRX84"/>
      <c r="RRY84"/>
      <c r="RRZ84"/>
      <c r="RSA84"/>
      <c r="RSB84"/>
      <c r="RSC84"/>
      <c r="RSD84"/>
      <c r="RSE84"/>
      <c r="RSF84"/>
      <c r="RSG84"/>
      <c r="RSH84"/>
      <c r="RSI84"/>
      <c r="RSJ84"/>
      <c r="RSK84"/>
      <c r="RSL84"/>
      <c r="RSM84"/>
      <c r="RSN84"/>
      <c r="RSO84"/>
      <c r="RSP84"/>
      <c r="RSQ84"/>
      <c r="RSR84"/>
      <c r="RSS84"/>
      <c r="RST84"/>
      <c r="RSU84"/>
      <c r="RSV84"/>
      <c r="RSW84"/>
      <c r="RSX84"/>
      <c r="RSY84"/>
      <c r="RSZ84"/>
      <c r="RTA84"/>
      <c r="RTB84"/>
      <c r="RTC84"/>
      <c r="RTD84"/>
      <c r="RTE84"/>
      <c r="RTF84"/>
      <c r="RTG84"/>
      <c r="RTH84"/>
      <c r="RTI84"/>
      <c r="RTJ84"/>
      <c r="RTK84"/>
      <c r="RTL84"/>
      <c r="RTM84"/>
      <c r="RTN84"/>
      <c r="RTO84"/>
      <c r="RTP84"/>
      <c r="RTQ84"/>
      <c r="RTR84"/>
      <c r="RTS84"/>
      <c r="RTT84"/>
      <c r="RTU84"/>
      <c r="RTV84"/>
      <c r="RTW84"/>
      <c r="RTX84"/>
      <c r="RTY84"/>
      <c r="RTZ84"/>
      <c r="RUA84"/>
      <c r="RUB84"/>
      <c r="RUC84"/>
      <c r="RUD84"/>
      <c r="RUE84"/>
      <c r="RUF84"/>
      <c r="RUG84"/>
      <c r="RUH84"/>
      <c r="RUI84"/>
      <c r="RUJ84"/>
      <c r="RUK84"/>
      <c r="RUL84"/>
      <c r="RUM84"/>
      <c r="RUN84"/>
      <c r="RUO84"/>
      <c r="RUP84"/>
      <c r="RUQ84"/>
      <c r="RUR84"/>
      <c r="RUS84"/>
      <c r="RUT84"/>
      <c r="RUU84"/>
      <c r="RUV84"/>
      <c r="RUW84"/>
      <c r="RUX84"/>
      <c r="RUY84"/>
      <c r="RUZ84"/>
      <c r="RVA84"/>
      <c r="RVB84"/>
      <c r="RVC84"/>
      <c r="RVD84"/>
      <c r="RVE84"/>
      <c r="RVF84"/>
      <c r="RVG84"/>
      <c r="RVH84"/>
      <c r="RVI84"/>
      <c r="RVJ84"/>
      <c r="RVK84"/>
      <c r="RVL84"/>
      <c r="RVM84"/>
      <c r="RVN84"/>
      <c r="RVO84"/>
      <c r="RVP84"/>
      <c r="RVQ84"/>
      <c r="RVR84"/>
      <c r="RVS84"/>
      <c r="RVT84"/>
      <c r="RVU84"/>
      <c r="RVV84"/>
      <c r="RVW84"/>
      <c r="RVX84"/>
      <c r="RVY84"/>
      <c r="RVZ84"/>
      <c r="RWA84"/>
      <c r="RWB84"/>
      <c r="RWC84"/>
      <c r="RWD84"/>
      <c r="RWE84"/>
      <c r="RWF84"/>
      <c r="RWG84"/>
      <c r="RWH84"/>
      <c r="RWI84"/>
      <c r="RWJ84"/>
      <c r="RWK84"/>
      <c r="RWL84"/>
      <c r="RWM84"/>
      <c r="RWN84"/>
      <c r="RWO84"/>
      <c r="RWP84"/>
      <c r="RWQ84"/>
      <c r="RWR84"/>
      <c r="RWS84"/>
      <c r="RWT84"/>
      <c r="RWU84"/>
      <c r="RWV84"/>
      <c r="RWW84"/>
      <c r="RWX84"/>
      <c r="RWY84"/>
      <c r="RWZ84"/>
      <c r="RXA84"/>
      <c r="RXB84"/>
      <c r="RXC84"/>
      <c r="RXD84"/>
      <c r="RXE84"/>
      <c r="RXF84"/>
      <c r="RXG84"/>
      <c r="RXH84"/>
      <c r="RXI84"/>
      <c r="RXJ84"/>
      <c r="RXK84"/>
      <c r="RXL84"/>
      <c r="RXM84"/>
      <c r="RXN84"/>
      <c r="RXO84"/>
      <c r="RXP84"/>
      <c r="RXQ84"/>
      <c r="RXR84"/>
      <c r="RXS84"/>
      <c r="RXT84"/>
      <c r="RXU84"/>
      <c r="RXV84"/>
      <c r="RXW84"/>
      <c r="RXX84"/>
      <c r="RXY84"/>
      <c r="RXZ84"/>
      <c r="RYA84"/>
      <c r="RYB84"/>
      <c r="RYC84"/>
      <c r="RYD84"/>
      <c r="RYE84"/>
      <c r="RYF84"/>
      <c r="RYG84"/>
      <c r="RYH84"/>
      <c r="RYI84"/>
      <c r="RYJ84"/>
      <c r="RYK84"/>
      <c r="RYL84"/>
      <c r="RYM84"/>
      <c r="RYN84"/>
      <c r="RYO84"/>
      <c r="RYP84"/>
      <c r="RYQ84"/>
      <c r="RYR84"/>
      <c r="RYS84"/>
      <c r="RYT84"/>
      <c r="RYU84"/>
      <c r="RYV84"/>
      <c r="RYW84"/>
      <c r="RYX84"/>
      <c r="RYY84"/>
      <c r="RYZ84"/>
      <c r="RZA84"/>
      <c r="RZB84"/>
      <c r="RZC84"/>
      <c r="RZD84"/>
      <c r="RZE84"/>
      <c r="RZF84"/>
      <c r="RZG84"/>
      <c r="RZH84"/>
      <c r="RZI84"/>
      <c r="RZJ84"/>
      <c r="RZK84"/>
      <c r="RZL84"/>
      <c r="RZM84"/>
      <c r="RZN84"/>
      <c r="RZO84"/>
      <c r="RZP84"/>
      <c r="RZQ84"/>
      <c r="RZR84"/>
      <c r="RZS84"/>
      <c r="RZT84"/>
      <c r="RZU84"/>
      <c r="RZV84"/>
      <c r="RZW84"/>
      <c r="RZX84"/>
      <c r="RZY84"/>
      <c r="RZZ84"/>
      <c r="SAA84"/>
      <c r="SAB84"/>
      <c r="SAC84"/>
      <c r="SAD84"/>
      <c r="SAE84"/>
      <c r="SAF84"/>
      <c r="SAG84"/>
      <c r="SAH84"/>
      <c r="SAI84"/>
      <c r="SAJ84"/>
      <c r="SAK84"/>
      <c r="SAL84"/>
      <c r="SAM84"/>
      <c r="SAN84"/>
      <c r="SAO84"/>
      <c r="SAP84"/>
      <c r="SAQ84"/>
      <c r="SAR84"/>
      <c r="SAS84"/>
      <c r="SAT84"/>
      <c r="SAU84"/>
      <c r="SAV84"/>
      <c r="SAW84"/>
      <c r="SAX84"/>
      <c r="SAY84"/>
      <c r="SAZ84"/>
      <c r="SBA84"/>
      <c r="SBB84"/>
      <c r="SBC84"/>
      <c r="SBD84"/>
      <c r="SBE84"/>
      <c r="SBF84"/>
      <c r="SBG84"/>
      <c r="SBH84"/>
      <c r="SBI84"/>
      <c r="SBJ84"/>
      <c r="SBK84"/>
      <c r="SBL84"/>
      <c r="SBM84"/>
      <c r="SBN84"/>
      <c r="SBO84"/>
      <c r="SBP84"/>
      <c r="SBQ84"/>
      <c r="SBR84"/>
      <c r="SBS84"/>
      <c r="SBT84"/>
      <c r="SBU84"/>
      <c r="SBV84"/>
      <c r="SBW84"/>
      <c r="SBX84"/>
      <c r="SBY84"/>
      <c r="SBZ84"/>
      <c r="SCA84"/>
      <c r="SCB84"/>
      <c r="SCC84"/>
      <c r="SCD84"/>
      <c r="SCE84"/>
      <c r="SCF84"/>
      <c r="SCG84"/>
      <c r="SCH84"/>
      <c r="SCI84"/>
      <c r="SCJ84"/>
      <c r="SCK84"/>
      <c r="SCL84"/>
      <c r="SCM84"/>
      <c r="SCN84"/>
      <c r="SCO84"/>
      <c r="SCP84"/>
      <c r="SCQ84"/>
      <c r="SCR84"/>
      <c r="SCS84"/>
      <c r="SCT84"/>
      <c r="SCU84"/>
      <c r="SCV84"/>
      <c r="SCW84"/>
      <c r="SCX84"/>
      <c r="SCY84"/>
      <c r="SCZ84"/>
      <c r="SDA84"/>
      <c r="SDB84"/>
      <c r="SDC84"/>
      <c r="SDD84"/>
      <c r="SDE84"/>
      <c r="SDF84"/>
      <c r="SDG84"/>
      <c r="SDH84"/>
      <c r="SDI84"/>
      <c r="SDJ84"/>
      <c r="SDK84"/>
      <c r="SDL84"/>
      <c r="SDM84"/>
      <c r="SDN84"/>
      <c r="SDO84"/>
      <c r="SDP84"/>
      <c r="SDQ84"/>
      <c r="SDR84"/>
      <c r="SDS84"/>
      <c r="SDT84"/>
      <c r="SDU84"/>
      <c r="SDV84"/>
      <c r="SDW84"/>
      <c r="SDX84"/>
      <c r="SDY84"/>
      <c r="SDZ84"/>
      <c r="SEA84"/>
      <c r="SEB84"/>
      <c r="SEC84"/>
      <c r="SED84"/>
      <c r="SEE84"/>
      <c r="SEF84"/>
      <c r="SEG84"/>
      <c r="SEH84"/>
      <c r="SEI84"/>
      <c r="SEJ84"/>
      <c r="SEK84"/>
      <c r="SEL84"/>
      <c r="SEM84"/>
      <c r="SEN84"/>
      <c r="SEO84"/>
      <c r="SEP84"/>
      <c r="SEQ84"/>
      <c r="SER84"/>
      <c r="SES84"/>
      <c r="SET84"/>
      <c r="SEU84"/>
      <c r="SEV84"/>
      <c r="SEW84"/>
      <c r="SEX84"/>
      <c r="SEY84"/>
      <c r="SEZ84"/>
      <c r="SFA84"/>
      <c r="SFB84"/>
      <c r="SFC84"/>
      <c r="SFD84"/>
      <c r="SFE84"/>
      <c r="SFF84"/>
      <c r="SFG84"/>
      <c r="SFH84"/>
      <c r="SFI84"/>
      <c r="SFJ84"/>
      <c r="SFK84"/>
      <c r="SFL84"/>
      <c r="SFM84"/>
      <c r="SFN84"/>
      <c r="SFO84"/>
      <c r="SFP84"/>
      <c r="SFQ84"/>
      <c r="SFR84"/>
      <c r="SFS84"/>
      <c r="SFT84"/>
      <c r="SFU84"/>
      <c r="SFV84"/>
      <c r="SFW84"/>
      <c r="SFX84"/>
      <c r="SFY84"/>
      <c r="SFZ84"/>
      <c r="SGA84"/>
      <c r="SGB84"/>
      <c r="SGC84"/>
      <c r="SGD84"/>
      <c r="SGE84"/>
      <c r="SGF84"/>
      <c r="SGG84"/>
      <c r="SGH84"/>
      <c r="SGI84"/>
      <c r="SGJ84"/>
      <c r="SGK84"/>
      <c r="SGL84"/>
      <c r="SGM84"/>
      <c r="SGN84"/>
      <c r="SGO84"/>
      <c r="SGP84"/>
      <c r="SGQ84"/>
      <c r="SGR84"/>
      <c r="SGS84"/>
      <c r="SGT84"/>
      <c r="SGU84"/>
      <c r="SGV84"/>
      <c r="SGW84"/>
      <c r="SGX84"/>
      <c r="SGY84"/>
      <c r="SGZ84"/>
      <c r="SHA84"/>
      <c r="SHB84"/>
      <c r="SHC84"/>
      <c r="SHD84"/>
      <c r="SHE84"/>
      <c r="SHF84"/>
      <c r="SHG84"/>
      <c r="SHH84"/>
      <c r="SHI84"/>
      <c r="SHJ84"/>
      <c r="SHK84"/>
      <c r="SHL84"/>
      <c r="SHM84"/>
      <c r="SHN84"/>
      <c r="SHO84"/>
      <c r="SHP84"/>
      <c r="SHQ84"/>
      <c r="SHR84"/>
      <c r="SHS84"/>
      <c r="SHT84"/>
      <c r="SHU84"/>
      <c r="SHV84"/>
      <c r="SHW84"/>
      <c r="SHX84"/>
      <c r="SHY84"/>
      <c r="SHZ84"/>
      <c r="SIA84"/>
      <c r="SIB84"/>
      <c r="SIC84"/>
      <c r="SID84"/>
      <c r="SIE84"/>
      <c r="SIF84"/>
      <c r="SIG84"/>
      <c r="SIH84"/>
      <c r="SII84"/>
      <c r="SIJ84"/>
      <c r="SIK84"/>
      <c r="SIL84"/>
      <c r="SIM84"/>
      <c r="SIN84"/>
      <c r="SIO84"/>
      <c r="SIP84"/>
      <c r="SIQ84"/>
      <c r="SIR84"/>
      <c r="SIS84"/>
      <c r="SIT84"/>
      <c r="SIU84"/>
      <c r="SIV84"/>
      <c r="SIW84"/>
      <c r="SIX84"/>
      <c r="SIY84"/>
      <c r="SIZ84"/>
      <c r="SJA84"/>
      <c r="SJB84"/>
      <c r="SJC84"/>
      <c r="SJD84"/>
      <c r="SJE84"/>
      <c r="SJF84"/>
      <c r="SJG84"/>
      <c r="SJH84"/>
      <c r="SJI84"/>
      <c r="SJJ84"/>
      <c r="SJK84"/>
      <c r="SJL84"/>
      <c r="SJM84"/>
      <c r="SJN84"/>
      <c r="SJO84"/>
      <c r="SJP84"/>
      <c r="SJQ84"/>
      <c r="SJR84"/>
      <c r="SJS84"/>
      <c r="SJT84"/>
      <c r="SJU84"/>
      <c r="SJV84"/>
      <c r="SJW84"/>
      <c r="SJX84"/>
      <c r="SJY84"/>
      <c r="SJZ84"/>
      <c r="SKA84"/>
      <c r="SKB84"/>
      <c r="SKC84"/>
      <c r="SKD84"/>
      <c r="SKE84"/>
      <c r="SKF84"/>
      <c r="SKG84"/>
      <c r="SKH84"/>
      <c r="SKI84"/>
      <c r="SKJ84"/>
      <c r="SKK84"/>
      <c r="SKL84"/>
      <c r="SKM84"/>
      <c r="SKN84"/>
      <c r="SKO84"/>
      <c r="SKP84"/>
      <c r="SKQ84"/>
      <c r="SKR84"/>
      <c r="SKS84"/>
      <c r="SKT84"/>
      <c r="SKU84"/>
      <c r="SKV84"/>
      <c r="SKW84"/>
      <c r="SKX84"/>
      <c r="SKY84"/>
      <c r="SKZ84"/>
      <c r="SLA84"/>
      <c r="SLB84"/>
      <c r="SLC84"/>
      <c r="SLD84"/>
      <c r="SLE84"/>
      <c r="SLF84"/>
      <c r="SLG84"/>
      <c r="SLH84"/>
      <c r="SLI84"/>
      <c r="SLJ84"/>
      <c r="SLK84"/>
      <c r="SLL84"/>
      <c r="SLM84"/>
      <c r="SLN84"/>
      <c r="SLO84"/>
      <c r="SLP84"/>
      <c r="SLQ84"/>
      <c r="SLR84"/>
      <c r="SLS84"/>
      <c r="SLT84"/>
      <c r="SLU84"/>
      <c r="SLV84"/>
      <c r="SLW84"/>
      <c r="SLX84"/>
      <c r="SLY84"/>
      <c r="SLZ84"/>
      <c r="SMA84"/>
      <c r="SMB84"/>
      <c r="SMC84"/>
      <c r="SMD84"/>
      <c r="SME84"/>
      <c r="SMF84"/>
      <c r="SMG84"/>
      <c r="SMH84"/>
      <c r="SMI84"/>
      <c r="SMJ84"/>
      <c r="SMK84"/>
      <c r="SML84"/>
      <c r="SMM84"/>
      <c r="SMN84"/>
      <c r="SMO84"/>
      <c r="SMP84"/>
      <c r="SMQ84"/>
      <c r="SMR84"/>
      <c r="SMS84"/>
      <c r="SMT84"/>
      <c r="SMU84"/>
      <c r="SMV84"/>
      <c r="SMW84"/>
      <c r="SMX84"/>
      <c r="SMY84"/>
      <c r="SMZ84"/>
      <c r="SNA84"/>
      <c r="SNB84"/>
      <c r="SNC84"/>
      <c r="SND84"/>
      <c r="SNE84"/>
      <c r="SNF84"/>
      <c r="SNG84"/>
      <c r="SNH84"/>
      <c r="SNI84"/>
      <c r="SNJ84"/>
      <c r="SNK84"/>
      <c r="SNL84"/>
      <c r="SNM84"/>
      <c r="SNN84"/>
      <c r="SNO84"/>
      <c r="SNP84"/>
      <c r="SNQ84"/>
      <c r="SNR84"/>
      <c r="SNS84"/>
      <c r="SNT84"/>
      <c r="SNU84"/>
      <c r="SNV84"/>
      <c r="SNW84"/>
      <c r="SNX84"/>
      <c r="SNY84"/>
      <c r="SNZ84"/>
      <c r="SOA84"/>
      <c r="SOB84"/>
      <c r="SOC84"/>
      <c r="SOD84"/>
      <c r="SOE84"/>
      <c r="SOF84"/>
      <c r="SOG84"/>
      <c r="SOH84"/>
      <c r="SOI84"/>
      <c r="SOJ84"/>
      <c r="SOK84"/>
      <c r="SOL84"/>
      <c r="SOM84"/>
      <c r="SON84"/>
      <c r="SOO84"/>
      <c r="SOP84"/>
      <c r="SOQ84"/>
      <c r="SOR84"/>
      <c r="SOS84"/>
      <c r="SOT84"/>
      <c r="SOU84"/>
      <c r="SOV84"/>
      <c r="SOW84"/>
      <c r="SOX84"/>
      <c r="SOY84"/>
      <c r="SOZ84"/>
      <c r="SPA84"/>
      <c r="SPB84"/>
      <c r="SPC84"/>
      <c r="SPD84"/>
      <c r="SPE84"/>
      <c r="SPF84"/>
      <c r="SPG84"/>
      <c r="SPH84"/>
      <c r="SPI84"/>
      <c r="SPJ84"/>
      <c r="SPK84"/>
      <c r="SPL84"/>
      <c r="SPM84"/>
      <c r="SPN84"/>
      <c r="SPO84"/>
      <c r="SPP84"/>
      <c r="SPQ84"/>
      <c r="SPR84"/>
      <c r="SPS84"/>
      <c r="SPT84"/>
      <c r="SPU84"/>
      <c r="SPV84"/>
      <c r="SPW84"/>
      <c r="SPX84"/>
      <c r="SPY84"/>
      <c r="SPZ84"/>
      <c r="SQA84"/>
      <c r="SQB84"/>
      <c r="SQC84"/>
      <c r="SQD84"/>
      <c r="SQE84"/>
      <c r="SQF84"/>
      <c r="SQG84"/>
      <c r="SQH84"/>
      <c r="SQI84"/>
      <c r="SQJ84"/>
      <c r="SQK84"/>
      <c r="SQL84"/>
      <c r="SQM84"/>
      <c r="SQN84"/>
      <c r="SQO84"/>
      <c r="SQP84"/>
      <c r="SQQ84"/>
      <c r="SQR84"/>
      <c r="SQS84"/>
      <c r="SQT84"/>
      <c r="SQU84"/>
      <c r="SQV84"/>
      <c r="SQW84"/>
      <c r="SQX84"/>
      <c r="SQY84"/>
      <c r="SQZ84"/>
      <c r="SRA84"/>
      <c r="SRB84"/>
      <c r="SRC84"/>
      <c r="SRD84"/>
      <c r="SRE84"/>
      <c r="SRF84"/>
      <c r="SRG84"/>
      <c r="SRH84"/>
      <c r="SRI84"/>
      <c r="SRJ84"/>
      <c r="SRK84"/>
      <c r="SRL84"/>
      <c r="SRM84"/>
      <c r="SRN84"/>
      <c r="SRO84"/>
      <c r="SRP84"/>
      <c r="SRQ84"/>
      <c r="SRR84"/>
      <c r="SRS84"/>
      <c r="SRT84"/>
      <c r="SRU84"/>
      <c r="SRV84"/>
      <c r="SRW84"/>
      <c r="SRX84"/>
      <c r="SRY84"/>
      <c r="SRZ84"/>
      <c r="SSA84"/>
      <c r="SSB84"/>
      <c r="SSC84"/>
      <c r="SSD84"/>
      <c r="SSE84"/>
      <c r="SSF84"/>
      <c r="SSG84"/>
      <c r="SSH84"/>
      <c r="SSI84"/>
      <c r="SSJ84"/>
      <c r="SSK84"/>
      <c r="SSL84"/>
      <c r="SSM84"/>
      <c r="SSN84"/>
      <c r="SSO84"/>
      <c r="SSP84"/>
      <c r="SSQ84"/>
      <c r="SSR84"/>
      <c r="SSS84"/>
      <c r="SST84"/>
      <c r="SSU84"/>
      <c r="SSV84"/>
      <c r="SSW84"/>
      <c r="SSX84"/>
      <c r="SSY84"/>
      <c r="SSZ84"/>
      <c r="STA84"/>
      <c r="STB84"/>
      <c r="STC84"/>
      <c r="STD84"/>
      <c r="STE84"/>
      <c r="STF84"/>
      <c r="STG84"/>
      <c r="STH84"/>
      <c r="STI84"/>
      <c r="STJ84"/>
      <c r="STK84"/>
      <c r="STL84"/>
      <c r="STM84"/>
      <c r="STN84"/>
      <c r="STO84"/>
      <c r="STP84"/>
      <c r="STQ84"/>
      <c r="STR84"/>
      <c r="STS84"/>
      <c r="STT84"/>
      <c r="STU84"/>
      <c r="STV84"/>
      <c r="STW84"/>
      <c r="STX84"/>
      <c r="STY84"/>
      <c r="STZ84"/>
      <c r="SUA84"/>
      <c r="SUB84"/>
      <c r="SUC84"/>
      <c r="SUD84"/>
      <c r="SUE84"/>
      <c r="SUF84"/>
      <c r="SUG84"/>
      <c r="SUH84"/>
      <c r="SUI84"/>
      <c r="SUJ84"/>
      <c r="SUK84"/>
      <c r="SUL84"/>
      <c r="SUM84"/>
      <c r="SUN84"/>
      <c r="SUO84"/>
      <c r="SUP84"/>
      <c r="SUQ84"/>
      <c r="SUR84"/>
      <c r="SUS84"/>
      <c r="SUT84"/>
      <c r="SUU84"/>
      <c r="SUV84"/>
      <c r="SUW84"/>
      <c r="SUX84"/>
      <c r="SUY84"/>
      <c r="SUZ84"/>
      <c r="SVA84"/>
      <c r="SVB84"/>
      <c r="SVC84"/>
      <c r="SVD84"/>
      <c r="SVE84"/>
      <c r="SVF84"/>
      <c r="SVG84"/>
      <c r="SVH84"/>
      <c r="SVI84"/>
      <c r="SVJ84"/>
      <c r="SVK84"/>
      <c r="SVL84"/>
      <c r="SVM84"/>
      <c r="SVN84"/>
      <c r="SVO84"/>
      <c r="SVP84"/>
      <c r="SVQ84"/>
      <c r="SVR84"/>
      <c r="SVS84"/>
      <c r="SVT84"/>
      <c r="SVU84"/>
      <c r="SVV84"/>
      <c r="SVW84"/>
      <c r="SVX84"/>
      <c r="SVY84"/>
      <c r="SVZ84"/>
      <c r="SWA84"/>
      <c r="SWB84"/>
      <c r="SWC84"/>
      <c r="SWD84"/>
      <c r="SWE84"/>
      <c r="SWF84"/>
      <c r="SWG84"/>
      <c r="SWH84"/>
      <c r="SWI84"/>
      <c r="SWJ84"/>
      <c r="SWK84"/>
      <c r="SWL84"/>
      <c r="SWM84"/>
      <c r="SWN84"/>
      <c r="SWO84"/>
      <c r="SWP84"/>
      <c r="SWQ84"/>
      <c r="SWR84"/>
      <c r="SWS84"/>
      <c r="SWT84"/>
      <c r="SWU84"/>
      <c r="SWV84"/>
      <c r="SWW84"/>
      <c r="SWX84"/>
      <c r="SWY84"/>
      <c r="SWZ84"/>
      <c r="SXA84"/>
      <c r="SXB84"/>
      <c r="SXC84"/>
      <c r="SXD84"/>
      <c r="SXE84"/>
      <c r="SXF84"/>
      <c r="SXG84"/>
      <c r="SXH84"/>
      <c r="SXI84"/>
      <c r="SXJ84"/>
      <c r="SXK84"/>
      <c r="SXL84"/>
      <c r="SXM84"/>
      <c r="SXN84"/>
      <c r="SXO84"/>
      <c r="SXP84"/>
      <c r="SXQ84"/>
      <c r="SXR84"/>
      <c r="SXS84"/>
      <c r="SXT84"/>
      <c r="SXU84"/>
      <c r="SXV84"/>
      <c r="SXW84"/>
      <c r="SXX84"/>
      <c r="SXY84"/>
      <c r="SXZ84"/>
      <c r="SYA84"/>
      <c r="SYB84"/>
      <c r="SYC84"/>
      <c r="SYD84"/>
      <c r="SYE84"/>
      <c r="SYF84"/>
      <c r="SYG84"/>
      <c r="SYH84"/>
      <c r="SYI84"/>
      <c r="SYJ84"/>
      <c r="SYK84"/>
      <c r="SYL84"/>
      <c r="SYM84"/>
      <c r="SYN84"/>
      <c r="SYO84"/>
      <c r="SYP84"/>
      <c r="SYQ84"/>
      <c r="SYR84"/>
      <c r="SYS84"/>
      <c r="SYT84"/>
      <c r="SYU84"/>
      <c r="SYV84"/>
      <c r="SYW84"/>
      <c r="SYX84"/>
      <c r="SYY84"/>
      <c r="SYZ84"/>
      <c r="SZA84"/>
      <c r="SZB84"/>
      <c r="SZC84"/>
      <c r="SZD84"/>
      <c r="SZE84"/>
      <c r="SZF84"/>
      <c r="SZG84"/>
      <c r="SZH84"/>
      <c r="SZI84"/>
      <c r="SZJ84"/>
      <c r="SZK84"/>
      <c r="SZL84"/>
      <c r="SZM84"/>
      <c r="SZN84"/>
      <c r="SZO84"/>
      <c r="SZP84"/>
      <c r="SZQ84"/>
      <c r="SZR84"/>
      <c r="SZS84"/>
      <c r="SZT84"/>
      <c r="SZU84"/>
      <c r="SZV84"/>
      <c r="SZW84"/>
      <c r="SZX84"/>
      <c r="SZY84"/>
      <c r="SZZ84"/>
      <c r="TAA84"/>
      <c r="TAB84"/>
      <c r="TAC84"/>
      <c r="TAD84"/>
      <c r="TAE84"/>
      <c r="TAF84"/>
      <c r="TAG84"/>
      <c r="TAH84"/>
      <c r="TAI84"/>
      <c r="TAJ84"/>
      <c r="TAK84"/>
      <c r="TAL84"/>
      <c r="TAM84"/>
      <c r="TAN84"/>
      <c r="TAO84"/>
      <c r="TAP84"/>
      <c r="TAQ84"/>
      <c r="TAR84"/>
      <c r="TAS84"/>
      <c r="TAT84"/>
      <c r="TAU84"/>
      <c r="TAV84"/>
      <c r="TAW84"/>
      <c r="TAX84"/>
      <c r="TAY84"/>
      <c r="TAZ84"/>
      <c r="TBA84"/>
      <c r="TBB84"/>
      <c r="TBC84"/>
      <c r="TBD84"/>
      <c r="TBE84"/>
      <c r="TBF84"/>
      <c r="TBG84"/>
      <c r="TBH84"/>
      <c r="TBI84"/>
      <c r="TBJ84"/>
      <c r="TBK84"/>
      <c r="TBL84"/>
      <c r="TBM84"/>
      <c r="TBN84"/>
      <c r="TBO84"/>
      <c r="TBP84"/>
      <c r="TBQ84"/>
      <c r="TBR84"/>
      <c r="TBS84"/>
      <c r="TBT84"/>
      <c r="TBU84"/>
      <c r="TBV84"/>
      <c r="TBW84"/>
      <c r="TBX84"/>
      <c r="TBY84"/>
      <c r="TBZ84"/>
      <c r="TCA84"/>
      <c r="TCB84"/>
      <c r="TCC84"/>
      <c r="TCD84"/>
      <c r="TCE84"/>
      <c r="TCF84"/>
      <c r="TCG84"/>
      <c r="TCH84"/>
      <c r="TCI84"/>
      <c r="TCJ84"/>
      <c r="TCK84"/>
      <c r="TCL84"/>
      <c r="TCM84"/>
      <c r="TCN84"/>
      <c r="TCO84"/>
      <c r="TCP84"/>
      <c r="TCQ84"/>
      <c r="TCR84"/>
      <c r="TCS84"/>
      <c r="TCT84"/>
      <c r="TCU84"/>
      <c r="TCV84"/>
      <c r="TCW84"/>
      <c r="TCX84"/>
      <c r="TCY84"/>
      <c r="TCZ84"/>
      <c r="TDA84"/>
      <c r="TDB84"/>
      <c r="TDC84"/>
      <c r="TDD84"/>
      <c r="TDE84"/>
      <c r="TDF84"/>
      <c r="TDG84"/>
      <c r="TDH84"/>
      <c r="TDI84"/>
      <c r="TDJ84"/>
      <c r="TDK84"/>
      <c r="TDL84"/>
      <c r="TDM84"/>
      <c r="TDN84"/>
      <c r="TDO84"/>
      <c r="TDP84"/>
      <c r="TDQ84"/>
      <c r="TDR84"/>
      <c r="TDS84"/>
      <c r="TDT84"/>
      <c r="TDU84"/>
      <c r="TDV84"/>
      <c r="TDW84"/>
      <c r="TDX84"/>
      <c r="TDY84"/>
      <c r="TDZ84"/>
      <c r="TEA84"/>
      <c r="TEB84"/>
      <c r="TEC84"/>
      <c r="TED84"/>
      <c r="TEE84"/>
      <c r="TEF84"/>
      <c r="TEG84"/>
      <c r="TEH84"/>
      <c r="TEI84"/>
      <c r="TEJ84"/>
      <c r="TEK84"/>
      <c r="TEL84"/>
      <c r="TEM84"/>
      <c r="TEN84"/>
      <c r="TEO84"/>
      <c r="TEP84"/>
      <c r="TEQ84"/>
      <c r="TER84"/>
      <c r="TES84"/>
      <c r="TET84"/>
      <c r="TEU84"/>
      <c r="TEV84"/>
      <c r="TEW84"/>
      <c r="TEX84"/>
      <c r="TEY84"/>
      <c r="TEZ84"/>
      <c r="TFA84"/>
      <c r="TFB84"/>
      <c r="TFC84"/>
      <c r="TFD84"/>
      <c r="TFE84"/>
      <c r="TFF84"/>
      <c r="TFG84"/>
      <c r="TFH84"/>
      <c r="TFI84"/>
      <c r="TFJ84"/>
      <c r="TFK84"/>
      <c r="TFL84"/>
      <c r="TFM84"/>
      <c r="TFN84"/>
      <c r="TFO84"/>
      <c r="TFP84"/>
      <c r="TFQ84"/>
      <c r="TFR84"/>
      <c r="TFS84"/>
      <c r="TFT84"/>
      <c r="TFU84"/>
      <c r="TFV84"/>
      <c r="TFW84"/>
      <c r="TFX84"/>
      <c r="TFY84"/>
      <c r="TFZ84"/>
      <c r="TGA84"/>
      <c r="TGB84"/>
      <c r="TGC84"/>
      <c r="TGD84"/>
      <c r="TGE84"/>
      <c r="TGF84"/>
      <c r="TGG84"/>
      <c r="TGH84"/>
      <c r="TGI84"/>
      <c r="TGJ84"/>
      <c r="TGK84"/>
      <c r="TGL84"/>
      <c r="TGM84"/>
      <c r="TGN84"/>
      <c r="TGO84"/>
      <c r="TGP84"/>
      <c r="TGQ84"/>
      <c r="TGR84"/>
      <c r="TGS84"/>
      <c r="TGT84"/>
      <c r="TGU84"/>
      <c r="TGV84"/>
      <c r="TGW84"/>
      <c r="TGX84"/>
      <c r="TGY84"/>
      <c r="TGZ84"/>
      <c r="THA84"/>
      <c r="THB84"/>
      <c r="THC84"/>
      <c r="THD84"/>
      <c r="THE84"/>
      <c r="THF84"/>
      <c r="THG84"/>
      <c r="THH84"/>
      <c r="THI84"/>
      <c r="THJ84"/>
      <c r="THK84"/>
      <c r="THL84"/>
      <c r="THM84"/>
      <c r="THN84"/>
      <c r="THO84"/>
      <c r="THP84"/>
      <c r="THQ84"/>
      <c r="THR84"/>
      <c r="THS84"/>
      <c r="THT84"/>
      <c r="THU84"/>
      <c r="THV84"/>
      <c r="THW84"/>
      <c r="THX84"/>
      <c r="THY84"/>
      <c r="THZ84"/>
      <c r="TIA84"/>
      <c r="TIB84"/>
      <c r="TIC84"/>
      <c r="TID84"/>
      <c r="TIE84"/>
      <c r="TIF84"/>
      <c r="TIG84"/>
      <c r="TIH84"/>
      <c r="TII84"/>
      <c r="TIJ84"/>
      <c r="TIK84"/>
      <c r="TIL84"/>
      <c r="TIM84"/>
      <c r="TIN84"/>
      <c r="TIO84"/>
      <c r="TIP84"/>
      <c r="TIQ84"/>
      <c r="TIR84"/>
      <c r="TIS84"/>
      <c r="TIT84"/>
      <c r="TIU84"/>
      <c r="TIV84"/>
      <c r="TIW84"/>
      <c r="TIX84"/>
      <c r="TIY84"/>
      <c r="TIZ84"/>
      <c r="TJA84"/>
      <c r="TJB84"/>
      <c r="TJC84"/>
      <c r="TJD84"/>
      <c r="TJE84"/>
      <c r="TJF84"/>
      <c r="TJG84"/>
      <c r="TJH84"/>
      <c r="TJI84"/>
      <c r="TJJ84"/>
      <c r="TJK84"/>
      <c r="TJL84"/>
      <c r="TJM84"/>
      <c r="TJN84"/>
      <c r="TJO84"/>
      <c r="TJP84"/>
      <c r="TJQ84"/>
      <c r="TJR84"/>
      <c r="TJS84"/>
      <c r="TJT84"/>
      <c r="TJU84"/>
      <c r="TJV84"/>
      <c r="TJW84"/>
      <c r="TJX84"/>
      <c r="TJY84"/>
      <c r="TJZ84"/>
      <c r="TKA84"/>
      <c r="TKB84"/>
      <c r="TKC84"/>
      <c r="TKD84"/>
      <c r="TKE84"/>
      <c r="TKF84"/>
      <c r="TKG84"/>
      <c r="TKH84"/>
      <c r="TKI84"/>
      <c r="TKJ84"/>
      <c r="TKK84"/>
      <c r="TKL84"/>
      <c r="TKM84"/>
      <c r="TKN84"/>
      <c r="TKO84"/>
      <c r="TKP84"/>
      <c r="TKQ84"/>
      <c r="TKR84"/>
      <c r="TKS84"/>
      <c r="TKT84"/>
      <c r="TKU84"/>
      <c r="TKV84"/>
      <c r="TKW84"/>
      <c r="TKX84"/>
      <c r="TKY84"/>
      <c r="TKZ84"/>
      <c r="TLA84"/>
      <c r="TLB84"/>
      <c r="TLC84"/>
      <c r="TLD84"/>
      <c r="TLE84"/>
      <c r="TLF84"/>
      <c r="TLG84"/>
      <c r="TLH84"/>
      <c r="TLI84"/>
      <c r="TLJ84"/>
      <c r="TLK84"/>
      <c r="TLL84"/>
      <c r="TLM84"/>
      <c r="TLN84"/>
      <c r="TLO84"/>
      <c r="TLP84"/>
      <c r="TLQ84"/>
      <c r="TLR84"/>
      <c r="TLS84"/>
      <c r="TLT84"/>
      <c r="TLU84"/>
      <c r="TLV84"/>
      <c r="TLW84"/>
      <c r="TLX84"/>
      <c r="TLY84"/>
      <c r="TLZ84"/>
      <c r="TMA84"/>
      <c r="TMB84"/>
      <c r="TMC84"/>
      <c r="TMD84"/>
      <c r="TME84"/>
      <c r="TMF84"/>
      <c r="TMG84"/>
      <c r="TMH84"/>
      <c r="TMI84"/>
      <c r="TMJ84"/>
      <c r="TMK84"/>
      <c r="TML84"/>
      <c r="TMM84"/>
      <c r="TMN84"/>
      <c r="TMO84"/>
      <c r="TMP84"/>
      <c r="TMQ84"/>
      <c r="TMR84"/>
      <c r="TMS84"/>
      <c r="TMT84"/>
      <c r="TMU84"/>
      <c r="TMV84"/>
      <c r="TMW84"/>
      <c r="TMX84"/>
      <c r="TMY84"/>
      <c r="TMZ84"/>
      <c r="TNA84"/>
      <c r="TNB84"/>
      <c r="TNC84"/>
      <c r="TND84"/>
      <c r="TNE84"/>
      <c r="TNF84"/>
      <c r="TNG84"/>
      <c r="TNH84"/>
      <c r="TNI84"/>
      <c r="TNJ84"/>
      <c r="TNK84"/>
      <c r="TNL84"/>
      <c r="TNM84"/>
      <c r="TNN84"/>
      <c r="TNO84"/>
      <c r="TNP84"/>
      <c r="TNQ84"/>
      <c r="TNR84"/>
      <c r="TNS84"/>
      <c r="TNT84"/>
      <c r="TNU84"/>
      <c r="TNV84"/>
      <c r="TNW84"/>
      <c r="TNX84"/>
      <c r="TNY84"/>
      <c r="TNZ84"/>
      <c r="TOA84"/>
      <c r="TOB84"/>
      <c r="TOC84"/>
      <c r="TOD84"/>
      <c r="TOE84"/>
      <c r="TOF84"/>
      <c r="TOG84"/>
      <c r="TOH84"/>
      <c r="TOI84"/>
      <c r="TOJ84"/>
      <c r="TOK84"/>
      <c r="TOL84"/>
      <c r="TOM84"/>
      <c r="TON84"/>
      <c r="TOO84"/>
      <c r="TOP84"/>
      <c r="TOQ84"/>
      <c r="TOR84"/>
      <c r="TOS84"/>
      <c r="TOT84"/>
      <c r="TOU84"/>
      <c r="TOV84"/>
      <c r="TOW84"/>
      <c r="TOX84"/>
      <c r="TOY84"/>
      <c r="TOZ84"/>
      <c r="TPA84"/>
      <c r="TPB84"/>
      <c r="TPC84"/>
      <c r="TPD84"/>
      <c r="TPE84"/>
      <c r="TPF84"/>
      <c r="TPG84"/>
      <c r="TPH84"/>
      <c r="TPI84"/>
      <c r="TPJ84"/>
      <c r="TPK84"/>
      <c r="TPL84"/>
      <c r="TPM84"/>
      <c r="TPN84"/>
      <c r="TPO84"/>
      <c r="TPP84"/>
      <c r="TPQ84"/>
      <c r="TPR84"/>
      <c r="TPS84"/>
      <c r="TPT84"/>
      <c r="TPU84"/>
      <c r="TPV84"/>
      <c r="TPW84"/>
      <c r="TPX84"/>
      <c r="TPY84"/>
      <c r="TPZ84"/>
      <c r="TQA84"/>
      <c r="TQB84"/>
      <c r="TQC84"/>
      <c r="TQD84"/>
      <c r="TQE84"/>
      <c r="TQF84"/>
      <c r="TQG84"/>
      <c r="TQH84"/>
      <c r="TQI84"/>
      <c r="TQJ84"/>
      <c r="TQK84"/>
      <c r="TQL84"/>
      <c r="TQM84"/>
      <c r="TQN84"/>
      <c r="TQO84"/>
      <c r="TQP84"/>
      <c r="TQQ84"/>
      <c r="TQR84"/>
      <c r="TQS84"/>
      <c r="TQT84"/>
      <c r="TQU84"/>
      <c r="TQV84"/>
      <c r="TQW84"/>
      <c r="TQX84"/>
      <c r="TQY84"/>
      <c r="TQZ84"/>
      <c r="TRA84"/>
      <c r="TRB84"/>
      <c r="TRC84"/>
      <c r="TRD84"/>
      <c r="TRE84"/>
      <c r="TRF84"/>
      <c r="TRG84"/>
      <c r="TRH84"/>
      <c r="TRI84"/>
      <c r="TRJ84"/>
      <c r="TRK84"/>
      <c r="TRL84"/>
      <c r="TRM84"/>
      <c r="TRN84"/>
      <c r="TRO84"/>
      <c r="TRP84"/>
      <c r="TRQ84"/>
      <c r="TRR84"/>
      <c r="TRS84"/>
      <c r="TRT84"/>
      <c r="TRU84"/>
      <c r="TRV84"/>
      <c r="TRW84"/>
      <c r="TRX84"/>
      <c r="TRY84"/>
      <c r="TRZ84"/>
      <c r="TSA84"/>
      <c r="TSB84"/>
      <c r="TSC84"/>
      <c r="TSD84"/>
      <c r="TSE84"/>
      <c r="TSF84"/>
      <c r="TSG84"/>
      <c r="TSH84"/>
      <c r="TSI84"/>
      <c r="TSJ84"/>
      <c r="TSK84"/>
      <c r="TSL84"/>
      <c r="TSM84"/>
      <c r="TSN84"/>
      <c r="TSO84"/>
      <c r="TSP84"/>
      <c r="TSQ84"/>
      <c r="TSR84"/>
      <c r="TSS84"/>
      <c r="TST84"/>
      <c r="TSU84"/>
      <c r="TSV84"/>
      <c r="TSW84"/>
      <c r="TSX84"/>
      <c r="TSY84"/>
      <c r="TSZ84"/>
      <c r="TTA84"/>
      <c r="TTB84"/>
      <c r="TTC84"/>
      <c r="TTD84"/>
      <c r="TTE84"/>
      <c r="TTF84"/>
      <c r="TTG84"/>
      <c r="TTH84"/>
      <c r="TTI84"/>
      <c r="TTJ84"/>
      <c r="TTK84"/>
      <c r="TTL84"/>
      <c r="TTM84"/>
      <c r="TTN84"/>
      <c r="TTO84"/>
      <c r="TTP84"/>
      <c r="TTQ84"/>
      <c r="TTR84"/>
      <c r="TTS84"/>
      <c r="TTT84"/>
      <c r="TTU84"/>
      <c r="TTV84"/>
      <c r="TTW84"/>
      <c r="TTX84"/>
      <c r="TTY84"/>
      <c r="TTZ84"/>
      <c r="TUA84"/>
      <c r="TUB84"/>
      <c r="TUC84"/>
      <c r="TUD84"/>
      <c r="TUE84"/>
      <c r="TUF84"/>
      <c r="TUG84"/>
      <c r="TUH84"/>
      <c r="TUI84"/>
      <c r="TUJ84"/>
      <c r="TUK84"/>
      <c r="TUL84"/>
      <c r="TUM84"/>
      <c r="TUN84"/>
      <c r="TUO84"/>
      <c r="TUP84"/>
      <c r="TUQ84"/>
      <c r="TUR84"/>
      <c r="TUS84"/>
      <c r="TUT84"/>
      <c r="TUU84"/>
      <c r="TUV84"/>
      <c r="TUW84"/>
      <c r="TUX84"/>
      <c r="TUY84"/>
      <c r="TUZ84"/>
      <c r="TVA84"/>
      <c r="TVB84"/>
      <c r="TVC84"/>
      <c r="TVD84"/>
      <c r="TVE84"/>
      <c r="TVF84"/>
      <c r="TVG84"/>
      <c r="TVH84"/>
      <c r="TVI84"/>
      <c r="TVJ84"/>
      <c r="TVK84"/>
      <c r="TVL84"/>
      <c r="TVM84"/>
      <c r="TVN84"/>
      <c r="TVO84"/>
      <c r="TVP84"/>
      <c r="TVQ84"/>
      <c r="TVR84"/>
      <c r="TVS84"/>
      <c r="TVT84"/>
      <c r="TVU84"/>
      <c r="TVV84"/>
      <c r="TVW84"/>
      <c r="TVX84"/>
      <c r="TVY84"/>
      <c r="TVZ84"/>
      <c r="TWA84"/>
      <c r="TWB84"/>
      <c r="TWC84"/>
      <c r="TWD84"/>
      <c r="TWE84"/>
      <c r="TWF84"/>
      <c r="TWG84"/>
      <c r="TWH84"/>
      <c r="TWI84"/>
      <c r="TWJ84"/>
      <c r="TWK84"/>
      <c r="TWL84"/>
      <c r="TWM84"/>
      <c r="TWN84"/>
      <c r="TWO84"/>
      <c r="TWP84"/>
      <c r="TWQ84"/>
      <c r="TWR84"/>
      <c r="TWS84"/>
      <c r="TWT84"/>
      <c r="TWU84"/>
      <c r="TWV84"/>
      <c r="TWW84"/>
      <c r="TWX84"/>
      <c r="TWY84"/>
      <c r="TWZ84"/>
      <c r="TXA84"/>
      <c r="TXB84"/>
      <c r="TXC84"/>
      <c r="TXD84"/>
      <c r="TXE84"/>
      <c r="TXF84"/>
      <c r="TXG84"/>
      <c r="TXH84"/>
      <c r="TXI84"/>
      <c r="TXJ84"/>
      <c r="TXK84"/>
      <c r="TXL84"/>
      <c r="TXM84"/>
      <c r="TXN84"/>
      <c r="TXO84"/>
      <c r="TXP84"/>
      <c r="TXQ84"/>
      <c r="TXR84"/>
      <c r="TXS84"/>
      <c r="TXT84"/>
      <c r="TXU84"/>
      <c r="TXV84"/>
      <c r="TXW84"/>
      <c r="TXX84"/>
      <c r="TXY84"/>
      <c r="TXZ84"/>
      <c r="TYA84"/>
      <c r="TYB84"/>
      <c r="TYC84"/>
      <c r="TYD84"/>
      <c r="TYE84"/>
      <c r="TYF84"/>
      <c r="TYG84"/>
      <c r="TYH84"/>
      <c r="TYI84"/>
      <c r="TYJ84"/>
      <c r="TYK84"/>
      <c r="TYL84"/>
      <c r="TYM84"/>
      <c r="TYN84"/>
      <c r="TYO84"/>
      <c r="TYP84"/>
      <c r="TYQ84"/>
      <c r="TYR84"/>
      <c r="TYS84"/>
      <c r="TYT84"/>
      <c r="TYU84"/>
      <c r="TYV84"/>
      <c r="TYW84"/>
      <c r="TYX84"/>
      <c r="TYY84"/>
      <c r="TYZ84"/>
      <c r="TZA84"/>
      <c r="TZB84"/>
      <c r="TZC84"/>
      <c r="TZD84"/>
      <c r="TZE84"/>
      <c r="TZF84"/>
      <c r="TZG84"/>
      <c r="TZH84"/>
      <c r="TZI84"/>
      <c r="TZJ84"/>
      <c r="TZK84"/>
      <c r="TZL84"/>
      <c r="TZM84"/>
      <c r="TZN84"/>
      <c r="TZO84"/>
      <c r="TZP84"/>
      <c r="TZQ84"/>
      <c r="TZR84"/>
      <c r="TZS84"/>
      <c r="TZT84"/>
      <c r="TZU84"/>
      <c r="TZV84"/>
      <c r="TZW84"/>
      <c r="TZX84"/>
      <c r="TZY84"/>
      <c r="TZZ84"/>
      <c r="UAA84"/>
      <c r="UAB84"/>
      <c r="UAC84"/>
      <c r="UAD84"/>
      <c r="UAE84"/>
      <c r="UAF84"/>
      <c r="UAG84"/>
      <c r="UAH84"/>
      <c r="UAI84"/>
      <c r="UAJ84"/>
      <c r="UAK84"/>
      <c r="UAL84"/>
      <c r="UAM84"/>
      <c r="UAN84"/>
      <c r="UAO84"/>
      <c r="UAP84"/>
      <c r="UAQ84"/>
      <c r="UAR84"/>
      <c r="UAS84"/>
      <c r="UAT84"/>
      <c r="UAU84"/>
      <c r="UAV84"/>
      <c r="UAW84"/>
      <c r="UAX84"/>
      <c r="UAY84"/>
      <c r="UAZ84"/>
      <c r="UBA84"/>
      <c r="UBB84"/>
      <c r="UBC84"/>
      <c r="UBD84"/>
      <c r="UBE84"/>
      <c r="UBF84"/>
      <c r="UBG84"/>
      <c r="UBH84"/>
      <c r="UBI84"/>
      <c r="UBJ84"/>
      <c r="UBK84"/>
      <c r="UBL84"/>
      <c r="UBM84"/>
      <c r="UBN84"/>
      <c r="UBO84"/>
      <c r="UBP84"/>
      <c r="UBQ84"/>
      <c r="UBR84"/>
      <c r="UBS84"/>
      <c r="UBT84"/>
      <c r="UBU84"/>
      <c r="UBV84"/>
      <c r="UBW84"/>
      <c r="UBX84"/>
      <c r="UBY84"/>
      <c r="UBZ84"/>
      <c r="UCA84"/>
      <c r="UCB84"/>
      <c r="UCC84"/>
      <c r="UCD84"/>
      <c r="UCE84"/>
      <c r="UCF84"/>
      <c r="UCG84"/>
      <c r="UCH84"/>
      <c r="UCI84"/>
      <c r="UCJ84"/>
      <c r="UCK84"/>
      <c r="UCL84"/>
      <c r="UCM84"/>
      <c r="UCN84"/>
      <c r="UCO84"/>
      <c r="UCP84"/>
      <c r="UCQ84"/>
      <c r="UCR84"/>
      <c r="UCS84"/>
      <c r="UCT84"/>
      <c r="UCU84"/>
      <c r="UCV84"/>
      <c r="UCW84"/>
      <c r="UCX84"/>
      <c r="UCY84"/>
      <c r="UCZ84"/>
      <c r="UDA84"/>
      <c r="UDB84"/>
      <c r="UDC84"/>
      <c r="UDD84"/>
      <c r="UDE84"/>
      <c r="UDF84"/>
      <c r="UDG84"/>
      <c r="UDH84"/>
      <c r="UDI84"/>
      <c r="UDJ84"/>
      <c r="UDK84"/>
      <c r="UDL84"/>
      <c r="UDM84"/>
      <c r="UDN84"/>
      <c r="UDO84"/>
      <c r="UDP84"/>
      <c r="UDQ84"/>
      <c r="UDR84"/>
      <c r="UDS84"/>
      <c r="UDT84"/>
      <c r="UDU84"/>
      <c r="UDV84"/>
      <c r="UDW84"/>
      <c r="UDX84"/>
      <c r="UDY84"/>
      <c r="UDZ84"/>
      <c r="UEA84"/>
      <c r="UEB84"/>
      <c r="UEC84"/>
      <c r="UED84"/>
      <c r="UEE84"/>
      <c r="UEF84"/>
      <c r="UEG84"/>
      <c r="UEH84"/>
      <c r="UEI84"/>
      <c r="UEJ84"/>
      <c r="UEK84"/>
      <c r="UEL84"/>
      <c r="UEM84"/>
      <c r="UEN84"/>
      <c r="UEO84"/>
      <c r="UEP84"/>
      <c r="UEQ84"/>
      <c r="UER84"/>
      <c r="UES84"/>
      <c r="UET84"/>
      <c r="UEU84"/>
      <c r="UEV84"/>
      <c r="UEW84"/>
      <c r="UEX84"/>
      <c r="UEY84"/>
      <c r="UEZ84"/>
      <c r="UFA84"/>
      <c r="UFB84"/>
      <c r="UFC84"/>
      <c r="UFD84"/>
      <c r="UFE84"/>
      <c r="UFF84"/>
      <c r="UFG84"/>
      <c r="UFH84"/>
      <c r="UFI84"/>
      <c r="UFJ84"/>
      <c r="UFK84"/>
      <c r="UFL84"/>
      <c r="UFM84"/>
      <c r="UFN84"/>
      <c r="UFO84"/>
      <c r="UFP84"/>
      <c r="UFQ84"/>
      <c r="UFR84"/>
      <c r="UFS84"/>
      <c r="UFT84"/>
      <c r="UFU84"/>
      <c r="UFV84"/>
      <c r="UFW84"/>
      <c r="UFX84"/>
      <c r="UFY84"/>
      <c r="UFZ84"/>
      <c r="UGA84"/>
      <c r="UGB84"/>
      <c r="UGC84"/>
      <c r="UGD84"/>
      <c r="UGE84"/>
      <c r="UGF84"/>
      <c r="UGG84"/>
      <c r="UGH84"/>
      <c r="UGI84"/>
      <c r="UGJ84"/>
      <c r="UGK84"/>
      <c r="UGL84"/>
      <c r="UGM84"/>
      <c r="UGN84"/>
      <c r="UGO84"/>
      <c r="UGP84"/>
      <c r="UGQ84"/>
      <c r="UGR84"/>
      <c r="UGS84"/>
      <c r="UGT84"/>
      <c r="UGU84"/>
      <c r="UGV84"/>
      <c r="UGW84"/>
      <c r="UGX84"/>
      <c r="UGY84"/>
      <c r="UGZ84"/>
      <c r="UHA84"/>
      <c r="UHB84"/>
      <c r="UHC84"/>
      <c r="UHD84"/>
      <c r="UHE84"/>
      <c r="UHF84"/>
      <c r="UHG84"/>
      <c r="UHH84"/>
      <c r="UHI84"/>
      <c r="UHJ84"/>
      <c r="UHK84"/>
      <c r="UHL84"/>
      <c r="UHM84"/>
      <c r="UHN84"/>
      <c r="UHO84"/>
      <c r="UHP84"/>
      <c r="UHQ84"/>
      <c r="UHR84"/>
      <c r="UHS84"/>
      <c r="UHT84"/>
      <c r="UHU84"/>
      <c r="UHV84"/>
      <c r="UHW84"/>
      <c r="UHX84"/>
      <c r="UHY84"/>
      <c r="UHZ84"/>
      <c r="UIA84"/>
      <c r="UIB84"/>
      <c r="UIC84"/>
      <c r="UID84"/>
      <c r="UIE84"/>
      <c r="UIF84"/>
      <c r="UIG84"/>
      <c r="UIH84"/>
      <c r="UII84"/>
      <c r="UIJ84"/>
      <c r="UIK84"/>
      <c r="UIL84"/>
      <c r="UIM84"/>
      <c r="UIN84"/>
      <c r="UIO84"/>
      <c r="UIP84"/>
      <c r="UIQ84"/>
      <c r="UIR84"/>
      <c r="UIS84"/>
      <c r="UIT84"/>
      <c r="UIU84"/>
      <c r="UIV84"/>
      <c r="UIW84"/>
      <c r="UIX84"/>
      <c r="UIY84"/>
      <c r="UIZ84"/>
      <c r="UJA84"/>
      <c r="UJB84"/>
      <c r="UJC84"/>
      <c r="UJD84"/>
      <c r="UJE84"/>
      <c r="UJF84"/>
      <c r="UJG84"/>
      <c r="UJH84"/>
      <c r="UJI84"/>
      <c r="UJJ84"/>
      <c r="UJK84"/>
      <c r="UJL84"/>
      <c r="UJM84"/>
      <c r="UJN84"/>
      <c r="UJO84"/>
      <c r="UJP84"/>
      <c r="UJQ84"/>
      <c r="UJR84"/>
      <c r="UJS84"/>
      <c r="UJT84"/>
      <c r="UJU84"/>
      <c r="UJV84"/>
      <c r="UJW84"/>
      <c r="UJX84"/>
      <c r="UJY84"/>
      <c r="UJZ84"/>
      <c r="UKA84"/>
      <c r="UKB84"/>
      <c r="UKC84"/>
      <c r="UKD84"/>
      <c r="UKE84"/>
      <c r="UKF84"/>
      <c r="UKG84"/>
      <c r="UKH84"/>
      <c r="UKI84"/>
      <c r="UKJ84"/>
      <c r="UKK84"/>
      <c r="UKL84"/>
      <c r="UKM84"/>
      <c r="UKN84"/>
      <c r="UKO84"/>
      <c r="UKP84"/>
      <c r="UKQ84"/>
      <c r="UKR84"/>
      <c r="UKS84"/>
      <c r="UKT84"/>
      <c r="UKU84"/>
      <c r="UKV84"/>
      <c r="UKW84"/>
      <c r="UKX84"/>
      <c r="UKY84"/>
      <c r="UKZ84"/>
      <c r="ULA84"/>
      <c r="ULB84"/>
      <c r="ULC84"/>
      <c r="ULD84"/>
      <c r="ULE84"/>
      <c r="ULF84"/>
      <c r="ULG84"/>
      <c r="ULH84"/>
      <c r="ULI84"/>
      <c r="ULJ84"/>
      <c r="ULK84"/>
      <c r="ULL84"/>
      <c r="ULM84"/>
      <c r="ULN84"/>
      <c r="ULO84"/>
      <c r="ULP84"/>
      <c r="ULQ84"/>
      <c r="ULR84"/>
      <c r="ULS84"/>
      <c r="ULT84"/>
      <c r="ULU84"/>
      <c r="ULV84"/>
      <c r="ULW84"/>
      <c r="ULX84"/>
      <c r="ULY84"/>
      <c r="ULZ84"/>
      <c r="UMA84"/>
      <c r="UMB84"/>
      <c r="UMC84"/>
      <c r="UMD84"/>
      <c r="UME84"/>
      <c r="UMF84"/>
      <c r="UMG84"/>
      <c r="UMH84"/>
      <c r="UMI84"/>
      <c r="UMJ84"/>
      <c r="UMK84"/>
      <c r="UML84"/>
      <c r="UMM84"/>
      <c r="UMN84"/>
      <c r="UMO84"/>
      <c r="UMP84"/>
      <c r="UMQ84"/>
      <c r="UMR84"/>
      <c r="UMS84"/>
      <c r="UMT84"/>
      <c r="UMU84"/>
      <c r="UMV84"/>
      <c r="UMW84"/>
      <c r="UMX84"/>
      <c r="UMY84"/>
      <c r="UMZ84"/>
      <c r="UNA84"/>
      <c r="UNB84"/>
      <c r="UNC84"/>
      <c r="UND84"/>
      <c r="UNE84"/>
      <c r="UNF84"/>
      <c r="UNG84"/>
      <c r="UNH84"/>
      <c r="UNI84"/>
      <c r="UNJ84"/>
      <c r="UNK84"/>
      <c r="UNL84"/>
      <c r="UNM84"/>
      <c r="UNN84"/>
      <c r="UNO84"/>
      <c r="UNP84"/>
      <c r="UNQ84"/>
      <c r="UNR84"/>
      <c r="UNS84"/>
      <c r="UNT84"/>
      <c r="UNU84"/>
      <c r="UNV84"/>
      <c r="UNW84"/>
      <c r="UNX84"/>
      <c r="UNY84"/>
      <c r="UNZ84"/>
      <c r="UOA84"/>
      <c r="UOB84"/>
      <c r="UOC84"/>
      <c r="UOD84"/>
      <c r="UOE84"/>
      <c r="UOF84"/>
      <c r="UOG84"/>
      <c r="UOH84"/>
      <c r="UOI84"/>
      <c r="UOJ84"/>
      <c r="UOK84"/>
      <c r="UOL84"/>
      <c r="UOM84"/>
      <c r="UON84"/>
      <c r="UOO84"/>
      <c r="UOP84"/>
      <c r="UOQ84"/>
      <c r="UOR84"/>
      <c r="UOS84"/>
      <c r="UOT84"/>
      <c r="UOU84"/>
      <c r="UOV84"/>
      <c r="UOW84"/>
      <c r="UOX84"/>
      <c r="UOY84"/>
      <c r="UOZ84"/>
      <c r="UPA84"/>
      <c r="UPB84"/>
      <c r="UPC84"/>
      <c r="UPD84"/>
      <c r="UPE84"/>
      <c r="UPF84"/>
      <c r="UPG84"/>
      <c r="UPH84"/>
      <c r="UPI84"/>
      <c r="UPJ84"/>
      <c r="UPK84"/>
      <c r="UPL84"/>
      <c r="UPM84"/>
      <c r="UPN84"/>
      <c r="UPO84"/>
      <c r="UPP84"/>
      <c r="UPQ84"/>
      <c r="UPR84"/>
      <c r="UPS84"/>
      <c r="UPT84"/>
      <c r="UPU84"/>
      <c r="UPV84"/>
      <c r="UPW84"/>
      <c r="UPX84"/>
      <c r="UPY84"/>
      <c r="UPZ84"/>
      <c r="UQA84"/>
      <c r="UQB84"/>
      <c r="UQC84"/>
      <c r="UQD84"/>
      <c r="UQE84"/>
      <c r="UQF84"/>
      <c r="UQG84"/>
      <c r="UQH84"/>
      <c r="UQI84"/>
      <c r="UQJ84"/>
      <c r="UQK84"/>
      <c r="UQL84"/>
      <c r="UQM84"/>
      <c r="UQN84"/>
      <c r="UQO84"/>
      <c r="UQP84"/>
      <c r="UQQ84"/>
      <c r="UQR84"/>
      <c r="UQS84"/>
      <c r="UQT84"/>
      <c r="UQU84"/>
      <c r="UQV84"/>
      <c r="UQW84"/>
      <c r="UQX84"/>
      <c r="UQY84"/>
      <c r="UQZ84"/>
      <c r="URA84"/>
      <c r="URB84"/>
      <c r="URC84"/>
      <c r="URD84"/>
      <c r="URE84"/>
      <c r="URF84"/>
      <c r="URG84"/>
      <c r="URH84"/>
      <c r="URI84"/>
      <c r="URJ84"/>
      <c r="URK84"/>
      <c r="URL84"/>
      <c r="URM84"/>
      <c r="URN84"/>
      <c r="URO84"/>
      <c r="URP84"/>
      <c r="URQ84"/>
      <c r="URR84"/>
      <c r="URS84"/>
      <c r="URT84"/>
      <c r="URU84"/>
      <c r="URV84"/>
      <c r="URW84"/>
      <c r="URX84"/>
      <c r="URY84"/>
      <c r="URZ84"/>
      <c r="USA84"/>
      <c r="USB84"/>
      <c r="USC84"/>
      <c r="USD84"/>
      <c r="USE84"/>
      <c r="USF84"/>
      <c r="USG84"/>
      <c r="USH84"/>
      <c r="USI84"/>
      <c r="USJ84"/>
      <c r="USK84"/>
      <c r="USL84"/>
      <c r="USM84"/>
      <c r="USN84"/>
      <c r="USO84"/>
      <c r="USP84"/>
      <c r="USQ84"/>
      <c r="USR84"/>
      <c r="USS84"/>
      <c r="UST84"/>
      <c r="USU84"/>
      <c r="USV84"/>
      <c r="USW84"/>
      <c r="USX84"/>
      <c r="USY84"/>
      <c r="USZ84"/>
      <c r="UTA84"/>
      <c r="UTB84"/>
      <c r="UTC84"/>
      <c r="UTD84"/>
      <c r="UTE84"/>
      <c r="UTF84"/>
      <c r="UTG84"/>
      <c r="UTH84"/>
      <c r="UTI84"/>
      <c r="UTJ84"/>
      <c r="UTK84"/>
      <c r="UTL84"/>
      <c r="UTM84"/>
      <c r="UTN84"/>
      <c r="UTO84"/>
      <c r="UTP84"/>
      <c r="UTQ84"/>
      <c r="UTR84"/>
      <c r="UTS84"/>
      <c r="UTT84"/>
      <c r="UTU84"/>
      <c r="UTV84"/>
      <c r="UTW84"/>
      <c r="UTX84"/>
      <c r="UTY84"/>
      <c r="UTZ84"/>
      <c r="UUA84"/>
      <c r="UUB84"/>
      <c r="UUC84"/>
      <c r="UUD84"/>
      <c r="UUE84"/>
      <c r="UUF84"/>
      <c r="UUG84"/>
      <c r="UUH84"/>
      <c r="UUI84"/>
      <c r="UUJ84"/>
      <c r="UUK84"/>
      <c r="UUL84"/>
      <c r="UUM84"/>
      <c r="UUN84"/>
      <c r="UUO84"/>
      <c r="UUP84"/>
      <c r="UUQ84"/>
      <c r="UUR84"/>
      <c r="UUS84"/>
      <c r="UUT84"/>
      <c r="UUU84"/>
      <c r="UUV84"/>
      <c r="UUW84"/>
      <c r="UUX84"/>
      <c r="UUY84"/>
      <c r="UUZ84"/>
      <c r="UVA84"/>
      <c r="UVB84"/>
      <c r="UVC84"/>
      <c r="UVD84"/>
      <c r="UVE84"/>
      <c r="UVF84"/>
      <c r="UVG84"/>
      <c r="UVH84"/>
      <c r="UVI84"/>
      <c r="UVJ84"/>
      <c r="UVK84"/>
      <c r="UVL84"/>
      <c r="UVM84"/>
      <c r="UVN84"/>
      <c r="UVO84"/>
      <c r="UVP84"/>
      <c r="UVQ84"/>
      <c r="UVR84"/>
      <c r="UVS84"/>
      <c r="UVT84"/>
      <c r="UVU84"/>
      <c r="UVV84"/>
      <c r="UVW84"/>
      <c r="UVX84"/>
      <c r="UVY84"/>
      <c r="UVZ84"/>
      <c r="UWA84"/>
      <c r="UWB84"/>
      <c r="UWC84"/>
      <c r="UWD84"/>
      <c r="UWE84"/>
      <c r="UWF84"/>
      <c r="UWG84"/>
      <c r="UWH84"/>
      <c r="UWI84"/>
      <c r="UWJ84"/>
      <c r="UWK84"/>
      <c r="UWL84"/>
      <c r="UWM84"/>
      <c r="UWN84"/>
      <c r="UWO84"/>
      <c r="UWP84"/>
      <c r="UWQ84"/>
      <c r="UWR84"/>
      <c r="UWS84"/>
      <c r="UWT84"/>
      <c r="UWU84"/>
      <c r="UWV84"/>
      <c r="UWW84"/>
      <c r="UWX84"/>
      <c r="UWY84"/>
      <c r="UWZ84"/>
      <c r="UXA84"/>
      <c r="UXB84"/>
      <c r="UXC84"/>
      <c r="UXD84"/>
      <c r="UXE84"/>
      <c r="UXF84"/>
      <c r="UXG84"/>
      <c r="UXH84"/>
      <c r="UXI84"/>
      <c r="UXJ84"/>
      <c r="UXK84"/>
      <c r="UXL84"/>
      <c r="UXM84"/>
      <c r="UXN84"/>
      <c r="UXO84"/>
      <c r="UXP84"/>
      <c r="UXQ84"/>
      <c r="UXR84"/>
      <c r="UXS84"/>
      <c r="UXT84"/>
      <c r="UXU84"/>
      <c r="UXV84"/>
      <c r="UXW84"/>
      <c r="UXX84"/>
      <c r="UXY84"/>
      <c r="UXZ84"/>
      <c r="UYA84"/>
      <c r="UYB84"/>
      <c r="UYC84"/>
      <c r="UYD84"/>
      <c r="UYE84"/>
      <c r="UYF84"/>
      <c r="UYG84"/>
      <c r="UYH84"/>
      <c r="UYI84"/>
      <c r="UYJ84"/>
      <c r="UYK84"/>
      <c r="UYL84"/>
      <c r="UYM84"/>
      <c r="UYN84"/>
      <c r="UYO84"/>
      <c r="UYP84"/>
      <c r="UYQ84"/>
      <c r="UYR84"/>
      <c r="UYS84"/>
      <c r="UYT84"/>
      <c r="UYU84"/>
      <c r="UYV84"/>
      <c r="UYW84"/>
      <c r="UYX84"/>
      <c r="UYY84"/>
      <c r="UYZ84"/>
      <c r="UZA84"/>
      <c r="UZB84"/>
      <c r="UZC84"/>
      <c r="UZD84"/>
      <c r="UZE84"/>
      <c r="UZF84"/>
      <c r="UZG84"/>
      <c r="UZH84"/>
      <c r="UZI84"/>
      <c r="UZJ84"/>
      <c r="UZK84"/>
      <c r="UZL84"/>
      <c r="UZM84"/>
      <c r="UZN84"/>
      <c r="UZO84"/>
      <c r="UZP84"/>
      <c r="UZQ84"/>
      <c r="UZR84"/>
      <c r="UZS84"/>
      <c r="UZT84"/>
      <c r="UZU84"/>
      <c r="UZV84"/>
      <c r="UZW84"/>
      <c r="UZX84"/>
      <c r="UZY84"/>
      <c r="UZZ84"/>
      <c r="VAA84"/>
      <c r="VAB84"/>
      <c r="VAC84"/>
      <c r="VAD84"/>
      <c r="VAE84"/>
      <c r="VAF84"/>
      <c r="VAG84"/>
      <c r="VAH84"/>
      <c r="VAI84"/>
      <c r="VAJ84"/>
      <c r="VAK84"/>
      <c r="VAL84"/>
      <c r="VAM84"/>
      <c r="VAN84"/>
      <c r="VAO84"/>
      <c r="VAP84"/>
      <c r="VAQ84"/>
      <c r="VAR84"/>
      <c r="VAS84"/>
      <c r="VAT84"/>
      <c r="VAU84"/>
      <c r="VAV84"/>
      <c r="VAW84"/>
      <c r="VAX84"/>
      <c r="VAY84"/>
      <c r="VAZ84"/>
      <c r="VBA84"/>
      <c r="VBB84"/>
      <c r="VBC84"/>
      <c r="VBD84"/>
      <c r="VBE84"/>
      <c r="VBF84"/>
      <c r="VBG84"/>
      <c r="VBH84"/>
      <c r="VBI84"/>
      <c r="VBJ84"/>
      <c r="VBK84"/>
      <c r="VBL84"/>
      <c r="VBM84"/>
      <c r="VBN84"/>
      <c r="VBO84"/>
      <c r="VBP84"/>
      <c r="VBQ84"/>
      <c r="VBR84"/>
      <c r="VBS84"/>
      <c r="VBT84"/>
      <c r="VBU84"/>
      <c r="VBV84"/>
      <c r="VBW84"/>
      <c r="VBX84"/>
      <c r="VBY84"/>
      <c r="VBZ84"/>
      <c r="VCA84"/>
      <c r="VCB84"/>
      <c r="VCC84"/>
      <c r="VCD84"/>
      <c r="VCE84"/>
      <c r="VCF84"/>
      <c r="VCG84"/>
      <c r="VCH84"/>
      <c r="VCI84"/>
      <c r="VCJ84"/>
      <c r="VCK84"/>
      <c r="VCL84"/>
      <c r="VCM84"/>
      <c r="VCN84"/>
      <c r="VCO84"/>
      <c r="VCP84"/>
      <c r="VCQ84"/>
      <c r="VCR84"/>
      <c r="VCS84"/>
      <c r="VCT84"/>
      <c r="VCU84"/>
      <c r="VCV84"/>
      <c r="VCW84"/>
      <c r="VCX84"/>
      <c r="VCY84"/>
      <c r="VCZ84"/>
      <c r="VDA84"/>
      <c r="VDB84"/>
      <c r="VDC84"/>
      <c r="VDD84"/>
      <c r="VDE84"/>
      <c r="VDF84"/>
      <c r="VDG84"/>
      <c r="VDH84"/>
      <c r="VDI84"/>
      <c r="VDJ84"/>
      <c r="VDK84"/>
      <c r="VDL84"/>
      <c r="VDM84"/>
      <c r="VDN84"/>
      <c r="VDO84"/>
      <c r="VDP84"/>
      <c r="VDQ84"/>
      <c r="VDR84"/>
      <c r="VDS84"/>
      <c r="VDT84"/>
      <c r="VDU84"/>
      <c r="VDV84"/>
      <c r="VDW84"/>
      <c r="VDX84"/>
      <c r="VDY84"/>
      <c r="VDZ84"/>
      <c r="VEA84"/>
      <c r="VEB84"/>
      <c r="VEC84"/>
      <c r="VED84"/>
      <c r="VEE84"/>
      <c r="VEF84"/>
      <c r="VEG84"/>
      <c r="VEH84"/>
      <c r="VEI84"/>
      <c r="VEJ84"/>
      <c r="VEK84"/>
      <c r="VEL84"/>
      <c r="VEM84"/>
      <c r="VEN84"/>
      <c r="VEO84"/>
      <c r="VEP84"/>
      <c r="VEQ84"/>
      <c r="VER84"/>
      <c r="VES84"/>
      <c r="VET84"/>
      <c r="VEU84"/>
      <c r="VEV84"/>
      <c r="VEW84"/>
      <c r="VEX84"/>
      <c r="VEY84"/>
      <c r="VEZ84"/>
      <c r="VFA84"/>
      <c r="VFB84"/>
      <c r="VFC84"/>
      <c r="VFD84"/>
      <c r="VFE84"/>
      <c r="VFF84"/>
      <c r="VFG84"/>
      <c r="VFH84"/>
      <c r="VFI84"/>
      <c r="VFJ84"/>
      <c r="VFK84"/>
      <c r="VFL84"/>
      <c r="VFM84"/>
      <c r="VFN84"/>
      <c r="VFO84"/>
      <c r="VFP84"/>
      <c r="VFQ84"/>
      <c r="VFR84"/>
      <c r="VFS84"/>
      <c r="VFT84"/>
      <c r="VFU84"/>
      <c r="VFV84"/>
      <c r="VFW84"/>
      <c r="VFX84"/>
      <c r="VFY84"/>
      <c r="VFZ84"/>
      <c r="VGA84"/>
      <c r="VGB84"/>
      <c r="VGC84"/>
      <c r="VGD84"/>
      <c r="VGE84"/>
      <c r="VGF84"/>
      <c r="VGG84"/>
      <c r="VGH84"/>
      <c r="VGI84"/>
      <c r="VGJ84"/>
      <c r="VGK84"/>
      <c r="VGL84"/>
      <c r="VGM84"/>
      <c r="VGN84"/>
      <c r="VGO84"/>
      <c r="VGP84"/>
      <c r="VGQ84"/>
      <c r="VGR84"/>
      <c r="VGS84"/>
      <c r="VGT84"/>
      <c r="VGU84"/>
      <c r="VGV84"/>
      <c r="VGW84"/>
      <c r="VGX84"/>
      <c r="VGY84"/>
      <c r="VGZ84"/>
      <c r="VHA84"/>
      <c r="VHB84"/>
      <c r="VHC84"/>
      <c r="VHD84"/>
      <c r="VHE84"/>
      <c r="VHF84"/>
      <c r="VHG84"/>
      <c r="VHH84"/>
      <c r="VHI84"/>
      <c r="VHJ84"/>
      <c r="VHK84"/>
      <c r="VHL84"/>
      <c r="VHM84"/>
      <c r="VHN84"/>
      <c r="VHO84"/>
      <c r="VHP84"/>
      <c r="VHQ84"/>
      <c r="VHR84"/>
      <c r="VHS84"/>
      <c r="VHT84"/>
      <c r="VHU84"/>
      <c r="VHV84"/>
      <c r="VHW84"/>
      <c r="VHX84"/>
      <c r="VHY84"/>
      <c r="VHZ84"/>
      <c r="VIA84"/>
      <c r="VIB84"/>
      <c r="VIC84"/>
      <c r="VID84"/>
      <c r="VIE84"/>
      <c r="VIF84"/>
      <c r="VIG84"/>
      <c r="VIH84"/>
      <c r="VII84"/>
      <c r="VIJ84"/>
      <c r="VIK84"/>
      <c r="VIL84"/>
      <c r="VIM84"/>
      <c r="VIN84"/>
      <c r="VIO84"/>
      <c r="VIP84"/>
      <c r="VIQ84"/>
      <c r="VIR84"/>
      <c r="VIS84"/>
      <c r="VIT84"/>
      <c r="VIU84"/>
      <c r="VIV84"/>
      <c r="VIW84"/>
      <c r="VIX84"/>
      <c r="VIY84"/>
      <c r="VIZ84"/>
      <c r="VJA84"/>
      <c r="VJB84"/>
      <c r="VJC84"/>
      <c r="VJD84"/>
      <c r="VJE84"/>
      <c r="VJF84"/>
      <c r="VJG84"/>
      <c r="VJH84"/>
      <c r="VJI84"/>
      <c r="VJJ84"/>
      <c r="VJK84"/>
      <c r="VJL84"/>
      <c r="VJM84"/>
      <c r="VJN84"/>
      <c r="VJO84"/>
      <c r="VJP84"/>
      <c r="VJQ84"/>
      <c r="VJR84"/>
      <c r="VJS84"/>
      <c r="VJT84"/>
      <c r="VJU84"/>
      <c r="VJV84"/>
      <c r="VJW84"/>
      <c r="VJX84"/>
      <c r="VJY84"/>
      <c r="VJZ84"/>
      <c r="VKA84"/>
      <c r="VKB84"/>
      <c r="VKC84"/>
      <c r="VKD84"/>
      <c r="VKE84"/>
      <c r="VKF84"/>
      <c r="VKG84"/>
      <c r="VKH84"/>
      <c r="VKI84"/>
      <c r="VKJ84"/>
      <c r="VKK84"/>
      <c r="VKL84"/>
      <c r="VKM84"/>
      <c r="VKN84"/>
      <c r="VKO84"/>
      <c r="VKP84"/>
      <c r="VKQ84"/>
      <c r="VKR84"/>
      <c r="VKS84"/>
      <c r="VKT84"/>
      <c r="VKU84"/>
      <c r="VKV84"/>
      <c r="VKW84"/>
      <c r="VKX84"/>
      <c r="VKY84"/>
      <c r="VKZ84"/>
      <c r="VLA84"/>
      <c r="VLB84"/>
      <c r="VLC84"/>
      <c r="VLD84"/>
      <c r="VLE84"/>
      <c r="VLF84"/>
      <c r="VLG84"/>
      <c r="VLH84"/>
      <c r="VLI84"/>
      <c r="VLJ84"/>
      <c r="VLK84"/>
      <c r="VLL84"/>
      <c r="VLM84"/>
      <c r="VLN84"/>
      <c r="VLO84"/>
      <c r="VLP84"/>
      <c r="VLQ84"/>
      <c r="VLR84"/>
      <c r="VLS84"/>
      <c r="VLT84"/>
      <c r="VLU84"/>
      <c r="VLV84"/>
      <c r="VLW84"/>
      <c r="VLX84"/>
      <c r="VLY84"/>
      <c r="VLZ84"/>
      <c r="VMA84"/>
      <c r="VMB84"/>
      <c r="VMC84"/>
      <c r="VMD84"/>
      <c r="VME84"/>
      <c r="VMF84"/>
      <c r="VMG84"/>
      <c r="VMH84"/>
      <c r="VMI84"/>
      <c r="VMJ84"/>
      <c r="VMK84"/>
      <c r="VML84"/>
      <c r="VMM84"/>
      <c r="VMN84"/>
      <c r="VMO84"/>
      <c r="VMP84"/>
      <c r="VMQ84"/>
      <c r="VMR84"/>
      <c r="VMS84"/>
      <c r="VMT84"/>
      <c r="VMU84"/>
      <c r="VMV84"/>
      <c r="VMW84"/>
      <c r="VMX84"/>
      <c r="VMY84"/>
      <c r="VMZ84"/>
      <c r="VNA84"/>
      <c r="VNB84"/>
      <c r="VNC84"/>
      <c r="VND84"/>
      <c r="VNE84"/>
      <c r="VNF84"/>
      <c r="VNG84"/>
      <c r="VNH84"/>
      <c r="VNI84"/>
      <c r="VNJ84"/>
      <c r="VNK84"/>
      <c r="VNL84"/>
      <c r="VNM84"/>
      <c r="VNN84"/>
      <c r="VNO84"/>
      <c r="VNP84"/>
      <c r="VNQ84"/>
      <c r="VNR84"/>
      <c r="VNS84"/>
      <c r="VNT84"/>
      <c r="VNU84"/>
      <c r="VNV84"/>
      <c r="VNW84"/>
      <c r="VNX84"/>
      <c r="VNY84"/>
      <c r="VNZ84"/>
      <c r="VOA84"/>
      <c r="VOB84"/>
      <c r="VOC84"/>
      <c r="VOD84"/>
      <c r="VOE84"/>
      <c r="VOF84"/>
      <c r="VOG84"/>
      <c r="VOH84"/>
      <c r="VOI84"/>
      <c r="VOJ84"/>
      <c r="VOK84"/>
      <c r="VOL84"/>
      <c r="VOM84"/>
      <c r="VON84"/>
      <c r="VOO84"/>
      <c r="VOP84"/>
      <c r="VOQ84"/>
      <c r="VOR84"/>
      <c r="VOS84"/>
      <c r="VOT84"/>
      <c r="VOU84"/>
      <c r="VOV84"/>
      <c r="VOW84"/>
      <c r="VOX84"/>
      <c r="VOY84"/>
      <c r="VOZ84"/>
      <c r="VPA84"/>
      <c r="VPB84"/>
      <c r="VPC84"/>
      <c r="VPD84"/>
      <c r="VPE84"/>
      <c r="VPF84"/>
      <c r="VPG84"/>
      <c r="VPH84"/>
      <c r="VPI84"/>
      <c r="VPJ84"/>
      <c r="VPK84"/>
      <c r="VPL84"/>
      <c r="VPM84"/>
      <c r="VPN84"/>
      <c r="VPO84"/>
      <c r="VPP84"/>
      <c r="VPQ84"/>
      <c r="VPR84"/>
      <c r="VPS84"/>
      <c r="VPT84"/>
      <c r="VPU84"/>
      <c r="VPV84"/>
      <c r="VPW84"/>
      <c r="VPX84"/>
      <c r="VPY84"/>
      <c r="VPZ84"/>
      <c r="VQA84"/>
      <c r="VQB84"/>
      <c r="VQC84"/>
      <c r="VQD84"/>
      <c r="VQE84"/>
      <c r="VQF84"/>
      <c r="VQG84"/>
      <c r="VQH84"/>
      <c r="VQI84"/>
      <c r="VQJ84"/>
      <c r="VQK84"/>
      <c r="VQL84"/>
      <c r="VQM84"/>
      <c r="VQN84"/>
      <c r="VQO84"/>
      <c r="VQP84"/>
      <c r="VQQ84"/>
      <c r="VQR84"/>
      <c r="VQS84"/>
      <c r="VQT84"/>
      <c r="VQU84"/>
      <c r="VQV84"/>
      <c r="VQW84"/>
      <c r="VQX84"/>
      <c r="VQY84"/>
      <c r="VQZ84"/>
      <c r="VRA84"/>
      <c r="VRB84"/>
      <c r="VRC84"/>
      <c r="VRD84"/>
      <c r="VRE84"/>
      <c r="VRF84"/>
      <c r="VRG84"/>
      <c r="VRH84"/>
      <c r="VRI84"/>
      <c r="VRJ84"/>
      <c r="VRK84"/>
      <c r="VRL84"/>
      <c r="VRM84"/>
      <c r="VRN84"/>
      <c r="VRO84"/>
      <c r="VRP84"/>
      <c r="VRQ84"/>
      <c r="VRR84"/>
      <c r="VRS84"/>
      <c r="VRT84"/>
      <c r="VRU84"/>
      <c r="VRV84"/>
      <c r="VRW84"/>
      <c r="VRX84"/>
      <c r="VRY84"/>
      <c r="VRZ84"/>
      <c r="VSA84"/>
      <c r="VSB84"/>
      <c r="VSC84"/>
      <c r="VSD84"/>
      <c r="VSE84"/>
      <c r="VSF84"/>
      <c r="VSG84"/>
      <c r="VSH84"/>
      <c r="VSI84"/>
      <c r="VSJ84"/>
      <c r="VSK84"/>
      <c r="VSL84"/>
      <c r="VSM84"/>
      <c r="VSN84"/>
      <c r="VSO84"/>
      <c r="VSP84"/>
      <c r="VSQ84"/>
      <c r="VSR84"/>
      <c r="VSS84"/>
      <c r="VST84"/>
      <c r="VSU84"/>
      <c r="VSV84"/>
      <c r="VSW84"/>
      <c r="VSX84"/>
      <c r="VSY84"/>
      <c r="VSZ84"/>
      <c r="VTA84"/>
      <c r="VTB84"/>
      <c r="VTC84"/>
      <c r="VTD84"/>
      <c r="VTE84"/>
      <c r="VTF84"/>
      <c r="VTG84"/>
      <c r="VTH84"/>
      <c r="VTI84"/>
      <c r="VTJ84"/>
      <c r="VTK84"/>
      <c r="VTL84"/>
      <c r="VTM84"/>
      <c r="VTN84"/>
      <c r="VTO84"/>
      <c r="VTP84"/>
      <c r="VTQ84"/>
      <c r="VTR84"/>
      <c r="VTS84"/>
      <c r="VTT84"/>
      <c r="VTU84"/>
      <c r="VTV84"/>
      <c r="VTW84"/>
      <c r="VTX84"/>
      <c r="VTY84"/>
      <c r="VTZ84"/>
      <c r="VUA84"/>
      <c r="VUB84"/>
      <c r="VUC84"/>
      <c r="VUD84"/>
      <c r="VUE84"/>
      <c r="VUF84"/>
      <c r="VUG84"/>
      <c r="VUH84"/>
      <c r="VUI84"/>
      <c r="VUJ84"/>
      <c r="VUK84"/>
      <c r="VUL84"/>
      <c r="VUM84"/>
      <c r="VUN84"/>
      <c r="VUO84"/>
      <c r="VUP84"/>
      <c r="VUQ84"/>
      <c r="VUR84"/>
      <c r="VUS84"/>
      <c r="VUT84"/>
      <c r="VUU84"/>
      <c r="VUV84"/>
      <c r="VUW84"/>
      <c r="VUX84"/>
      <c r="VUY84"/>
      <c r="VUZ84"/>
      <c r="VVA84"/>
      <c r="VVB84"/>
      <c r="VVC84"/>
      <c r="VVD84"/>
      <c r="VVE84"/>
      <c r="VVF84"/>
      <c r="VVG84"/>
      <c r="VVH84"/>
      <c r="VVI84"/>
      <c r="VVJ84"/>
      <c r="VVK84"/>
      <c r="VVL84"/>
      <c r="VVM84"/>
      <c r="VVN84"/>
      <c r="VVO84"/>
      <c r="VVP84"/>
      <c r="VVQ84"/>
      <c r="VVR84"/>
      <c r="VVS84"/>
      <c r="VVT84"/>
      <c r="VVU84"/>
      <c r="VVV84"/>
      <c r="VVW84"/>
      <c r="VVX84"/>
      <c r="VVY84"/>
      <c r="VVZ84"/>
      <c r="VWA84"/>
      <c r="VWB84"/>
      <c r="VWC84"/>
      <c r="VWD84"/>
      <c r="VWE84"/>
      <c r="VWF84"/>
      <c r="VWG84"/>
      <c r="VWH84"/>
      <c r="VWI84"/>
      <c r="VWJ84"/>
      <c r="VWK84"/>
      <c r="VWL84"/>
      <c r="VWM84"/>
      <c r="VWN84"/>
      <c r="VWO84"/>
      <c r="VWP84"/>
      <c r="VWQ84"/>
      <c r="VWR84"/>
      <c r="VWS84"/>
      <c r="VWT84"/>
      <c r="VWU84"/>
      <c r="VWV84"/>
      <c r="VWW84"/>
      <c r="VWX84"/>
      <c r="VWY84"/>
      <c r="VWZ84"/>
      <c r="VXA84"/>
      <c r="VXB84"/>
      <c r="VXC84"/>
      <c r="VXD84"/>
      <c r="VXE84"/>
      <c r="VXF84"/>
      <c r="VXG84"/>
      <c r="VXH84"/>
      <c r="VXI84"/>
      <c r="VXJ84"/>
      <c r="VXK84"/>
      <c r="VXL84"/>
      <c r="VXM84"/>
      <c r="VXN84"/>
      <c r="VXO84"/>
      <c r="VXP84"/>
      <c r="VXQ84"/>
      <c r="VXR84"/>
      <c r="VXS84"/>
      <c r="VXT84"/>
      <c r="VXU84"/>
      <c r="VXV84"/>
      <c r="VXW84"/>
      <c r="VXX84"/>
      <c r="VXY84"/>
      <c r="VXZ84"/>
      <c r="VYA84"/>
      <c r="VYB84"/>
      <c r="VYC84"/>
      <c r="VYD84"/>
      <c r="VYE84"/>
      <c r="VYF84"/>
      <c r="VYG84"/>
      <c r="VYH84"/>
      <c r="VYI84"/>
      <c r="VYJ84"/>
      <c r="VYK84"/>
      <c r="VYL84"/>
      <c r="VYM84"/>
      <c r="VYN84"/>
      <c r="VYO84"/>
      <c r="VYP84"/>
      <c r="VYQ84"/>
      <c r="VYR84"/>
      <c r="VYS84"/>
      <c r="VYT84"/>
      <c r="VYU84"/>
      <c r="VYV84"/>
      <c r="VYW84"/>
      <c r="VYX84"/>
      <c r="VYY84"/>
      <c r="VYZ84"/>
      <c r="VZA84"/>
      <c r="VZB84"/>
      <c r="VZC84"/>
      <c r="VZD84"/>
      <c r="VZE84"/>
      <c r="VZF84"/>
      <c r="VZG84"/>
      <c r="VZH84"/>
      <c r="VZI84"/>
      <c r="VZJ84"/>
      <c r="VZK84"/>
      <c r="VZL84"/>
      <c r="VZM84"/>
      <c r="VZN84"/>
      <c r="VZO84"/>
      <c r="VZP84"/>
      <c r="VZQ84"/>
      <c r="VZR84"/>
      <c r="VZS84"/>
      <c r="VZT84"/>
      <c r="VZU84"/>
      <c r="VZV84"/>
      <c r="VZW84"/>
      <c r="VZX84"/>
      <c r="VZY84"/>
      <c r="VZZ84"/>
      <c r="WAA84"/>
      <c r="WAB84"/>
      <c r="WAC84"/>
      <c r="WAD84"/>
      <c r="WAE84"/>
      <c r="WAF84"/>
      <c r="WAG84"/>
      <c r="WAH84"/>
      <c r="WAI84"/>
      <c r="WAJ84"/>
      <c r="WAK84"/>
      <c r="WAL84"/>
      <c r="WAM84"/>
      <c r="WAN84"/>
      <c r="WAO84"/>
      <c r="WAP84"/>
      <c r="WAQ84"/>
      <c r="WAR84"/>
      <c r="WAS84"/>
      <c r="WAT84"/>
      <c r="WAU84"/>
      <c r="WAV84"/>
      <c r="WAW84"/>
      <c r="WAX84"/>
      <c r="WAY84"/>
      <c r="WAZ84"/>
      <c r="WBA84"/>
      <c r="WBB84"/>
      <c r="WBC84"/>
      <c r="WBD84"/>
      <c r="WBE84"/>
      <c r="WBF84"/>
      <c r="WBG84"/>
      <c r="WBH84"/>
      <c r="WBI84"/>
      <c r="WBJ84"/>
      <c r="WBK84"/>
      <c r="WBL84"/>
      <c r="WBM84"/>
      <c r="WBN84"/>
      <c r="WBO84"/>
      <c r="WBP84"/>
      <c r="WBQ84"/>
      <c r="WBR84"/>
      <c r="WBS84"/>
      <c r="WBT84"/>
      <c r="WBU84"/>
      <c r="WBV84"/>
      <c r="WBW84"/>
      <c r="WBX84"/>
      <c r="WBY84"/>
      <c r="WBZ84"/>
      <c r="WCA84"/>
      <c r="WCB84"/>
      <c r="WCC84"/>
      <c r="WCD84"/>
      <c r="WCE84"/>
      <c r="WCF84"/>
      <c r="WCG84"/>
      <c r="WCH84"/>
      <c r="WCI84"/>
      <c r="WCJ84"/>
      <c r="WCK84"/>
      <c r="WCL84"/>
      <c r="WCM84"/>
      <c r="WCN84"/>
      <c r="WCO84"/>
      <c r="WCP84"/>
      <c r="WCQ84"/>
      <c r="WCR84"/>
      <c r="WCS84"/>
      <c r="WCT84"/>
      <c r="WCU84"/>
      <c r="WCV84"/>
      <c r="WCW84"/>
      <c r="WCX84"/>
      <c r="WCY84"/>
      <c r="WCZ84"/>
      <c r="WDA84"/>
      <c r="WDB84"/>
      <c r="WDC84"/>
      <c r="WDD84"/>
      <c r="WDE84"/>
      <c r="WDF84"/>
      <c r="WDG84"/>
      <c r="WDH84"/>
      <c r="WDI84"/>
      <c r="WDJ84"/>
      <c r="WDK84"/>
      <c r="WDL84"/>
      <c r="WDM84"/>
      <c r="WDN84"/>
      <c r="WDO84"/>
      <c r="WDP84"/>
      <c r="WDQ84"/>
      <c r="WDR84"/>
      <c r="WDS84"/>
      <c r="WDT84"/>
      <c r="WDU84"/>
      <c r="WDV84"/>
      <c r="WDW84"/>
      <c r="WDX84"/>
      <c r="WDY84"/>
      <c r="WDZ84"/>
      <c r="WEA84"/>
      <c r="WEB84"/>
      <c r="WEC84"/>
      <c r="WED84"/>
      <c r="WEE84"/>
      <c r="WEF84"/>
      <c r="WEG84"/>
      <c r="WEH84"/>
      <c r="WEI84"/>
      <c r="WEJ84"/>
      <c r="WEK84"/>
      <c r="WEL84"/>
      <c r="WEM84"/>
      <c r="WEN84"/>
      <c r="WEO84"/>
      <c r="WEP84"/>
      <c r="WEQ84"/>
      <c r="WER84"/>
      <c r="WES84"/>
      <c r="WET84"/>
      <c r="WEU84"/>
      <c r="WEV84"/>
      <c r="WEW84"/>
      <c r="WEX84"/>
      <c r="WEY84"/>
      <c r="WEZ84"/>
      <c r="WFA84"/>
      <c r="WFB84"/>
      <c r="WFC84"/>
      <c r="WFD84"/>
      <c r="WFE84"/>
      <c r="WFF84"/>
      <c r="WFG84"/>
      <c r="WFH84"/>
      <c r="WFI84"/>
      <c r="WFJ84"/>
      <c r="WFK84"/>
      <c r="WFL84"/>
      <c r="WFM84"/>
      <c r="WFN84"/>
      <c r="WFO84"/>
      <c r="WFP84"/>
      <c r="WFQ84"/>
      <c r="WFR84"/>
      <c r="WFS84"/>
      <c r="WFT84"/>
      <c r="WFU84"/>
      <c r="WFV84"/>
      <c r="WFW84"/>
      <c r="WFX84"/>
      <c r="WFY84"/>
      <c r="WFZ84"/>
      <c r="WGA84"/>
      <c r="WGB84"/>
      <c r="WGC84"/>
      <c r="WGD84"/>
      <c r="WGE84"/>
      <c r="WGF84"/>
      <c r="WGG84"/>
      <c r="WGH84"/>
      <c r="WGI84"/>
      <c r="WGJ84"/>
      <c r="WGK84"/>
      <c r="WGL84"/>
      <c r="WGM84"/>
      <c r="WGN84"/>
      <c r="WGO84"/>
      <c r="WGP84"/>
      <c r="WGQ84"/>
      <c r="WGR84"/>
      <c r="WGS84"/>
      <c r="WGT84"/>
      <c r="WGU84"/>
      <c r="WGV84"/>
      <c r="WGW84"/>
      <c r="WGX84"/>
      <c r="WGY84"/>
      <c r="WGZ84"/>
      <c r="WHA84"/>
      <c r="WHB84"/>
      <c r="WHC84"/>
      <c r="WHD84"/>
      <c r="WHE84"/>
      <c r="WHF84"/>
      <c r="WHG84"/>
      <c r="WHH84"/>
      <c r="WHI84"/>
      <c r="WHJ84"/>
      <c r="WHK84"/>
      <c r="WHL84"/>
      <c r="WHM84"/>
      <c r="WHN84"/>
      <c r="WHO84"/>
      <c r="WHP84"/>
      <c r="WHQ84"/>
      <c r="WHR84"/>
      <c r="WHS84"/>
      <c r="WHT84"/>
      <c r="WHU84"/>
      <c r="WHV84"/>
      <c r="WHW84"/>
      <c r="WHX84"/>
      <c r="WHY84"/>
      <c r="WHZ84"/>
      <c r="WIA84"/>
      <c r="WIB84"/>
      <c r="WIC84"/>
      <c r="WID84"/>
      <c r="WIE84"/>
      <c r="WIF84"/>
      <c r="WIG84"/>
      <c r="WIH84"/>
      <c r="WII84"/>
      <c r="WIJ84"/>
      <c r="WIK84"/>
      <c r="WIL84"/>
      <c r="WIM84"/>
      <c r="WIN84"/>
      <c r="WIO84"/>
      <c r="WIP84"/>
      <c r="WIQ84"/>
      <c r="WIR84"/>
      <c r="WIS84"/>
      <c r="WIT84"/>
      <c r="WIU84"/>
      <c r="WIV84"/>
      <c r="WIW84"/>
      <c r="WIX84"/>
      <c r="WIY84"/>
      <c r="WIZ84"/>
      <c r="WJA84"/>
      <c r="WJB84"/>
      <c r="WJC84"/>
      <c r="WJD84"/>
      <c r="WJE84"/>
      <c r="WJF84"/>
      <c r="WJG84"/>
      <c r="WJH84"/>
      <c r="WJI84"/>
      <c r="WJJ84"/>
      <c r="WJK84"/>
      <c r="WJL84"/>
      <c r="WJM84"/>
      <c r="WJN84"/>
      <c r="WJO84"/>
      <c r="WJP84"/>
      <c r="WJQ84"/>
      <c r="WJR84"/>
      <c r="WJS84"/>
      <c r="WJT84"/>
      <c r="WJU84"/>
      <c r="WJV84"/>
      <c r="WJW84"/>
      <c r="WJX84"/>
      <c r="WJY84"/>
      <c r="WJZ84"/>
      <c r="WKA84"/>
      <c r="WKB84"/>
      <c r="WKC84"/>
      <c r="WKD84"/>
      <c r="WKE84"/>
      <c r="WKF84"/>
      <c r="WKG84"/>
      <c r="WKH84"/>
      <c r="WKI84"/>
      <c r="WKJ84"/>
      <c r="WKK84"/>
      <c r="WKL84"/>
      <c r="WKM84"/>
      <c r="WKN84"/>
      <c r="WKO84"/>
      <c r="WKP84"/>
      <c r="WKQ84"/>
      <c r="WKR84"/>
      <c r="WKS84"/>
      <c r="WKT84"/>
      <c r="WKU84"/>
      <c r="WKV84"/>
      <c r="WKW84"/>
      <c r="WKX84"/>
      <c r="WKY84"/>
      <c r="WKZ84"/>
      <c r="WLA84"/>
      <c r="WLB84"/>
      <c r="WLC84"/>
      <c r="WLD84"/>
      <c r="WLE84"/>
      <c r="WLF84"/>
      <c r="WLG84"/>
      <c r="WLH84"/>
      <c r="WLI84"/>
      <c r="WLJ84"/>
      <c r="WLK84"/>
      <c r="WLL84"/>
      <c r="WLM84"/>
      <c r="WLN84"/>
      <c r="WLO84"/>
      <c r="WLP84"/>
      <c r="WLQ84"/>
      <c r="WLR84"/>
      <c r="WLS84"/>
      <c r="WLT84"/>
      <c r="WLU84"/>
      <c r="WLV84"/>
      <c r="WLW84"/>
      <c r="WLX84"/>
      <c r="WLY84"/>
      <c r="WLZ84"/>
      <c r="WMA84"/>
      <c r="WMB84"/>
      <c r="WMC84"/>
      <c r="WMD84"/>
      <c r="WME84"/>
      <c r="WMF84"/>
      <c r="WMG84"/>
      <c r="WMH84"/>
      <c r="WMI84"/>
      <c r="WMJ84"/>
      <c r="WMK84"/>
      <c r="WML84"/>
      <c r="WMM84"/>
      <c r="WMN84"/>
      <c r="WMO84"/>
      <c r="WMP84"/>
      <c r="WMQ84"/>
      <c r="WMR84"/>
      <c r="WMS84"/>
      <c r="WMT84"/>
      <c r="WMU84"/>
      <c r="WMV84"/>
      <c r="WMW84"/>
      <c r="WMX84"/>
      <c r="WMY84"/>
      <c r="WMZ84"/>
      <c r="WNA84"/>
      <c r="WNB84"/>
      <c r="WNC84"/>
      <c r="WND84"/>
      <c r="WNE84"/>
      <c r="WNF84"/>
      <c r="WNG84"/>
      <c r="WNH84"/>
      <c r="WNI84"/>
      <c r="WNJ84"/>
      <c r="WNK84"/>
      <c r="WNL84"/>
      <c r="WNM84"/>
      <c r="WNN84"/>
      <c r="WNO84"/>
      <c r="WNP84"/>
      <c r="WNQ84"/>
      <c r="WNR84"/>
      <c r="WNS84"/>
      <c r="WNT84"/>
      <c r="WNU84"/>
      <c r="WNV84"/>
      <c r="WNW84"/>
      <c r="WNX84"/>
      <c r="WNY84"/>
      <c r="WNZ84"/>
      <c r="WOA84"/>
      <c r="WOB84"/>
      <c r="WOC84"/>
      <c r="WOD84"/>
      <c r="WOE84"/>
      <c r="WOF84"/>
      <c r="WOG84"/>
      <c r="WOH84"/>
      <c r="WOI84"/>
      <c r="WOJ84"/>
      <c r="WOK84"/>
      <c r="WOL84"/>
      <c r="WOM84"/>
      <c r="WON84"/>
      <c r="WOO84"/>
      <c r="WOP84"/>
      <c r="WOQ84"/>
      <c r="WOR84"/>
      <c r="WOS84"/>
      <c r="WOT84"/>
      <c r="WOU84"/>
      <c r="WOV84"/>
      <c r="WOW84"/>
      <c r="WOX84"/>
      <c r="WOY84"/>
      <c r="WOZ84"/>
      <c r="WPA84"/>
      <c r="WPB84"/>
      <c r="WPC84"/>
      <c r="WPD84"/>
      <c r="WPE84"/>
      <c r="WPF84"/>
      <c r="WPG84"/>
      <c r="WPH84"/>
      <c r="WPI84"/>
      <c r="WPJ84"/>
      <c r="WPK84"/>
      <c r="WPL84"/>
      <c r="WPM84"/>
      <c r="WPN84"/>
      <c r="WPO84"/>
      <c r="WPP84"/>
      <c r="WPQ84"/>
      <c r="WPR84"/>
      <c r="WPS84"/>
      <c r="WPT84"/>
      <c r="WPU84"/>
      <c r="WPV84"/>
      <c r="WPW84"/>
      <c r="WPX84"/>
      <c r="WPY84"/>
      <c r="WPZ84"/>
      <c r="WQA84"/>
      <c r="WQB84"/>
      <c r="WQC84"/>
      <c r="WQD84"/>
      <c r="WQE84"/>
      <c r="WQF84"/>
      <c r="WQG84"/>
      <c r="WQH84"/>
      <c r="WQI84"/>
      <c r="WQJ84"/>
      <c r="WQK84"/>
      <c r="WQL84"/>
      <c r="WQM84"/>
      <c r="WQN84"/>
      <c r="WQO84"/>
      <c r="WQP84"/>
      <c r="WQQ84"/>
      <c r="WQR84"/>
      <c r="WQS84"/>
      <c r="WQT84"/>
      <c r="WQU84"/>
      <c r="WQV84"/>
      <c r="WQW84"/>
      <c r="WQX84"/>
      <c r="WQY84"/>
      <c r="WQZ84"/>
      <c r="WRA84"/>
      <c r="WRB84"/>
      <c r="WRC84"/>
      <c r="WRD84"/>
      <c r="WRE84"/>
      <c r="WRF84"/>
      <c r="WRG84"/>
      <c r="WRH84"/>
      <c r="WRI84"/>
      <c r="WRJ84"/>
      <c r="WRK84"/>
      <c r="WRL84"/>
      <c r="WRM84"/>
      <c r="WRN84"/>
      <c r="WRO84"/>
      <c r="WRP84"/>
      <c r="WRQ84"/>
      <c r="WRR84"/>
      <c r="WRS84"/>
      <c r="WRT84"/>
      <c r="WRU84"/>
      <c r="WRV84"/>
      <c r="WRW84"/>
      <c r="WRX84"/>
      <c r="WRY84"/>
      <c r="WRZ84"/>
      <c r="WSA84"/>
      <c r="WSB84"/>
      <c r="WSC84"/>
      <c r="WSD84"/>
      <c r="WSE84"/>
      <c r="WSF84"/>
      <c r="WSG84"/>
      <c r="WSH84"/>
      <c r="WSI84"/>
      <c r="WSJ84"/>
      <c r="WSK84"/>
      <c r="WSL84"/>
      <c r="WSM84"/>
      <c r="WSN84"/>
      <c r="WSO84"/>
      <c r="WSP84"/>
      <c r="WSQ84"/>
      <c r="WSR84"/>
      <c r="WSS84"/>
      <c r="WST84"/>
      <c r="WSU84"/>
      <c r="WSV84"/>
      <c r="WSW84"/>
      <c r="WSX84"/>
      <c r="WSY84"/>
      <c r="WSZ84"/>
      <c r="WTA84"/>
      <c r="WTB84"/>
      <c r="WTC84"/>
      <c r="WTD84"/>
      <c r="WTE84"/>
      <c r="WTF84"/>
      <c r="WTG84"/>
      <c r="WTH84"/>
      <c r="WTI84"/>
      <c r="WTJ84"/>
      <c r="WTK84"/>
      <c r="WTL84"/>
      <c r="WTM84"/>
      <c r="WTN84"/>
      <c r="WTO84"/>
      <c r="WTP84"/>
      <c r="WTQ84"/>
      <c r="WTR84"/>
      <c r="WTS84"/>
      <c r="WTT84"/>
      <c r="WTU84"/>
      <c r="WTV84"/>
      <c r="WTW84"/>
      <c r="WTX84"/>
      <c r="WTY84"/>
      <c r="WTZ84"/>
      <c r="WUA84"/>
      <c r="WUB84"/>
      <c r="WUC84"/>
      <c r="WUD84"/>
      <c r="WUE84"/>
      <c r="WUF84"/>
      <c r="WUG84"/>
      <c r="WUH84"/>
      <c r="WUI84"/>
      <c r="WUJ84"/>
      <c r="WUK84"/>
      <c r="WUL84"/>
      <c r="WUM84"/>
      <c r="WUN84"/>
      <c r="WUO84"/>
      <c r="WUP84"/>
      <c r="WUQ84"/>
      <c r="WUR84"/>
      <c r="WUS84"/>
      <c r="WUT84"/>
      <c r="WUU84"/>
      <c r="WUV84"/>
      <c r="WUW84"/>
      <c r="WUX84"/>
      <c r="WUY84"/>
      <c r="WUZ84"/>
      <c r="WVA84"/>
      <c r="WVB84"/>
      <c r="WVC84"/>
      <c r="WVD84"/>
      <c r="WVE84"/>
      <c r="WVF84"/>
      <c r="WVG84"/>
      <c r="WVH84"/>
      <c r="WVI84"/>
      <c r="WVJ84"/>
      <c r="WVK84"/>
      <c r="WVL84"/>
      <c r="WVM84"/>
      <c r="WVN84"/>
      <c r="WVO84"/>
      <c r="WVP84"/>
      <c r="WVQ84"/>
      <c r="WVR84"/>
      <c r="WVS84"/>
      <c r="WVT84"/>
      <c r="WVU84"/>
    </row>
    <row r="1048576" hidden="1" collapsed="1"/>
  </sheetData>
  <mergeCells count="4">
    <mergeCell ref="C81:K83"/>
    <mergeCell ref="I74:L76"/>
    <mergeCell ref="C18:J18"/>
    <mergeCell ref="B3:G7"/>
  </mergeCells>
  <phoneticPr fontId="24" type="noConversion"/>
  <conditionalFormatting sqref="B1">
    <cfRule type="cellIs" dxfId="48" priority="9904" operator="equal">
      <formula>0</formula>
    </cfRule>
  </conditionalFormatting>
  <conditionalFormatting sqref="B3:B1048576">
    <cfRule type="cellIs" dxfId="47" priority="2" operator="equal">
      <formula>0</formula>
    </cfRule>
  </conditionalFormatting>
  <conditionalFormatting sqref="C80:K80">
    <cfRule type="cellIs" dxfId="46" priority="9903" operator="equal">
      <formula>0</formula>
    </cfRule>
  </conditionalFormatting>
  <conditionalFormatting sqref="L1:L1048576">
    <cfRule type="cellIs" dxfId="45" priority="8862" operator="equal">
      <formula>0</formula>
    </cfRule>
  </conditionalFormatting>
  <dataValidations count="10">
    <dataValidation type="decimal" allowBlank="1" showErrorMessage="1" errorTitle="Unit Price" error="You must enter a number into this cell." promptTitle="Unit Price" sqref="WVS983078:WVS983109 JG65574:JG65605 TC65574:TC65605 ACY65574:ACY65605 AMU65574:AMU65605 AWQ65574:AWQ65605 BGM65574:BGM65605 BQI65574:BQI65605 CAE65574:CAE65605 CKA65574:CKA65605 CTW65574:CTW65605 DDS65574:DDS65605 DNO65574:DNO65605 DXK65574:DXK65605 EHG65574:EHG65605 ERC65574:ERC65605 FAY65574:FAY65605 FKU65574:FKU65605 FUQ65574:FUQ65605 GEM65574:GEM65605 GOI65574:GOI65605 GYE65574:GYE65605 HIA65574:HIA65605 HRW65574:HRW65605 IBS65574:IBS65605 ILO65574:ILO65605 IVK65574:IVK65605 JFG65574:JFG65605 JPC65574:JPC65605 JYY65574:JYY65605 KIU65574:KIU65605 KSQ65574:KSQ65605 LCM65574:LCM65605 LMI65574:LMI65605 LWE65574:LWE65605 MGA65574:MGA65605 MPW65574:MPW65605 MZS65574:MZS65605 NJO65574:NJO65605 NTK65574:NTK65605 ODG65574:ODG65605 ONC65574:ONC65605 OWY65574:OWY65605 PGU65574:PGU65605 PQQ65574:PQQ65605 QAM65574:QAM65605 QKI65574:QKI65605 QUE65574:QUE65605 REA65574:REA65605 RNW65574:RNW65605 RXS65574:RXS65605 SHO65574:SHO65605 SRK65574:SRK65605 TBG65574:TBG65605 TLC65574:TLC65605 TUY65574:TUY65605 UEU65574:UEU65605 UOQ65574:UOQ65605 UYM65574:UYM65605 VII65574:VII65605 VSE65574:VSE65605 WCA65574:WCA65605 WLW65574:WLW65605 WVS65574:WVS65605 JG131110:JG131141 TC131110:TC131141 ACY131110:ACY131141 AMU131110:AMU131141 AWQ131110:AWQ131141 BGM131110:BGM131141 BQI131110:BQI131141 CAE131110:CAE131141 CKA131110:CKA131141 CTW131110:CTW131141 DDS131110:DDS131141 DNO131110:DNO131141 DXK131110:DXK131141 EHG131110:EHG131141 ERC131110:ERC131141 FAY131110:FAY131141 FKU131110:FKU131141 FUQ131110:FUQ131141 GEM131110:GEM131141 GOI131110:GOI131141 GYE131110:GYE131141 HIA131110:HIA131141 HRW131110:HRW131141 IBS131110:IBS131141 ILO131110:ILO131141 IVK131110:IVK131141 JFG131110:JFG131141 JPC131110:JPC131141 JYY131110:JYY131141 KIU131110:KIU131141 KSQ131110:KSQ131141 LCM131110:LCM131141 LMI131110:LMI131141 LWE131110:LWE131141 MGA131110:MGA131141 MPW131110:MPW131141 MZS131110:MZS131141 NJO131110:NJO131141 NTK131110:NTK131141 ODG131110:ODG131141 ONC131110:ONC131141 OWY131110:OWY131141 PGU131110:PGU131141 PQQ131110:PQQ131141 QAM131110:QAM131141 QKI131110:QKI131141 QUE131110:QUE131141 REA131110:REA131141 RNW131110:RNW131141 RXS131110:RXS131141 SHO131110:SHO131141 SRK131110:SRK131141 TBG131110:TBG131141 TLC131110:TLC131141 TUY131110:TUY131141 UEU131110:UEU131141 UOQ131110:UOQ131141 UYM131110:UYM131141 VII131110:VII131141 VSE131110:VSE131141 WCA131110:WCA131141 WLW131110:WLW131141 WVS131110:WVS131141 JG196646:JG196677 TC196646:TC196677 ACY196646:ACY196677 AMU196646:AMU196677 AWQ196646:AWQ196677 BGM196646:BGM196677 BQI196646:BQI196677 CAE196646:CAE196677 CKA196646:CKA196677 CTW196646:CTW196677 DDS196646:DDS196677 DNO196646:DNO196677 DXK196646:DXK196677 EHG196646:EHG196677 ERC196646:ERC196677 FAY196646:FAY196677 FKU196646:FKU196677 FUQ196646:FUQ196677 GEM196646:GEM196677 GOI196646:GOI196677 GYE196646:GYE196677 HIA196646:HIA196677 HRW196646:HRW196677 IBS196646:IBS196677 ILO196646:ILO196677 IVK196646:IVK196677 JFG196646:JFG196677 JPC196646:JPC196677 JYY196646:JYY196677 KIU196646:KIU196677 KSQ196646:KSQ196677 LCM196646:LCM196677 LMI196646:LMI196677 LWE196646:LWE196677 MGA196646:MGA196677 MPW196646:MPW196677 MZS196646:MZS196677 NJO196646:NJO196677 NTK196646:NTK196677 ODG196646:ODG196677 ONC196646:ONC196677 OWY196646:OWY196677 PGU196646:PGU196677 PQQ196646:PQQ196677 QAM196646:QAM196677 QKI196646:QKI196677 QUE196646:QUE196677 REA196646:REA196677 RNW196646:RNW196677 RXS196646:RXS196677 SHO196646:SHO196677 SRK196646:SRK196677 TBG196646:TBG196677 TLC196646:TLC196677 TUY196646:TUY196677 UEU196646:UEU196677 UOQ196646:UOQ196677 UYM196646:UYM196677 VII196646:VII196677 VSE196646:VSE196677 WCA196646:WCA196677 WLW196646:WLW196677 WVS196646:WVS196677 JG262182:JG262213 TC262182:TC262213 ACY262182:ACY262213 AMU262182:AMU262213 AWQ262182:AWQ262213 BGM262182:BGM262213 BQI262182:BQI262213 CAE262182:CAE262213 CKA262182:CKA262213 CTW262182:CTW262213 DDS262182:DDS262213 DNO262182:DNO262213 DXK262182:DXK262213 EHG262182:EHG262213 ERC262182:ERC262213 FAY262182:FAY262213 FKU262182:FKU262213 FUQ262182:FUQ262213 GEM262182:GEM262213 GOI262182:GOI262213 GYE262182:GYE262213 HIA262182:HIA262213 HRW262182:HRW262213 IBS262182:IBS262213 ILO262182:ILO262213 IVK262182:IVK262213 JFG262182:JFG262213 JPC262182:JPC262213 JYY262182:JYY262213 KIU262182:KIU262213 KSQ262182:KSQ262213 LCM262182:LCM262213 LMI262182:LMI262213 LWE262182:LWE262213 MGA262182:MGA262213 MPW262182:MPW262213 MZS262182:MZS262213 NJO262182:NJO262213 NTK262182:NTK262213 ODG262182:ODG262213 ONC262182:ONC262213 OWY262182:OWY262213 PGU262182:PGU262213 PQQ262182:PQQ262213 QAM262182:QAM262213 QKI262182:QKI262213 QUE262182:QUE262213 REA262182:REA262213 RNW262182:RNW262213 RXS262182:RXS262213 SHO262182:SHO262213 SRK262182:SRK262213 TBG262182:TBG262213 TLC262182:TLC262213 TUY262182:TUY262213 UEU262182:UEU262213 UOQ262182:UOQ262213 UYM262182:UYM262213 VII262182:VII262213 VSE262182:VSE262213 WCA262182:WCA262213 WLW262182:WLW262213 WVS262182:WVS262213 JG327718:JG327749 TC327718:TC327749 ACY327718:ACY327749 AMU327718:AMU327749 AWQ327718:AWQ327749 BGM327718:BGM327749 BQI327718:BQI327749 CAE327718:CAE327749 CKA327718:CKA327749 CTW327718:CTW327749 DDS327718:DDS327749 DNO327718:DNO327749 DXK327718:DXK327749 EHG327718:EHG327749 ERC327718:ERC327749 FAY327718:FAY327749 FKU327718:FKU327749 FUQ327718:FUQ327749 GEM327718:GEM327749 GOI327718:GOI327749 GYE327718:GYE327749 HIA327718:HIA327749 HRW327718:HRW327749 IBS327718:IBS327749 ILO327718:ILO327749 IVK327718:IVK327749 JFG327718:JFG327749 JPC327718:JPC327749 JYY327718:JYY327749 KIU327718:KIU327749 KSQ327718:KSQ327749 LCM327718:LCM327749 LMI327718:LMI327749 LWE327718:LWE327749 MGA327718:MGA327749 MPW327718:MPW327749 MZS327718:MZS327749 NJO327718:NJO327749 NTK327718:NTK327749 ODG327718:ODG327749 ONC327718:ONC327749 OWY327718:OWY327749 PGU327718:PGU327749 PQQ327718:PQQ327749 QAM327718:QAM327749 QKI327718:QKI327749 QUE327718:QUE327749 REA327718:REA327749 RNW327718:RNW327749 RXS327718:RXS327749 SHO327718:SHO327749 SRK327718:SRK327749 TBG327718:TBG327749 TLC327718:TLC327749 TUY327718:TUY327749 UEU327718:UEU327749 UOQ327718:UOQ327749 UYM327718:UYM327749 VII327718:VII327749 VSE327718:VSE327749 WCA327718:WCA327749 WLW327718:WLW327749 WVS327718:WVS327749 JG393254:JG393285 TC393254:TC393285 ACY393254:ACY393285 AMU393254:AMU393285 AWQ393254:AWQ393285 BGM393254:BGM393285 BQI393254:BQI393285 CAE393254:CAE393285 CKA393254:CKA393285 CTW393254:CTW393285 DDS393254:DDS393285 DNO393254:DNO393285 DXK393254:DXK393285 EHG393254:EHG393285 ERC393254:ERC393285 FAY393254:FAY393285 FKU393254:FKU393285 FUQ393254:FUQ393285 GEM393254:GEM393285 GOI393254:GOI393285 GYE393254:GYE393285 HIA393254:HIA393285 HRW393254:HRW393285 IBS393254:IBS393285 ILO393254:ILO393285 IVK393254:IVK393285 JFG393254:JFG393285 JPC393254:JPC393285 JYY393254:JYY393285 KIU393254:KIU393285 KSQ393254:KSQ393285 LCM393254:LCM393285 LMI393254:LMI393285 LWE393254:LWE393285 MGA393254:MGA393285 MPW393254:MPW393285 MZS393254:MZS393285 NJO393254:NJO393285 NTK393254:NTK393285 ODG393254:ODG393285 ONC393254:ONC393285 OWY393254:OWY393285 PGU393254:PGU393285 PQQ393254:PQQ393285 QAM393254:QAM393285 QKI393254:QKI393285 QUE393254:QUE393285 REA393254:REA393285 RNW393254:RNW393285 RXS393254:RXS393285 SHO393254:SHO393285 SRK393254:SRK393285 TBG393254:TBG393285 TLC393254:TLC393285 TUY393254:TUY393285 UEU393254:UEU393285 UOQ393254:UOQ393285 UYM393254:UYM393285 VII393254:VII393285 VSE393254:VSE393285 WCA393254:WCA393285 WLW393254:WLW393285 WVS393254:WVS393285 JG458790:JG458821 TC458790:TC458821 ACY458790:ACY458821 AMU458790:AMU458821 AWQ458790:AWQ458821 BGM458790:BGM458821 BQI458790:BQI458821 CAE458790:CAE458821 CKA458790:CKA458821 CTW458790:CTW458821 DDS458790:DDS458821 DNO458790:DNO458821 DXK458790:DXK458821 EHG458790:EHG458821 ERC458790:ERC458821 FAY458790:FAY458821 FKU458790:FKU458821 FUQ458790:FUQ458821 GEM458790:GEM458821 GOI458790:GOI458821 GYE458790:GYE458821 HIA458790:HIA458821 HRW458790:HRW458821 IBS458790:IBS458821 ILO458790:ILO458821 IVK458790:IVK458821 JFG458790:JFG458821 JPC458790:JPC458821 JYY458790:JYY458821 KIU458790:KIU458821 KSQ458790:KSQ458821 LCM458790:LCM458821 LMI458790:LMI458821 LWE458790:LWE458821 MGA458790:MGA458821 MPW458790:MPW458821 MZS458790:MZS458821 NJO458790:NJO458821 NTK458790:NTK458821 ODG458790:ODG458821 ONC458790:ONC458821 OWY458790:OWY458821 PGU458790:PGU458821 PQQ458790:PQQ458821 QAM458790:QAM458821 QKI458790:QKI458821 QUE458790:QUE458821 REA458790:REA458821 RNW458790:RNW458821 RXS458790:RXS458821 SHO458790:SHO458821 SRK458790:SRK458821 TBG458790:TBG458821 TLC458790:TLC458821 TUY458790:TUY458821 UEU458790:UEU458821 UOQ458790:UOQ458821 UYM458790:UYM458821 VII458790:VII458821 VSE458790:VSE458821 WCA458790:WCA458821 WLW458790:WLW458821 WVS458790:WVS458821 JG524326:JG524357 TC524326:TC524357 ACY524326:ACY524357 AMU524326:AMU524357 AWQ524326:AWQ524357 BGM524326:BGM524357 BQI524326:BQI524357 CAE524326:CAE524357 CKA524326:CKA524357 CTW524326:CTW524357 DDS524326:DDS524357 DNO524326:DNO524357 DXK524326:DXK524357 EHG524326:EHG524357 ERC524326:ERC524357 FAY524326:FAY524357 FKU524326:FKU524357 FUQ524326:FUQ524357 GEM524326:GEM524357 GOI524326:GOI524357 GYE524326:GYE524357 HIA524326:HIA524357 HRW524326:HRW524357 IBS524326:IBS524357 ILO524326:ILO524357 IVK524326:IVK524357 JFG524326:JFG524357 JPC524326:JPC524357 JYY524326:JYY524357 KIU524326:KIU524357 KSQ524326:KSQ524357 LCM524326:LCM524357 LMI524326:LMI524357 LWE524326:LWE524357 MGA524326:MGA524357 MPW524326:MPW524357 MZS524326:MZS524357 NJO524326:NJO524357 NTK524326:NTK524357 ODG524326:ODG524357 ONC524326:ONC524357 OWY524326:OWY524357 PGU524326:PGU524357 PQQ524326:PQQ524357 QAM524326:QAM524357 QKI524326:QKI524357 QUE524326:QUE524357 REA524326:REA524357 RNW524326:RNW524357 RXS524326:RXS524357 SHO524326:SHO524357 SRK524326:SRK524357 TBG524326:TBG524357 TLC524326:TLC524357 TUY524326:TUY524357 UEU524326:UEU524357 UOQ524326:UOQ524357 UYM524326:UYM524357 VII524326:VII524357 VSE524326:VSE524357 WCA524326:WCA524357 WLW524326:WLW524357 WVS524326:WVS524357 JG589862:JG589893 TC589862:TC589893 ACY589862:ACY589893 AMU589862:AMU589893 AWQ589862:AWQ589893 BGM589862:BGM589893 BQI589862:BQI589893 CAE589862:CAE589893 CKA589862:CKA589893 CTW589862:CTW589893 DDS589862:DDS589893 DNO589862:DNO589893 DXK589862:DXK589893 EHG589862:EHG589893 ERC589862:ERC589893 FAY589862:FAY589893 FKU589862:FKU589893 FUQ589862:FUQ589893 GEM589862:GEM589893 GOI589862:GOI589893 GYE589862:GYE589893 HIA589862:HIA589893 HRW589862:HRW589893 IBS589862:IBS589893 ILO589862:ILO589893 IVK589862:IVK589893 JFG589862:JFG589893 JPC589862:JPC589893 JYY589862:JYY589893 KIU589862:KIU589893 KSQ589862:KSQ589893 LCM589862:LCM589893 LMI589862:LMI589893 LWE589862:LWE589893 MGA589862:MGA589893 MPW589862:MPW589893 MZS589862:MZS589893 NJO589862:NJO589893 NTK589862:NTK589893 ODG589862:ODG589893 ONC589862:ONC589893 OWY589862:OWY589893 PGU589862:PGU589893 PQQ589862:PQQ589893 QAM589862:QAM589893 QKI589862:QKI589893 QUE589862:QUE589893 REA589862:REA589893 RNW589862:RNW589893 RXS589862:RXS589893 SHO589862:SHO589893 SRK589862:SRK589893 TBG589862:TBG589893 TLC589862:TLC589893 TUY589862:TUY589893 UEU589862:UEU589893 UOQ589862:UOQ589893 UYM589862:UYM589893 VII589862:VII589893 VSE589862:VSE589893 WCA589862:WCA589893 WLW589862:WLW589893 WVS589862:WVS589893 JG655398:JG655429 TC655398:TC655429 ACY655398:ACY655429 AMU655398:AMU655429 AWQ655398:AWQ655429 BGM655398:BGM655429 BQI655398:BQI655429 CAE655398:CAE655429 CKA655398:CKA655429 CTW655398:CTW655429 DDS655398:DDS655429 DNO655398:DNO655429 DXK655398:DXK655429 EHG655398:EHG655429 ERC655398:ERC655429 FAY655398:FAY655429 FKU655398:FKU655429 FUQ655398:FUQ655429 GEM655398:GEM655429 GOI655398:GOI655429 GYE655398:GYE655429 HIA655398:HIA655429 HRW655398:HRW655429 IBS655398:IBS655429 ILO655398:ILO655429 IVK655398:IVK655429 JFG655398:JFG655429 JPC655398:JPC655429 JYY655398:JYY655429 KIU655398:KIU655429 KSQ655398:KSQ655429 LCM655398:LCM655429 LMI655398:LMI655429 LWE655398:LWE655429 MGA655398:MGA655429 MPW655398:MPW655429 MZS655398:MZS655429 NJO655398:NJO655429 NTK655398:NTK655429 ODG655398:ODG655429 ONC655398:ONC655429 OWY655398:OWY655429 PGU655398:PGU655429 PQQ655398:PQQ655429 QAM655398:QAM655429 QKI655398:QKI655429 QUE655398:QUE655429 REA655398:REA655429 RNW655398:RNW655429 RXS655398:RXS655429 SHO655398:SHO655429 SRK655398:SRK655429 TBG655398:TBG655429 TLC655398:TLC655429 TUY655398:TUY655429 UEU655398:UEU655429 UOQ655398:UOQ655429 UYM655398:UYM655429 VII655398:VII655429 VSE655398:VSE655429 WCA655398:WCA655429 WLW655398:WLW655429 WVS655398:WVS655429 JG720934:JG720965 TC720934:TC720965 ACY720934:ACY720965 AMU720934:AMU720965 AWQ720934:AWQ720965 BGM720934:BGM720965 BQI720934:BQI720965 CAE720934:CAE720965 CKA720934:CKA720965 CTW720934:CTW720965 DDS720934:DDS720965 DNO720934:DNO720965 DXK720934:DXK720965 EHG720934:EHG720965 ERC720934:ERC720965 FAY720934:FAY720965 FKU720934:FKU720965 FUQ720934:FUQ720965 GEM720934:GEM720965 GOI720934:GOI720965 GYE720934:GYE720965 HIA720934:HIA720965 HRW720934:HRW720965 IBS720934:IBS720965 ILO720934:ILO720965 IVK720934:IVK720965 JFG720934:JFG720965 JPC720934:JPC720965 JYY720934:JYY720965 KIU720934:KIU720965 KSQ720934:KSQ720965 LCM720934:LCM720965 LMI720934:LMI720965 LWE720934:LWE720965 MGA720934:MGA720965 MPW720934:MPW720965 MZS720934:MZS720965 NJO720934:NJO720965 NTK720934:NTK720965 ODG720934:ODG720965 ONC720934:ONC720965 OWY720934:OWY720965 PGU720934:PGU720965 PQQ720934:PQQ720965 QAM720934:QAM720965 QKI720934:QKI720965 QUE720934:QUE720965 REA720934:REA720965 RNW720934:RNW720965 RXS720934:RXS720965 SHO720934:SHO720965 SRK720934:SRK720965 TBG720934:TBG720965 TLC720934:TLC720965 TUY720934:TUY720965 UEU720934:UEU720965 UOQ720934:UOQ720965 UYM720934:UYM720965 VII720934:VII720965 VSE720934:VSE720965 WCA720934:WCA720965 WLW720934:WLW720965 WVS720934:WVS720965 JG786470:JG786501 TC786470:TC786501 ACY786470:ACY786501 AMU786470:AMU786501 AWQ786470:AWQ786501 BGM786470:BGM786501 BQI786470:BQI786501 CAE786470:CAE786501 CKA786470:CKA786501 CTW786470:CTW786501 DDS786470:DDS786501 DNO786470:DNO786501 DXK786470:DXK786501 EHG786470:EHG786501 ERC786470:ERC786501 FAY786470:FAY786501 FKU786470:FKU786501 FUQ786470:FUQ786501 GEM786470:GEM786501 GOI786470:GOI786501 GYE786470:GYE786501 HIA786470:HIA786501 HRW786470:HRW786501 IBS786470:IBS786501 ILO786470:ILO786501 IVK786470:IVK786501 JFG786470:JFG786501 JPC786470:JPC786501 JYY786470:JYY786501 KIU786470:KIU786501 KSQ786470:KSQ786501 LCM786470:LCM786501 LMI786470:LMI786501 LWE786470:LWE786501 MGA786470:MGA786501 MPW786470:MPW786501 MZS786470:MZS786501 NJO786470:NJO786501 NTK786470:NTK786501 ODG786470:ODG786501 ONC786470:ONC786501 OWY786470:OWY786501 PGU786470:PGU786501 PQQ786470:PQQ786501 QAM786470:QAM786501 QKI786470:QKI786501 QUE786470:QUE786501 REA786470:REA786501 RNW786470:RNW786501 RXS786470:RXS786501 SHO786470:SHO786501 SRK786470:SRK786501 TBG786470:TBG786501 TLC786470:TLC786501 TUY786470:TUY786501 UEU786470:UEU786501 UOQ786470:UOQ786501 UYM786470:UYM786501 VII786470:VII786501 VSE786470:VSE786501 WCA786470:WCA786501 WLW786470:WLW786501 WVS786470:WVS786501 JG852006:JG852037 TC852006:TC852037 ACY852006:ACY852037 AMU852006:AMU852037 AWQ852006:AWQ852037 BGM852006:BGM852037 BQI852006:BQI852037 CAE852006:CAE852037 CKA852006:CKA852037 CTW852006:CTW852037 DDS852006:DDS852037 DNO852006:DNO852037 DXK852006:DXK852037 EHG852006:EHG852037 ERC852006:ERC852037 FAY852006:FAY852037 FKU852006:FKU852037 FUQ852006:FUQ852037 GEM852006:GEM852037 GOI852006:GOI852037 GYE852006:GYE852037 HIA852006:HIA852037 HRW852006:HRW852037 IBS852006:IBS852037 ILO852006:ILO852037 IVK852006:IVK852037 JFG852006:JFG852037 JPC852006:JPC852037 JYY852006:JYY852037 KIU852006:KIU852037 KSQ852006:KSQ852037 LCM852006:LCM852037 LMI852006:LMI852037 LWE852006:LWE852037 MGA852006:MGA852037 MPW852006:MPW852037 MZS852006:MZS852037 NJO852006:NJO852037 NTK852006:NTK852037 ODG852006:ODG852037 ONC852006:ONC852037 OWY852006:OWY852037 PGU852006:PGU852037 PQQ852006:PQQ852037 QAM852006:QAM852037 QKI852006:QKI852037 QUE852006:QUE852037 REA852006:REA852037 RNW852006:RNW852037 RXS852006:RXS852037 SHO852006:SHO852037 SRK852006:SRK852037 TBG852006:TBG852037 TLC852006:TLC852037 TUY852006:TUY852037 UEU852006:UEU852037 UOQ852006:UOQ852037 UYM852006:UYM852037 VII852006:VII852037 VSE852006:VSE852037 WCA852006:WCA852037 WLW852006:WLW852037 WVS852006:WVS852037 JG917542:JG917573 TC917542:TC917573 ACY917542:ACY917573 AMU917542:AMU917573 AWQ917542:AWQ917573 BGM917542:BGM917573 BQI917542:BQI917573 CAE917542:CAE917573 CKA917542:CKA917573 CTW917542:CTW917573 DDS917542:DDS917573 DNO917542:DNO917573 DXK917542:DXK917573 EHG917542:EHG917573 ERC917542:ERC917573 FAY917542:FAY917573 FKU917542:FKU917573 FUQ917542:FUQ917573 GEM917542:GEM917573 GOI917542:GOI917573 GYE917542:GYE917573 HIA917542:HIA917573 HRW917542:HRW917573 IBS917542:IBS917573 ILO917542:ILO917573 IVK917542:IVK917573 JFG917542:JFG917573 JPC917542:JPC917573 JYY917542:JYY917573 KIU917542:KIU917573 KSQ917542:KSQ917573 LCM917542:LCM917573 LMI917542:LMI917573 LWE917542:LWE917573 MGA917542:MGA917573 MPW917542:MPW917573 MZS917542:MZS917573 NJO917542:NJO917573 NTK917542:NTK917573 ODG917542:ODG917573 ONC917542:ONC917573 OWY917542:OWY917573 PGU917542:PGU917573 PQQ917542:PQQ917573 QAM917542:QAM917573 QKI917542:QKI917573 QUE917542:QUE917573 REA917542:REA917573 RNW917542:RNW917573 RXS917542:RXS917573 SHO917542:SHO917573 SRK917542:SRK917573 TBG917542:TBG917573 TLC917542:TLC917573 TUY917542:TUY917573 UEU917542:UEU917573 UOQ917542:UOQ917573 UYM917542:UYM917573 VII917542:VII917573 VSE917542:VSE917573 WCA917542:WCA917573 WLW917542:WLW917573 WVS917542:WVS917573 JG983078:JG983109 TC983078:TC983109 ACY983078:ACY983109 AMU983078:AMU983109 AWQ983078:AWQ983109 BGM983078:BGM983109 BQI983078:BQI983109 CAE983078:CAE983109 CKA983078:CKA983109 CTW983078:CTW983109 DDS983078:DDS983109 DNO983078:DNO983109 DXK983078:DXK983109 EHG983078:EHG983109 ERC983078:ERC983109 FAY983078:FAY983109 FKU983078:FKU983109 FUQ983078:FUQ983109 GEM983078:GEM983109 GOI983078:GOI983109 GYE983078:GYE983109 HIA983078:HIA983109 HRW983078:HRW983109 IBS983078:IBS983109 ILO983078:ILO983109 IVK983078:IVK983109 JFG983078:JFG983109 JPC983078:JPC983109 JYY983078:JYY983109 KIU983078:KIU983109 KSQ983078:KSQ983109 LCM983078:LCM983109 LMI983078:LMI983109 LWE983078:LWE983109 MGA983078:MGA983109 MPW983078:MPW983109 MZS983078:MZS983109 NJO983078:NJO983109 NTK983078:NTK983109 ODG983078:ODG983109 ONC983078:ONC983109 OWY983078:OWY983109 PGU983078:PGU983109 PQQ983078:PQQ983109 QAM983078:QAM983109 QKI983078:QKI983109 QUE983078:QUE983109 REA983078:REA983109 RNW983078:RNW983109 RXS983078:RXS983109 SHO983078:SHO983109 SRK983078:SRK983109 TBG983078:TBG983109 TLC983078:TLC983109 TUY983078:TUY983109 UEU983078:UEU983109 UOQ983078:UOQ983109 UYM983078:UYM983109 VII983078:VII983109 VSE983078:VSE983109 WCA983078:WCA983109 WLW983078:WLW983109 FKO23:FKO33 FKU19:FKU22 FKU34:FKU67 FAS23:FAS33 FAY19:FAY22 FAY34:FAY67 EQW23:EQW33 ERC19:ERC22 ERC34:ERC67 EHA23:EHA33 EHG19:EHG22 EHG34:EHG67 DXE23:DXE33 DXK19:DXK22 DXK34:DXK67 DNI23:DNI33 DNO19:DNO22 DNO34:DNO67 DDM23:DDM33 DDS19:DDS22 DDS34:DDS67 CTQ23:CTQ33 CTW19:CTW22 CTW34:CTW67 CJU23:CJU33 CKA19:CKA22 CKA34:CKA67 BZY23:BZY33 CAE19:CAE22 CAE34:CAE67 BQC23:BQC33 BQI19:BQI22 BQI34:BQI67 BGG23:BGG33 BGM19:BGM22 BGM34:BGM67 AWK23:AWK33 AWQ19:AWQ22 AWQ34:AWQ67 AMO23:AMO33 AMU19:AMU22 AMU34:AMU67 ACS23:ACS33 ACY19:ACY22 ACY34:ACY67 SW23:SW33 TC19:TC22 TC34:TC67 JA23:JA33 JG19:JG22 JG34:JG67 WVM23:WVM33 WVS19:WVS22 WVS34:WVS67 WLQ23:WLQ33 WLW19:WLW22 WLW34:WLW67 WBU23:WBU33 WCA19:WCA22 WCA34:WCA67 VRY23:VRY33 VSE19:VSE22 VSE34:VSE67 VIC23:VIC33 VII19:VII22 VII34:VII67 UYG23:UYG33 UYM19:UYM22 UYM34:UYM67 UOK23:UOK33 UOQ19:UOQ22 UOQ34:UOQ67 UEO23:UEO33 UEU19:UEU22 UEU34:UEU67 TUS23:TUS33 TUY19:TUY22 TUY34:TUY67 TKW23:TKW33 TLC19:TLC22 TLC34:TLC67 TBA23:TBA33 TBG19:TBG22 TBG34:TBG67 SRE23:SRE33 SRK19:SRK22 SRK34:SRK67 SHI23:SHI33 SHO19:SHO22 SHO34:SHO67 RXM23:RXM33 RXS19:RXS22 RXS34:RXS67 RNQ23:RNQ33 RNW19:RNW22 RNW34:RNW67 RDU23:RDU33 REA19:REA22 REA34:REA67 QTY23:QTY33 QUE19:QUE22 QUE34:QUE67 QKC23:QKC33 QKI19:QKI22 QKI34:QKI67 QAG23:QAG33 QAM19:QAM22 QAM34:QAM67 PQK23:PQK33 PQQ19:PQQ22 PQQ34:PQQ67 PGO23:PGO33 PGU19:PGU22 PGU34:PGU67 OWS23:OWS33 OWY19:OWY22 OWY34:OWY67 OMW23:OMW33 ONC19:ONC22 ONC34:ONC67 ODA23:ODA33 ODG19:ODG22 ODG34:ODG67 NTE23:NTE33 NTK19:NTK22 NTK34:NTK67 NJI23:NJI33 NJO19:NJO22 NJO34:NJO67 MZM23:MZM33 MZS19:MZS22 MZS34:MZS67 MPQ23:MPQ33 MPW19:MPW22 MPW34:MPW67 MFU23:MFU33 MGA19:MGA22 MGA34:MGA67 LVY23:LVY33 LWE19:LWE22 LWE34:LWE67 LMC23:LMC33 LMI19:LMI22 LMI34:LMI67 LCG23:LCG33 LCM19:LCM22 LCM34:LCM67 KSK23:KSK33 KSQ19:KSQ22 KSQ34:KSQ67 KIO23:KIO33 KIU19:KIU22 KIU34:KIU67 JYS23:JYS33 JYY19:JYY22 JYY34:JYY67 JOW23:JOW33 JPC19:JPC22 JPC34:JPC67 JFA23:JFA33 JFG19:JFG22 JFG34:JFG67 IVE23:IVE33 IVK19:IVK22 IVK34:IVK67 ILI23:ILI33 ILO19:ILO22 ILO34:ILO67 IBM23:IBM33 IBS19:IBS22 IBS34:IBS67 HRQ23:HRQ33 HRW19:HRW22 HRW34:HRW67 HHU23:HHU33 HIA19:HIA22 HIA34:HIA67 GXY23:GXY33 GYE19:GYE22 GYE34:GYE67 GOC23:GOC33 GOI19:GOI22 GOI34:GOI67 GEG23:GEG33 GEM19:GEM22 GEM34:GEM67 FUK23:FUK33 FUQ19:FUQ22 FUQ34:FUQ67" xr:uid="{00000000-0002-0000-0000-000000000000}">
      <formula1>0</formula1>
      <formula2>1000000000</formula2>
    </dataValidation>
    <dataValidation type="whole" errorStyle="warning" allowBlank="1" showErrorMessage="1" errorTitle="Quantity" error="You must enter a number in this cell." promptTitle="Quantity" sqref="WVJ983078:WVJ983109 B65574:B65605 IX65574:IX65605 ST65574:ST65605 ACP65574:ACP65605 AML65574:AML65605 AWH65574:AWH65605 BGD65574:BGD65605 BPZ65574:BPZ65605 BZV65574:BZV65605 CJR65574:CJR65605 CTN65574:CTN65605 DDJ65574:DDJ65605 DNF65574:DNF65605 DXB65574:DXB65605 EGX65574:EGX65605 EQT65574:EQT65605 FAP65574:FAP65605 FKL65574:FKL65605 FUH65574:FUH65605 GED65574:GED65605 GNZ65574:GNZ65605 GXV65574:GXV65605 HHR65574:HHR65605 HRN65574:HRN65605 IBJ65574:IBJ65605 ILF65574:ILF65605 IVB65574:IVB65605 JEX65574:JEX65605 JOT65574:JOT65605 JYP65574:JYP65605 KIL65574:KIL65605 KSH65574:KSH65605 LCD65574:LCD65605 LLZ65574:LLZ65605 LVV65574:LVV65605 MFR65574:MFR65605 MPN65574:MPN65605 MZJ65574:MZJ65605 NJF65574:NJF65605 NTB65574:NTB65605 OCX65574:OCX65605 OMT65574:OMT65605 OWP65574:OWP65605 PGL65574:PGL65605 PQH65574:PQH65605 QAD65574:QAD65605 QJZ65574:QJZ65605 QTV65574:QTV65605 RDR65574:RDR65605 RNN65574:RNN65605 RXJ65574:RXJ65605 SHF65574:SHF65605 SRB65574:SRB65605 TAX65574:TAX65605 TKT65574:TKT65605 TUP65574:TUP65605 UEL65574:UEL65605 UOH65574:UOH65605 UYD65574:UYD65605 VHZ65574:VHZ65605 VRV65574:VRV65605 WBR65574:WBR65605 WLN65574:WLN65605 WVJ65574:WVJ65605 B131110:B131141 IX131110:IX131141 ST131110:ST131141 ACP131110:ACP131141 AML131110:AML131141 AWH131110:AWH131141 BGD131110:BGD131141 BPZ131110:BPZ131141 BZV131110:BZV131141 CJR131110:CJR131141 CTN131110:CTN131141 DDJ131110:DDJ131141 DNF131110:DNF131141 DXB131110:DXB131141 EGX131110:EGX131141 EQT131110:EQT131141 FAP131110:FAP131141 FKL131110:FKL131141 FUH131110:FUH131141 GED131110:GED131141 GNZ131110:GNZ131141 GXV131110:GXV131141 HHR131110:HHR131141 HRN131110:HRN131141 IBJ131110:IBJ131141 ILF131110:ILF131141 IVB131110:IVB131141 JEX131110:JEX131141 JOT131110:JOT131141 JYP131110:JYP131141 KIL131110:KIL131141 KSH131110:KSH131141 LCD131110:LCD131141 LLZ131110:LLZ131141 LVV131110:LVV131141 MFR131110:MFR131141 MPN131110:MPN131141 MZJ131110:MZJ131141 NJF131110:NJF131141 NTB131110:NTB131141 OCX131110:OCX131141 OMT131110:OMT131141 OWP131110:OWP131141 PGL131110:PGL131141 PQH131110:PQH131141 QAD131110:QAD131141 QJZ131110:QJZ131141 QTV131110:QTV131141 RDR131110:RDR131141 RNN131110:RNN131141 RXJ131110:RXJ131141 SHF131110:SHF131141 SRB131110:SRB131141 TAX131110:TAX131141 TKT131110:TKT131141 TUP131110:TUP131141 UEL131110:UEL131141 UOH131110:UOH131141 UYD131110:UYD131141 VHZ131110:VHZ131141 VRV131110:VRV131141 WBR131110:WBR131141 WLN131110:WLN131141 WVJ131110:WVJ131141 B196646:B196677 IX196646:IX196677 ST196646:ST196677 ACP196646:ACP196677 AML196646:AML196677 AWH196646:AWH196677 BGD196646:BGD196677 BPZ196646:BPZ196677 BZV196646:BZV196677 CJR196646:CJR196677 CTN196646:CTN196677 DDJ196646:DDJ196677 DNF196646:DNF196677 DXB196646:DXB196677 EGX196646:EGX196677 EQT196646:EQT196677 FAP196646:FAP196677 FKL196646:FKL196677 FUH196646:FUH196677 GED196646:GED196677 GNZ196646:GNZ196677 GXV196646:GXV196677 HHR196646:HHR196677 HRN196646:HRN196677 IBJ196646:IBJ196677 ILF196646:ILF196677 IVB196646:IVB196677 JEX196646:JEX196677 JOT196646:JOT196677 JYP196646:JYP196677 KIL196646:KIL196677 KSH196646:KSH196677 LCD196646:LCD196677 LLZ196646:LLZ196677 LVV196646:LVV196677 MFR196646:MFR196677 MPN196646:MPN196677 MZJ196646:MZJ196677 NJF196646:NJF196677 NTB196646:NTB196677 OCX196646:OCX196677 OMT196646:OMT196677 OWP196646:OWP196677 PGL196646:PGL196677 PQH196646:PQH196677 QAD196646:QAD196677 QJZ196646:QJZ196677 QTV196646:QTV196677 RDR196646:RDR196677 RNN196646:RNN196677 RXJ196646:RXJ196677 SHF196646:SHF196677 SRB196646:SRB196677 TAX196646:TAX196677 TKT196646:TKT196677 TUP196646:TUP196677 UEL196646:UEL196677 UOH196646:UOH196677 UYD196646:UYD196677 VHZ196646:VHZ196677 VRV196646:VRV196677 WBR196646:WBR196677 WLN196646:WLN196677 WVJ196646:WVJ196677 B262182:B262213 IX262182:IX262213 ST262182:ST262213 ACP262182:ACP262213 AML262182:AML262213 AWH262182:AWH262213 BGD262182:BGD262213 BPZ262182:BPZ262213 BZV262182:BZV262213 CJR262182:CJR262213 CTN262182:CTN262213 DDJ262182:DDJ262213 DNF262182:DNF262213 DXB262182:DXB262213 EGX262182:EGX262213 EQT262182:EQT262213 FAP262182:FAP262213 FKL262182:FKL262213 FUH262182:FUH262213 GED262182:GED262213 GNZ262182:GNZ262213 GXV262182:GXV262213 HHR262182:HHR262213 HRN262182:HRN262213 IBJ262182:IBJ262213 ILF262182:ILF262213 IVB262182:IVB262213 JEX262182:JEX262213 JOT262182:JOT262213 JYP262182:JYP262213 KIL262182:KIL262213 KSH262182:KSH262213 LCD262182:LCD262213 LLZ262182:LLZ262213 LVV262182:LVV262213 MFR262182:MFR262213 MPN262182:MPN262213 MZJ262182:MZJ262213 NJF262182:NJF262213 NTB262182:NTB262213 OCX262182:OCX262213 OMT262182:OMT262213 OWP262182:OWP262213 PGL262182:PGL262213 PQH262182:PQH262213 QAD262182:QAD262213 QJZ262182:QJZ262213 QTV262182:QTV262213 RDR262182:RDR262213 RNN262182:RNN262213 RXJ262182:RXJ262213 SHF262182:SHF262213 SRB262182:SRB262213 TAX262182:TAX262213 TKT262182:TKT262213 TUP262182:TUP262213 UEL262182:UEL262213 UOH262182:UOH262213 UYD262182:UYD262213 VHZ262182:VHZ262213 VRV262182:VRV262213 WBR262182:WBR262213 WLN262182:WLN262213 WVJ262182:WVJ262213 B327718:B327749 IX327718:IX327749 ST327718:ST327749 ACP327718:ACP327749 AML327718:AML327749 AWH327718:AWH327749 BGD327718:BGD327749 BPZ327718:BPZ327749 BZV327718:BZV327749 CJR327718:CJR327749 CTN327718:CTN327749 DDJ327718:DDJ327749 DNF327718:DNF327749 DXB327718:DXB327749 EGX327718:EGX327749 EQT327718:EQT327749 FAP327718:FAP327749 FKL327718:FKL327749 FUH327718:FUH327749 GED327718:GED327749 GNZ327718:GNZ327749 GXV327718:GXV327749 HHR327718:HHR327749 HRN327718:HRN327749 IBJ327718:IBJ327749 ILF327718:ILF327749 IVB327718:IVB327749 JEX327718:JEX327749 JOT327718:JOT327749 JYP327718:JYP327749 KIL327718:KIL327749 KSH327718:KSH327749 LCD327718:LCD327749 LLZ327718:LLZ327749 LVV327718:LVV327749 MFR327718:MFR327749 MPN327718:MPN327749 MZJ327718:MZJ327749 NJF327718:NJF327749 NTB327718:NTB327749 OCX327718:OCX327749 OMT327718:OMT327749 OWP327718:OWP327749 PGL327718:PGL327749 PQH327718:PQH327749 QAD327718:QAD327749 QJZ327718:QJZ327749 QTV327718:QTV327749 RDR327718:RDR327749 RNN327718:RNN327749 RXJ327718:RXJ327749 SHF327718:SHF327749 SRB327718:SRB327749 TAX327718:TAX327749 TKT327718:TKT327749 TUP327718:TUP327749 UEL327718:UEL327749 UOH327718:UOH327749 UYD327718:UYD327749 VHZ327718:VHZ327749 VRV327718:VRV327749 WBR327718:WBR327749 WLN327718:WLN327749 WVJ327718:WVJ327749 B393254:B393285 IX393254:IX393285 ST393254:ST393285 ACP393254:ACP393285 AML393254:AML393285 AWH393254:AWH393285 BGD393254:BGD393285 BPZ393254:BPZ393285 BZV393254:BZV393285 CJR393254:CJR393285 CTN393254:CTN393285 DDJ393254:DDJ393285 DNF393254:DNF393285 DXB393254:DXB393285 EGX393254:EGX393285 EQT393254:EQT393285 FAP393254:FAP393285 FKL393254:FKL393285 FUH393254:FUH393285 GED393254:GED393285 GNZ393254:GNZ393285 GXV393254:GXV393285 HHR393254:HHR393285 HRN393254:HRN393285 IBJ393254:IBJ393285 ILF393254:ILF393285 IVB393254:IVB393285 JEX393254:JEX393285 JOT393254:JOT393285 JYP393254:JYP393285 KIL393254:KIL393285 KSH393254:KSH393285 LCD393254:LCD393285 LLZ393254:LLZ393285 LVV393254:LVV393285 MFR393254:MFR393285 MPN393254:MPN393285 MZJ393254:MZJ393285 NJF393254:NJF393285 NTB393254:NTB393285 OCX393254:OCX393285 OMT393254:OMT393285 OWP393254:OWP393285 PGL393254:PGL393285 PQH393254:PQH393285 QAD393254:QAD393285 QJZ393254:QJZ393285 QTV393254:QTV393285 RDR393254:RDR393285 RNN393254:RNN393285 RXJ393254:RXJ393285 SHF393254:SHF393285 SRB393254:SRB393285 TAX393254:TAX393285 TKT393254:TKT393285 TUP393254:TUP393285 UEL393254:UEL393285 UOH393254:UOH393285 UYD393254:UYD393285 VHZ393254:VHZ393285 VRV393254:VRV393285 WBR393254:WBR393285 WLN393254:WLN393285 WVJ393254:WVJ393285 B458790:B458821 IX458790:IX458821 ST458790:ST458821 ACP458790:ACP458821 AML458790:AML458821 AWH458790:AWH458821 BGD458790:BGD458821 BPZ458790:BPZ458821 BZV458790:BZV458821 CJR458790:CJR458821 CTN458790:CTN458821 DDJ458790:DDJ458821 DNF458790:DNF458821 DXB458790:DXB458821 EGX458790:EGX458821 EQT458790:EQT458821 FAP458790:FAP458821 FKL458790:FKL458821 FUH458790:FUH458821 GED458790:GED458821 GNZ458790:GNZ458821 GXV458790:GXV458821 HHR458790:HHR458821 HRN458790:HRN458821 IBJ458790:IBJ458821 ILF458790:ILF458821 IVB458790:IVB458821 JEX458790:JEX458821 JOT458790:JOT458821 JYP458790:JYP458821 KIL458790:KIL458821 KSH458790:KSH458821 LCD458790:LCD458821 LLZ458790:LLZ458821 LVV458790:LVV458821 MFR458790:MFR458821 MPN458790:MPN458821 MZJ458790:MZJ458821 NJF458790:NJF458821 NTB458790:NTB458821 OCX458790:OCX458821 OMT458790:OMT458821 OWP458790:OWP458821 PGL458790:PGL458821 PQH458790:PQH458821 QAD458790:QAD458821 QJZ458790:QJZ458821 QTV458790:QTV458821 RDR458790:RDR458821 RNN458790:RNN458821 RXJ458790:RXJ458821 SHF458790:SHF458821 SRB458790:SRB458821 TAX458790:TAX458821 TKT458790:TKT458821 TUP458790:TUP458821 UEL458790:UEL458821 UOH458790:UOH458821 UYD458790:UYD458821 VHZ458790:VHZ458821 VRV458790:VRV458821 WBR458790:WBR458821 WLN458790:WLN458821 WVJ458790:WVJ458821 B524326:B524357 IX524326:IX524357 ST524326:ST524357 ACP524326:ACP524357 AML524326:AML524357 AWH524326:AWH524357 BGD524326:BGD524357 BPZ524326:BPZ524357 BZV524326:BZV524357 CJR524326:CJR524357 CTN524326:CTN524357 DDJ524326:DDJ524357 DNF524326:DNF524357 DXB524326:DXB524357 EGX524326:EGX524357 EQT524326:EQT524357 FAP524326:FAP524357 FKL524326:FKL524357 FUH524326:FUH524357 GED524326:GED524357 GNZ524326:GNZ524357 GXV524326:GXV524357 HHR524326:HHR524357 HRN524326:HRN524357 IBJ524326:IBJ524357 ILF524326:ILF524357 IVB524326:IVB524357 JEX524326:JEX524357 JOT524326:JOT524357 JYP524326:JYP524357 KIL524326:KIL524357 KSH524326:KSH524357 LCD524326:LCD524357 LLZ524326:LLZ524357 LVV524326:LVV524357 MFR524326:MFR524357 MPN524326:MPN524357 MZJ524326:MZJ524357 NJF524326:NJF524357 NTB524326:NTB524357 OCX524326:OCX524357 OMT524326:OMT524357 OWP524326:OWP524357 PGL524326:PGL524357 PQH524326:PQH524357 QAD524326:QAD524357 QJZ524326:QJZ524357 QTV524326:QTV524357 RDR524326:RDR524357 RNN524326:RNN524357 RXJ524326:RXJ524357 SHF524326:SHF524357 SRB524326:SRB524357 TAX524326:TAX524357 TKT524326:TKT524357 TUP524326:TUP524357 UEL524326:UEL524357 UOH524326:UOH524357 UYD524326:UYD524357 VHZ524326:VHZ524357 VRV524326:VRV524357 WBR524326:WBR524357 WLN524326:WLN524357 WVJ524326:WVJ524357 B589862:B589893 IX589862:IX589893 ST589862:ST589893 ACP589862:ACP589893 AML589862:AML589893 AWH589862:AWH589893 BGD589862:BGD589893 BPZ589862:BPZ589893 BZV589862:BZV589893 CJR589862:CJR589893 CTN589862:CTN589893 DDJ589862:DDJ589893 DNF589862:DNF589893 DXB589862:DXB589893 EGX589862:EGX589893 EQT589862:EQT589893 FAP589862:FAP589893 FKL589862:FKL589893 FUH589862:FUH589893 GED589862:GED589893 GNZ589862:GNZ589893 GXV589862:GXV589893 HHR589862:HHR589893 HRN589862:HRN589893 IBJ589862:IBJ589893 ILF589862:ILF589893 IVB589862:IVB589893 JEX589862:JEX589893 JOT589862:JOT589893 JYP589862:JYP589893 KIL589862:KIL589893 KSH589862:KSH589893 LCD589862:LCD589893 LLZ589862:LLZ589893 LVV589862:LVV589893 MFR589862:MFR589893 MPN589862:MPN589893 MZJ589862:MZJ589893 NJF589862:NJF589893 NTB589862:NTB589893 OCX589862:OCX589893 OMT589862:OMT589893 OWP589862:OWP589893 PGL589862:PGL589893 PQH589862:PQH589893 QAD589862:QAD589893 QJZ589862:QJZ589893 QTV589862:QTV589893 RDR589862:RDR589893 RNN589862:RNN589893 RXJ589862:RXJ589893 SHF589862:SHF589893 SRB589862:SRB589893 TAX589862:TAX589893 TKT589862:TKT589893 TUP589862:TUP589893 UEL589862:UEL589893 UOH589862:UOH589893 UYD589862:UYD589893 VHZ589862:VHZ589893 VRV589862:VRV589893 WBR589862:WBR589893 WLN589862:WLN589893 WVJ589862:WVJ589893 B655398:B655429 IX655398:IX655429 ST655398:ST655429 ACP655398:ACP655429 AML655398:AML655429 AWH655398:AWH655429 BGD655398:BGD655429 BPZ655398:BPZ655429 BZV655398:BZV655429 CJR655398:CJR655429 CTN655398:CTN655429 DDJ655398:DDJ655429 DNF655398:DNF655429 DXB655398:DXB655429 EGX655398:EGX655429 EQT655398:EQT655429 FAP655398:FAP655429 FKL655398:FKL655429 FUH655398:FUH655429 GED655398:GED655429 GNZ655398:GNZ655429 GXV655398:GXV655429 HHR655398:HHR655429 HRN655398:HRN655429 IBJ655398:IBJ655429 ILF655398:ILF655429 IVB655398:IVB655429 JEX655398:JEX655429 JOT655398:JOT655429 JYP655398:JYP655429 KIL655398:KIL655429 KSH655398:KSH655429 LCD655398:LCD655429 LLZ655398:LLZ655429 LVV655398:LVV655429 MFR655398:MFR655429 MPN655398:MPN655429 MZJ655398:MZJ655429 NJF655398:NJF655429 NTB655398:NTB655429 OCX655398:OCX655429 OMT655398:OMT655429 OWP655398:OWP655429 PGL655398:PGL655429 PQH655398:PQH655429 QAD655398:QAD655429 QJZ655398:QJZ655429 QTV655398:QTV655429 RDR655398:RDR655429 RNN655398:RNN655429 RXJ655398:RXJ655429 SHF655398:SHF655429 SRB655398:SRB655429 TAX655398:TAX655429 TKT655398:TKT655429 TUP655398:TUP655429 UEL655398:UEL655429 UOH655398:UOH655429 UYD655398:UYD655429 VHZ655398:VHZ655429 VRV655398:VRV655429 WBR655398:WBR655429 WLN655398:WLN655429 WVJ655398:WVJ655429 B720934:B720965 IX720934:IX720965 ST720934:ST720965 ACP720934:ACP720965 AML720934:AML720965 AWH720934:AWH720965 BGD720934:BGD720965 BPZ720934:BPZ720965 BZV720934:BZV720965 CJR720934:CJR720965 CTN720934:CTN720965 DDJ720934:DDJ720965 DNF720934:DNF720965 DXB720934:DXB720965 EGX720934:EGX720965 EQT720934:EQT720965 FAP720934:FAP720965 FKL720934:FKL720965 FUH720934:FUH720965 GED720934:GED720965 GNZ720934:GNZ720965 GXV720934:GXV720965 HHR720934:HHR720965 HRN720934:HRN720965 IBJ720934:IBJ720965 ILF720934:ILF720965 IVB720934:IVB720965 JEX720934:JEX720965 JOT720934:JOT720965 JYP720934:JYP720965 KIL720934:KIL720965 KSH720934:KSH720965 LCD720934:LCD720965 LLZ720934:LLZ720965 LVV720934:LVV720965 MFR720934:MFR720965 MPN720934:MPN720965 MZJ720934:MZJ720965 NJF720934:NJF720965 NTB720934:NTB720965 OCX720934:OCX720965 OMT720934:OMT720965 OWP720934:OWP720965 PGL720934:PGL720965 PQH720934:PQH720965 QAD720934:QAD720965 QJZ720934:QJZ720965 QTV720934:QTV720965 RDR720934:RDR720965 RNN720934:RNN720965 RXJ720934:RXJ720965 SHF720934:SHF720965 SRB720934:SRB720965 TAX720934:TAX720965 TKT720934:TKT720965 TUP720934:TUP720965 UEL720934:UEL720965 UOH720934:UOH720965 UYD720934:UYD720965 VHZ720934:VHZ720965 VRV720934:VRV720965 WBR720934:WBR720965 WLN720934:WLN720965 WVJ720934:WVJ720965 B786470:B786501 IX786470:IX786501 ST786470:ST786501 ACP786470:ACP786501 AML786470:AML786501 AWH786470:AWH786501 BGD786470:BGD786501 BPZ786470:BPZ786501 BZV786470:BZV786501 CJR786470:CJR786501 CTN786470:CTN786501 DDJ786470:DDJ786501 DNF786470:DNF786501 DXB786470:DXB786501 EGX786470:EGX786501 EQT786470:EQT786501 FAP786470:FAP786501 FKL786470:FKL786501 FUH786470:FUH786501 GED786470:GED786501 GNZ786470:GNZ786501 GXV786470:GXV786501 HHR786470:HHR786501 HRN786470:HRN786501 IBJ786470:IBJ786501 ILF786470:ILF786501 IVB786470:IVB786501 JEX786470:JEX786501 JOT786470:JOT786501 JYP786470:JYP786501 KIL786470:KIL786501 KSH786470:KSH786501 LCD786470:LCD786501 LLZ786470:LLZ786501 LVV786470:LVV786501 MFR786470:MFR786501 MPN786470:MPN786501 MZJ786470:MZJ786501 NJF786470:NJF786501 NTB786470:NTB786501 OCX786470:OCX786501 OMT786470:OMT786501 OWP786470:OWP786501 PGL786470:PGL786501 PQH786470:PQH786501 QAD786470:QAD786501 QJZ786470:QJZ786501 QTV786470:QTV786501 RDR786470:RDR786501 RNN786470:RNN786501 RXJ786470:RXJ786501 SHF786470:SHF786501 SRB786470:SRB786501 TAX786470:TAX786501 TKT786470:TKT786501 TUP786470:TUP786501 UEL786470:UEL786501 UOH786470:UOH786501 UYD786470:UYD786501 VHZ786470:VHZ786501 VRV786470:VRV786501 WBR786470:WBR786501 WLN786470:WLN786501 WVJ786470:WVJ786501 B852006:B852037 IX852006:IX852037 ST852006:ST852037 ACP852006:ACP852037 AML852006:AML852037 AWH852006:AWH852037 BGD852006:BGD852037 BPZ852006:BPZ852037 BZV852006:BZV852037 CJR852006:CJR852037 CTN852006:CTN852037 DDJ852006:DDJ852037 DNF852006:DNF852037 DXB852006:DXB852037 EGX852006:EGX852037 EQT852006:EQT852037 FAP852006:FAP852037 FKL852006:FKL852037 FUH852006:FUH852037 GED852006:GED852037 GNZ852006:GNZ852037 GXV852006:GXV852037 HHR852006:HHR852037 HRN852006:HRN852037 IBJ852006:IBJ852037 ILF852006:ILF852037 IVB852006:IVB852037 JEX852006:JEX852037 JOT852006:JOT852037 JYP852006:JYP852037 KIL852006:KIL852037 KSH852006:KSH852037 LCD852006:LCD852037 LLZ852006:LLZ852037 LVV852006:LVV852037 MFR852006:MFR852037 MPN852006:MPN852037 MZJ852006:MZJ852037 NJF852006:NJF852037 NTB852006:NTB852037 OCX852006:OCX852037 OMT852006:OMT852037 OWP852006:OWP852037 PGL852006:PGL852037 PQH852006:PQH852037 QAD852006:QAD852037 QJZ852006:QJZ852037 QTV852006:QTV852037 RDR852006:RDR852037 RNN852006:RNN852037 RXJ852006:RXJ852037 SHF852006:SHF852037 SRB852006:SRB852037 TAX852006:TAX852037 TKT852006:TKT852037 TUP852006:TUP852037 UEL852006:UEL852037 UOH852006:UOH852037 UYD852006:UYD852037 VHZ852006:VHZ852037 VRV852006:VRV852037 WBR852006:WBR852037 WLN852006:WLN852037 WVJ852006:WVJ852037 B917542:B917573 IX917542:IX917573 ST917542:ST917573 ACP917542:ACP917573 AML917542:AML917573 AWH917542:AWH917573 BGD917542:BGD917573 BPZ917542:BPZ917573 BZV917542:BZV917573 CJR917542:CJR917573 CTN917542:CTN917573 DDJ917542:DDJ917573 DNF917542:DNF917573 DXB917542:DXB917573 EGX917542:EGX917573 EQT917542:EQT917573 FAP917542:FAP917573 FKL917542:FKL917573 FUH917542:FUH917573 GED917542:GED917573 GNZ917542:GNZ917573 GXV917542:GXV917573 HHR917542:HHR917573 HRN917542:HRN917573 IBJ917542:IBJ917573 ILF917542:ILF917573 IVB917542:IVB917573 JEX917542:JEX917573 JOT917542:JOT917573 JYP917542:JYP917573 KIL917542:KIL917573 KSH917542:KSH917573 LCD917542:LCD917573 LLZ917542:LLZ917573 LVV917542:LVV917573 MFR917542:MFR917573 MPN917542:MPN917573 MZJ917542:MZJ917573 NJF917542:NJF917573 NTB917542:NTB917573 OCX917542:OCX917573 OMT917542:OMT917573 OWP917542:OWP917573 PGL917542:PGL917573 PQH917542:PQH917573 QAD917542:QAD917573 QJZ917542:QJZ917573 QTV917542:QTV917573 RDR917542:RDR917573 RNN917542:RNN917573 RXJ917542:RXJ917573 SHF917542:SHF917573 SRB917542:SRB917573 TAX917542:TAX917573 TKT917542:TKT917573 TUP917542:TUP917573 UEL917542:UEL917573 UOH917542:UOH917573 UYD917542:UYD917573 VHZ917542:VHZ917573 VRV917542:VRV917573 WBR917542:WBR917573 WLN917542:WLN917573 WVJ917542:WVJ917573 B983078:B983109 IX983078:IX983109 ST983078:ST983109 ACP983078:ACP983109 AML983078:AML983109 AWH983078:AWH983109 BGD983078:BGD983109 BPZ983078:BPZ983109 BZV983078:BZV983109 CJR983078:CJR983109 CTN983078:CTN983109 DDJ983078:DDJ983109 DNF983078:DNF983109 DXB983078:DXB983109 EGX983078:EGX983109 EQT983078:EQT983109 FAP983078:FAP983109 FKL983078:FKL983109 FUH983078:FUH983109 GED983078:GED983109 GNZ983078:GNZ983109 GXV983078:GXV983109 HHR983078:HHR983109 HRN983078:HRN983109 IBJ983078:IBJ983109 ILF983078:ILF983109 IVB983078:IVB983109 JEX983078:JEX983109 JOT983078:JOT983109 JYP983078:JYP983109 KIL983078:KIL983109 KSH983078:KSH983109 LCD983078:LCD983109 LLZ983078:LLZ983109 LVV983078:LVV983109 MFR983078:MFR983109 MPN983078:MPN983109 MZJ983078:MZJ983109 NJF983078:NJF983109 NTB983078:NTB983109 OCX983078:OCX983109 OMT983078:OMT983109 OWP983078:OWP983109 PGL983078:PGL983109 PQH983078:PQH983109 QAD983078:QAD983109 QJZ983078:QJZ983109 QTV983078:QTV983109 RDR983078:RDR983109 RNN983078:RNN983109 RXJ983078:RXJ983109 SHF983078:SHF983109 SRB983078:SRB983109 TAX983078:TAX983109 TKT983078:TKT983109 TUP983078:TUP983109 UEL983078:UEL983109 UOH983078:UOH983109 UYD983078:UYD983109 VHZ983078:VHZ983109 VRV983078:VRV983109 WBR983078:WBR983109 WLN983078:WLN983109 B65:B67 WLH23:WLH33 WLN19:WLN22 WLN34:WLN67 WBL23:WBL33 WBR19:WBR22 WBR34:WBR67 VRP23:VRP33 VRV19:VRV22 VRV34:VRV67 VHT23:VHT33 VHZ19:VHZ22 VHZ34:VHZ67 UXX23:UXX33 UYD19:UYD22 UYD34:UYD67 UOB23:UOB33 UOH19:UOH22 UOH34:UOH67 UEF23:UEF33 UEL19:UEL22 UEL34:UEL67 TUJ23:TUJ33 TUP19:TUP22 TUP34:TUP67 TKN23:TKN33 TKT19:TKT22 TKT34:TKT67 TAR23:TAR33 TAX19:TAX22 TAX34:TAX67 SQV23:SQV33 SRB19:SRB22 SRB34:SRB67 SGZ23:SGZ33 SHF19:SHF22 SHF34:SHF67 RXD23:RXD33 RXJ19:RXJ22 RXJ34:RXJ67 RNH23:RNH33 RNN19:RNN22 RNN34:RNN67 RDL23:RDL33 RDR19:RDR22 RDR34:RDR67 QTP23:QTP33 QTV19:QTV22 QTV34:QTV67 QJT23:QJT33 QJZ19:QJZ22 QJZ34:QJZ67 PZX23:PZX33 QAD19:QAD22 QAD34:QAD67 PQB23:PQB33 PQH19:PQH22 PQH34:PQH67 PGF23:PGF33 PGL19:PGL22 PGL34:PGL67 OWJ23:OWJ33 OWP19:OWP22 OWP34:OWP67 OMN23:OMN33 OMT19:OMT22 OMT34:OMT67 OCR23:OCR33 OCX19:OCX22 OCX34:OCX67 NSV23:NSV33 NTB19:NTB22 NTB34:NTB67 NIZ23:NIZ33 NJF19:NJF22 NJF34:NJF67 MZD23:MZD33 MZJ19:MZJ22 MZJ34:MZJ67 MPH23:MPH33 MPN19:MPN22 MPN34:MPN67 MFL23:MFL33 MFR19:MFR22 MFR34:MFR67 LVP23:LVP33 LVV19:LVV22 LVV34:LVV67 LLT23:LLT33 LLZ19:LLZ22 LLZ34:LLZ67 LBX23:LBX33 LCD19:LCD22 LCD34:LCD67 KSB23:KSB33 KSH19:KSH22 KSH34:KSH67 KIF23:KIF33 KIL19:KIL22 KIL34:KIL67 JYJ23:JYJ33 JYP19:JYP22 JYP34:JYP67 JON23:JON33 JOT19:JOT22 JOT34:JOT67 JER23:JER33 JEX19:JEX22 JEX34:JEX67 IUV23:IUV33 IVB19:IVB22 IVB34:IVB67 IKZ23:IKZ33 ILF19:ILF22 ILF34:ILF67 IBD23:IBD33 IBJ19:IBJ22 IBJ34:IBJ67 HRH23:HRH33 HRN19:HRN22 HRN34:HRN67 HHL23:HHL33 HHR19:HHR22 HHR34:HHR67 GXP23:GXP33 GXV19:GXV22 GXV34:GXV67 GNT23:GNT33 GNZ19:GNZ22 GNZ34:GNZ67 GDX23:GDX33 GED19:GED22 GED34:GED67 FUB23:FUB33 FUH19:FUH22 FUH34:FUH67 FKF23:FKF33 FKL19:FKL22 FKL34:FKL67 FAJ23:FAJ33 FAP19:FAP22 FAP34:FAP67 EQN23:EQN33 EQT19:EQT22 EQT34:EQT67 EGR23:EGR33 EGX19:EGX22 EGX34:EGX67 DWV23:DWV33 DXB19:DXB22 DXB34:DXB67 DMZ23:DMZ33 DNF19:DNF22 DNF34:DNF67 DDD23:DDD33 DDJ19:DDJ22 DDJ34:DDJ67 CTH23:CTH33 CTN19:CTN22 CTN34:CTN67 CJL23:CJL33 CJR19:CJR22 CJR34:CJR67 BZP23:BZP33 BZV19:BZV22 BZV34:BZV67 BPT23:BPT33 BPZ19:BPZ22 BPZ34:BPZ67 BFX23:BFX33 BGD19:BGD22 BGD34:BGD67 AWB23:AWB33 AWH19:AWH22 AWH34:AWH67 AMF23:AMF33 AML19:AML22 AML34:AML67 ACJ23:ACJ33 ACP19:ACP22 ACP34:ACP67 SN23:SN33 ST19:ST22 ST34:ST67 IR23:IR33 IX19:IX22 IX34:IX67 WVD23:WVD33 WVJ19:WVJ22 WVJ34:WVJ67" xr:uid="{00000000-0002-0000-0000-000001000000}">
      <formula1>0</formula1>
      <formula2>1000000000</formula2>
    </dataValidation>
    <dataValidation allowBlank="1" showInputMessage="1" showErrorMessage="1" promptTitle="Company Information" prompt="To enter multiple lines in a single cell, use Alt + Enter._x000a__x000a_You can also customize this template with your company information and then save it as a new template for future use.  See the help topics for more information on how to create custom templates." sqref="I5:I6 JE5:JE6 TA5:TA6 ACW5:ACW6 AMS5:AMS6 AWO5:AWO6 BGK5:BGK6 BQG5:BQG6 CAC5:CAC6 CJY5:CJY6 CTU5:CTU6 DDQ5:DDQ6 DNM5:DNM6 DXI5:DXI6 EHE5:EHE6 ERA5:ERA6 FAW5:FAW6 FKS5:FKS6 FUO5:FUO6 GEK5:GEK6 GOG5:GOG6 GYC5:GYC6 HHY5:HHY6 HRU5:HRU6 IBQ5:IBQ6 ILM5:ILM6 IVI5:IVI6 JFE5:JFE6 JPA5:JPA6 JYW5:JYW6 KIS5:KIS6 KSO5:KSO6 LCK5:LCK6 LMG5:LMG6 LWC5:LWC6 MFY5:MFY6 MPU5:MPU6 MZQ5:MZQ6 NJM5:NJM6 NTI5:NTI6 ODE5:ODE6 ONA5:ONA6 OWW5:OWW6 PGS5:PGS6 PQO5:PQO6 QAK5:QAK6 QKG5:QKG6 QUC5:QUC6 RDY5:RDY6 RNU5:RNU6 RXQ5:RXQ6 SHM5:SHM6 SRI5:SRI6 TBE5:TBE6 TLA5:TLA6 TUW5:TUW6 UES5:UES6 UOO5:UOO6 UYK5:UYK6 VIG5:VIG6 VSC5:VSC6 WBY5:WBY6 WLU5:WLU6 WVQ5:WVQ6 I65560:I65561 JE65560:JE65561 TA65560:TA65561 ACW65560:ACW65561 AMS65560:AMS65561 AWO65560:AWO65561 BGK65560:BGK65561 BQG65560:BQG65561 CAC65560:CAC65561 CJY65560:CJY65561 CTU65560:CTU65561 DDQ65560:DDQ65561 DNM65560:DNM65561 DXI65560:DXI65561 EHE65560:EHE65561 ERA65560:ERA65561 FAW65560:FAW65561 FKS65560:FKS65561 FUO65560:FUO65561 GEK65560:GEK65561 GOG65560:GOG65561 GYC65560:GYC65561 HHY65560:HHY65561 HRU65560:HRU65561 IBQ65560:IBQ65561 ILM65560:ILM65561 IVI65560:IVI65561 JFE65560:JFE65561 JPA65560:JPA65561 JYW65560:JYW65561 KIS65560:KIS65561 KSO65560:KSO65561 LCK65560:LCK65561 LMG65560:LMG65561 LWC65560:LWC65561 MFY65560:MFY65561 MPU65560:MPU65561 MZQ65560:MZQ65561 NJM65560:NJM65561 NTI65560:NTI65561 ODE65560:ODE65561 ONA65560:ONA65561 OWW65560:OWW65561 PGS65560:PGS65561 PQO65560:PQO65561 QAK65560:QAK65561 QKG65560:QKG65561 QUC65560:QUC65561 RDY65560:RDY65561 RNU65560:RNU65561 RXQ65560:RXQ65561 SHM65560:SHM65561 SRI65560:SRI65561 TBE65560:TBE65561 TLA65560:TLA65561 TUW65560:TUW65561 UES65560:UES65561 UOO65560:UOO65561 UYK65560:UYK65561 VIG65560:VIG65561 VSC65560:VSC65561 WBY65560:WBY65561 WLU65560:WLU65561 WVQ65560:WVQ65561 I131096:I131097 JE131096:JE131097 TA131096:TA131097 ACW131096:ACW131097 AMS131096:AMS131097 AWO131096:AWO131097 BGK131096:BGK131097 BQG131096:BQG131097 CAC131096:CAC131097 CJY131096:CJY131097 CTU131096:CTU131097 DDQ131096:DDQ131097 DNM131096:DNM131097 DXI131096:DXI131097 EHE131096:EHE131097 ERA131096:ERA131097 FAW131096:FAW131097 FKS131096:FKS131097 FUO131096:FUO131097 GEK131096:GEK131097 GOG131096:GOG131097 GYC131096:GYC131097 HHY131096:HHY131097 HRU131096:HRU131097 IBQ131096:IBQ131097 ILM131096:ILM131097 IVI131096:IVI131097 JFE131096:JFE131097 JPA131096:JPA131097 JYW131096:JYW131097 KIS131096:KIS131097 KSO131096:KSO131097 LCK131096:LCK131097 LMG131096:LMG131097 LWC131096:LWC131097 MFY131096:MFY131097 MPU131096:MPU131097 MZQ131096:MZQ131097 NJM131096:NJM131097 NTI131096:NTI131097 ODE131096:ODE131097 ONA131096:ONA131097 OWW131096:OWW131097 PGS131096:PGS131097 PQO131096:PQO131097 QAK131096:QAK131097 QKG131096:QKG131097 QUC131096:QUC131097 RDY131096:RDY131097 RNU131096:RNU131097 RXQ131096:RXQ131097 SHM131096:SHM131097 SRI131096:SRI131097 TBE131096:TBE131097 TLA131096:TLA131097 TUW131096:TUW131097 UES131096:UES131097 UOO131096:UOO131097 UYK131096:UYK131097 VIG131096:VIG131097 VSC131096:VSC131097 WBY131096:WBY131097 WLU131096:WLU131097 WVQ131096:WVQ131097 I196632:I196633 JE196632:JE196633 TA196632:TA196633 ACW196632:ACW196633 AMS196632:AMS196633 AWO196632:AWO196633 BGK196632:BGK196633 BQG196632:BQG196633 CAC196632:CAC196633 CJY196632:CJY196633 CTU196632:CTU196633 DDQ196632:DDQ196633 DNM196632:DNM196633 DXI196632:DXI196633 EHE196632:EHE196633 ERA196632:ERA196633 FAW196632:FAW196633 FKS196632:FKS196633 FUO196632:FUO196633 GEK196632:GEK196633 GOG196632:GOG196633 GYC196632:GYC196633 HHY196632:HHY196633 HRU196632:HRU196633 IBQ196632:IBQ196633 ILM196632:ILM196633 IVI196632:IVI196633 JFE196632:JFE196633 JPA196632:JPA196633 JYW196632:JYW196633 KIS196632:KIS196633 KSO196632:KSO196633 LCK196632:LCK196633 LMG196632:LMG196633 LWC196632:LWC196633 MFY196632:MFY196633 MPU196632:MPU196633 MZQ196632:MZQ196633 NJM196632:NJM196633 NTI196632:NTI196633 ODE196632:ODE196633 ONA196632:ONA196633 OWW196632:OWW196633 PGS196632:PGS196633 PQO196632:PQO196633 QAK196632:QAK196633 QKG196632:QKG196633 QUC196632:QUC196633 RDY196632:RDY196633 RNU196632:RNU196633 RXQ196632:RXQ196633 SHM196632:SHM196633 SRI196632:SRI196633 TBE196632:TBE196633 TLA196632:TLA196633 TUW196632:TUW196633 UES196632:UES196633 UOO196632:UOO196633 UYK196632:UYK196633 VIG196632:VIG196633 VSC196632:VSC196633 WBY196632:WBY196633 WLU196632:WLU196633 WVQ196632:WVQ196633 I262168:I262169 JE262168:JE262169 TA262168:TA262169 ACW262168:ACW262169 AMS262168:AMS262169 AWO262168:AWO262169 BGK262168:BGK262169 BQG262168:BQG262169 CAC262168:CAC262169 CJY262168:CJY262169 CTU262168:CTU262169 DDQ262168:DDQ262169 DNM262168:DNM262169 DXI262168:DXI262169 EHE262168:EHE262169 ERA262168:ERA262169 FAW262168:FAW262169 FKS262168:FKS262169 FUO262168:FUO262169 GEK262168:GEK262169 GOG262168:GOG262169 GYC262168:GYC262169 HHY262168:HHY262169 HRU262168:HRU262169 IBQ262168:IBQ262169 ILM262168:ILM262169 IVI262168:IVI262169 JFE262168:JFE262169 JPA262168:JPA262169 JYW262168:JYW262169 KIS262168:KIS262169 KSO262168:KSO262169 LCK262168:LCK262169 LMG262168:LMG262169 LWC262168:LWC262169 MFY262168:MFY262169 MPU262168:MPU262169 MZQ262168:MZQ262169 NJM262168:NJM262169 NTI262168:NTI262169 ODE262168:ODE262169 ONA262168:ONA262169 OWW262168:OWW262169 PGS262168:PGS262169 PQO262168:PQO262169 QAK262168:QAK262169 QKG262168:QKG262169 QUC262168:QUC262169 RDY262168:RDY262169 RNU262168:RNU262169 RXQ262168:RXQ262169 SHM262168:SHM262169 SRI262168:SRI262169 TBE262168:TBE262169 TLA262168:TLA262169 TUW262168:TUW262169 UES262168:UES262169 UOO262168:UOO262169 UYK262168:UYK262169 VIG262168:VIG262169 VSC262168:VSC262169 WBY262168:WBY262169 WLU262168:WLU262169 WVQ262168:WVQ262169 I327704:I327705 JE327704:JE327705 TA327704:TA327705 ACW327704:ACW327705 AMS327704:AMS327705 AWO327704:AWO327705 BGK327704:BGK327705 BQG327704:BQG327705 CAC327704:CAC327705 CJY327704:CJY327705 CTU327704:CTU327705 DDQ327704:DDQ327705 DNM327704:DNM327705 DXI327704:DXI327705 EHE327704:EHE327705 ERA327704:ERA327705 FAW327704:FAW327705 FKS327704:FKS327705 FUO327704:FUO327705 GEK327704:GEK327705 GOG327704:GOG327705 GYC327704:GYC327705 HHY327704:HHY327705 HRU327704:HRU327705 IBQ327704:IBQ327705 ILM327704:ILM327705 IVI327704:IVI327705 JFE327704:JFE327705 JPA327704:JPA327705 JYW327704:JYW327705 KIS327704:KIS327705 KSO327704:KSO327705 LCK327704:LCK327705 LMG327704:LMG327705 LWC327704:LWC327705 MFY327704:MFY327705 MPU327704:MPU327705 MZQ327704:MZQ327705 NJM327704:NJM327705 NTI327704:NTI327705 ODE327704:ODE327705 ONA327704:ONA327705 OWW327704:OWW327705 PGS327704:PGS327705 PQO327704:PQO327705 QAK327704:QAK327705 QKG327704:QKG327705 QUC327704:QUC327705 RDY327704:RDY327705 RNU327704:RNU327705 RXQ327704:RXQ327705 SHM327704:SHM327705 SRI327704:SRI327705 TBE327704:TBE327705 TLA327704:TLA327705 TUW327704:TUW327705 UES327704:UES327705 UOO327704:UOO327705 UYK327704:UYK327705 VIG327704:VIG327705 VSC327704:VSC327705 WBY327704:WBY327705 WLU327704:WLU327705 WVQ327704:WVQ327705 I393240:I393241 JE393240:JE393241 TA393240:TA393241 ACW393240:ACW393241 AMS393240:AMS393241 AWO393240:AWO393241 BGK393240:BGK393241 BQG393240:BQG393241 CAC393240:CAC393241 CJY393240:CJY393241 CTU393240:CTU393241 DDQ393240:DDQ393241 DNM393240:DNM393241 DXI393240:DXI393241 EHE393240:EHE393241 ERA393240:ERA393241 FAW393240:FAW393241 FKS393240:FKS393241 FUO393240:FUO393241 GEK393240:GEK393241 GOG393240:GOG393241 GYC393240:GYC393241 HHY393240:HHY393241 HRU393240:HRU393241 IBQ393240:IBQ393241 ILM393240:ILM393241 IVI393240:IVI393241 JFE393240:JFE393241 JPA393240:JPA393241 JYW393240:JYW393241 KIS393240:KIS393241 KSO393240:KSO393241 LCK393240:LCK393241 LMG393240:LMG393241 LWC393240:LWC393241 MFY393240:MFY393241 MPU393240:MPU393241 MZQ393240:MZQ393241 NJM393240:NJM393241 NTI393240:NTI393241 ODE393240:ODE393241 ONA393240:ONA393241 OWW393240:OWW393241 PGS393240:PGS393241 PQO393240:PQO393241 QAK393240:QAK393241 QKG393240:QKG393241 QUC393240:QUC393241 RDY393240:RDY393241 RNU393240:RNU393241 RXQ393240:RXQ393241 SHM393240:SHM393241 SRI393240:SRI393241 TBE393240:TBE393241 TLA393240:TLA393241 TUW393240:TUW393241 UES393240:UES393241 UOO393240:UOO393241 UYK393240:UYK393241 VIG393240:VIG393241 VSC393240:VSC393241 WBY393240:WBY393241 WLU393240:WLU393241 WVQ393240:WVQ393241 I458776:I458777 JE458776:JE458777 TA458776:TA458777 ACW458776:ACW458777 AMS458776:AMS458777 AWO458776:AWO458777 BGK458776:BGK458777 BQG458776:BQG458777 CAC458776:CAC458777 CJY458776:CJY458777 CTU458776:CTU458777 DDQ458776:DDQ458777 DNM458776:DNM458777 DXI458776:DXI458777 EHE458776:EHE458777 ERA458776:ERA458777 FAW458776:FAW458777 FKS458776:FKS458777 FUO458776:FUO458777 GEK458776:GEK458777 GOG458776:GOG458777 GYC458776:GYC458777 HHY458776:HHY458777 HRU458776:HRU458777 IBQ458776:IBQ458777 ILM458776:ILM458777 IVI458776:IVI458777 JFE458776:JFE458777 JPA458776:JPA458777 JYW458776:JYW458777 KIS458776:KIS458777 KSO458776:KSO458777 LCK458776:LCK458777 LMG458776:LMG458777 LWC458776:LWC458777 MFY458776:MFY458777 MPU458776:MPU458777 MZQ458776:MZQ458777 NJM458776:NJM458777 NTI458776:NTI458777 ODE458776:ODE458777 ONA458776:ONA458777 OWW458776:OWW458777 PGS458776:PGS458777 PQO458776:PQO458777 QAK458776:QAK458777 QKG458776:QKG458777 QUC458776:QUC458777 RDY458776:RDY458777 RNU458776:RNU458777 RXQ458776:RXQ458777 SHM458776:SHM458777 SRI458776:SRI458777 TBE458776:TBE458777 TLA458776:TLA458777 TUW458776:TUW458777 UES458776:UES458777 UOO458776:UOO458777 UYK458776:UYK458777 VIG458776:VIG458777 VSC458776:VSC458777 WBY458776:WBY458777 WLU458776:WLU458777 WVQ458776:WVQ458777 I524312:I524313 JE524312:JE524313 TA524312:TA524313 ACW524312:ACW524313 AMS524312:AMS524313 AWO524312:AWO524313 BGK524312:BGK524313 BQG524312:BQG524313 CAC524312:CAC524313 CJY524312:CJY524313 CTU524312:CTU524313 DDQ524312:DDQ524313 DNM524312:DNM524313 DXI524312:DXI524313 EHE524312:EHE524313 ERA524312:ERA524313 FAW524312:FAW524313 FKS524312:FKS524313 FUO524312:FUO524313 GEK524312:GEK524313 GOG524312:GOG524313 GYC524312:GYC524313 HHY524312:HHY524313 HRU524312:HRU524313 IBQ524312:IBQ524313 ILM524312:ILM524313 IVI524312:IVI524313 JFE524312:JFE524313 JPA524312:JPA524313 JYW524312:JYW524313 KIS524312:KIS524313 KSO524312:KSO524313 LCK524312:LCK524313 LMG524312:LMG524313 LWC524312:LWC524313 MFY524312:MFY524313 MPU524312:MPU524313 MZQ524312:MZQ524313 NJM524312:NJM524313 NTI524312:NTI524313 ODE524312:ODE524313 ONA524312:ONA524313 OWW524312:OWW524313 PGS524312:PGS524313 PQO524312:PQO524313 QAK524312:QAK524313 QKG524312:QKG524313 QUC524312:QUC524313 RDY524312:RDY524313 RNU524312:RNU524313 RXQ524312:RXQ524313 SHM524312:SHM524313 SRI524312:SRI524313 TBE524312:TBE524313 TLA524312:TLA524313 TUW524312:TUW524313 UES524312:UES524313 UOO524312:UOO524313 UYK524312:UYK524313 VIG524312:VIG524313 VSC524312:VSC524313 WBY524312:WBY524313 WLU524312:WLU524313 WVQ524312:WVQ524313 I589848:I589849 JE589848:JE589849 TA589848:TA589849 ACW589848:ACW589849 AMS589848:AMS589849 AWO589848:AWO589849 BGK589848:BGK589849 BQG589848:BQG589849 CAC589848:CAC589849 CJY589848:CJY589849 CTU589848:CTU589849 DDQ589848:DDQ589849 DNM589848:DNM589849 DXI589848:DXI589849 EHE589848:EHE589849 ERA589848:ERA589849 FAW589848:FAW589849 FKS589848:FKS589849 FUO589848:FUO589849 GEK589848:GEK589849 GOG589848:GOG589849 GYC589848:GYC589849 HHY589848:HHY589849 HRU589848:HRU589849 IBQ589848:IBQ589849 ILM589848:ILM589849 IVI589848:IVI589849 JFE589848:JFE589849 JPA589848:JPA589849 JYW589848:JYW589849 KIS589848:KIS589849 KSO589848:KSO589849 LCK589848:LCK589849 LMG589848:LMG589849 LWC589848:LWC589849 MFY589848:MFY589849 MPU589848:MPU589849 MZQ589848:MZQ589849 NJM589848:NJM589849 NTI589848:NTI589849 ODE589848:ODE589849 ONA589848:ONA589849 OWW589848:OWW589849 PGS589848:PGS589849 PQO589848:PQO589849 QAK589848:QAK589849 QKG589848:QKG589849 QUC589848:QUC589849 RDY589848:RDY589849 RNU589848:RNU589849 RXQ589848:RXQ589849 SHM589848:SHM589849 SRI589848:SRI589849 TBE589848:TBE589849 TLA589848:TLA589849 TUW589848:TUW589849 UES589848:UES589849 UOO589848:UOO589849 UYK589848:UYK589849 VIG589848:VIG589849 VSC589848:VSC589849 WBY589848:WBY589849 WLU589848:WLU589849 WVQ589848:WVQ589849 I655384:I655385 JE655384:JE655385 TA655384:TA655385 ACW655384:ACW655385 AMS655384:AMS655385 AWO655384:AWO655385 BGK655384:BGK655385 BQG655384:BQG655385 CAC655384:CAC655385 CJY655384:CJY655385 CTU655384:CTU655385 DDQ655384:DDQ655385 DNM655384:DNM655385 DXI655384:DXI655385 EHE655384:EHE655385 ERA655384:ERA655385 FAW655384:FAW655385 FKS655384:FKS655385 FUO655384:FUO655385 GEK655384:GEK655385 GOG655384:GOG655385 GYC655384:GYC655385 HHY655384:HHY655385 HRU655384:HRU655385 IBQ655384:IBQ655385 ILM655384:ILM655385 IVI655384:IVI655385 JFE655384:JFE655385 JPA655384:JPA655385 JYW655384:JYW655385 KIS655384:KIS655385 KSO655384:KSO655385 LCK655384:LCK655385 LMG655384:LMG655385 LWC655384:LWC655385 MFY655384:MFY655385 MPU655384:MPU655385 MZQ655384:MZQ655385 NJM655384:NJM655385 NTI655384:NTI655385 ODE655384:ODE655385 ONA655384:ONA655385 OWW655384:OWW655385 PGS655384:PGS655385 PQO655384:PQO655385 QAK655384:QAK655385 QKG655384:QKG655385 QUC655384:QUC655385 RDY655384:RDY655385 RNU655384:RNU655385 RXQ655384:RXQ655385 SHM655384:SHM655385 SRI655384:SRI655385 TBE655384:TBE655385 TLA655384:TLA655385 TUW655384:TUW655385 UES655384:UES655385 UOO655384:UOO655385 UYK655384:UYK655385 VIG655384:VIG655385 VSC655384:VSC655385 WBY655384:WBY655385 WLU655384:WLU655385 WVQ655384:WVQ655385 I720920:I720921 JE720920:JE720921 TA720920:TA720921 ACW720920:ACW720921 AMS720920:AMS720921 AWO720920:AWO720921 BGK720920:BGK720921 BQG720920:BQG720921 CAC720920:CAC720921 CJY720920:CJY720921 CTU720920:CTU720921 DDQ720920:DDQ720921 DNM720920:DNM720921 DXI720920:DXI720921 EHE720920:EHE720921 ERA720920:ERA720921 FAW720920:FAW720921 FKS720920:FKS720921 FUO720920:FUO720921 GEK720920:GEK720921 GOG720920:GOG720921 GYC720920:GYC720921 HHY720920:HHY720921 HRU720920:HRU720921 IBQ720920:IBQ720921 ILM720920:ILM720921 IVI720920:IVI720921 JFE720920:JFE720921 JPA720920:JPA720921 JYW720920:JYW720921 KIS720920:KIS720921 KSO720920:KSO720921 LCK720920:LCK720921 LMG720920:LMG720921 LWC720920:LWC720921 MFY720920:MFY720921 MPU720920:MPU720921 MZQ720920:MZQ720921 NJM720920:NJM720921 NTI720920:NTI720921 ODE720920:ODE720921 ONA720920:ONA720921 OWW720920:OWW720921 PGS720920:PGS720921 PQO720920:PQO720921 QAK720920:QAK720921 QKG720920:QKG720921 QUC720920:QUC720921 RDY720920:RDY720921 RNU720920:RNU720921 RXQ720920:RXQ720921 SHM720920:SHM720921 SRI720920:SRI720921 TBE720920:TBE720921 TLA720920:TLA720921 TUW720920:TUW720921 UES720920:UES720921 UOO720920:UOO720921 UYK720920:UYK720921 VIG720920:VIG720921 VSC720920:VSC720921 WBY720920:WBY720921 WLU720920:WLU720921 WVQ720920:WVQ720921 I786456:I786457 JE786456:JE786457 TA786456:TA786457 ACW786456:ACW786457 AMS786456:AMS786457 AWO786456:AWO786457 BGK786456:BGK786457 BQG786456:BQG786457 CAC786456:CAC786457 CJY786456:CJY786457 CTU786456:CTU786457 DDQ786456:DDQ786457 DNM786456:DNM786457 DXI786456:DXI786457 EHE786456:EHE786457 ERA786456:ERA786457 FAW786456:FAW786457 FKS786456:FKS786457 FUO786456:FUO786457 GEK786456:GEK786457 GOG786456:GOG786457 GYC786456:GYC786457 HHY786456:HHY786457 HRU786456:HRU786457 IBQ786456:IBQ786457 ILM786456:ILM786457 IVI786456:IVI786457 JFE786456:JFE786457 JPA786456:JPA786457 JYW786456:JYW786457 KIS786456:KIS786457 KSO786456:KSO786457 LCK786456:LCK786457 LMG786456:LMG786457 LWC786456:LWC786457 MFY786456:MFY786457 MPU786456:MPU786457 MZQ786456:MZQ786457 NJM786456:NJM786457 NTI786456:NTI786457 ODE786456:ODE786457 ONA786456:ONA786457 OWW786456:OWW786457 PGS786456:PGS786457 PQO786456:PQO786457 QAK786456:QAK786457 QKG786456:QKG786457 QUC786456:QUC786457 RDY786456:RDY786457 RNU786456:RNU786457 RXQ786456:RXQ786457 SHM786456:SHM786457 SRI786456:SRI786457 TBE786456:TBE786457 TLA786456:TLA786457 TUW786456:TUW786457 UES786456:UES786457 UOO786456:UOO786457 UYK786456:UYK786457 VIG786456:VIG786457 VSC786456:VSC786457 WBY786456:WBY786457 WLU786456:WLU786457 WVQ786456:WVQ786457 I851992:I851993 JE851992:JE851993 TA851992:TA851993 ACW851992:ACW851993 AMS851992:AMS851993 AWO851992:AWO851993 BGK851992:BGK851993 BQG851992:BQG851993 CAC851992:CAC851993 CJY851992:CJY851993 CTU851992:CTU851993 DDQ851992:DDQ851993 DNM851992:DNM851993 DXI851992:DXI851993 EHE851992:EHE851993 ERA851992:ERA851993 FAW851992:FAW851993 FKS851992:FKS851993 FUO851992:FUO851993 GEK851992:GEK851993 GOG851992:GOG851993 GYC851992:GYC851993 HHY851992:HHY851993 HRU851992:HRU851993 IBQ851992:IBQ851993 ILM851992:ILM851993 IVI851992:IVI851993 JFE851992:JFE851993 JPA851992:JPA851993 JYW851992:JYW851993 KIS851992:KIS851993 KSO851992:KSO851993 LCK851992:LCK851993 LMG851992:LMG851993 LWC851992:LWC851993 MFY851992:MFY851993 MPU851992:MPU851993 MZQ851992:MZQ851993 NJM851992:NJM851993 NTI851992:NTI851993 ODE851992:ODE851993 ONA851992:ONA851993 OWW851992:OWW851993 PGS851992:PGS851993 PQO851992:PQO851993 QAK851992:QAK851993 QKG851992:QKG851993 QUC851992:QUC851993 RDY851992:RDY851993 RNU851992:RNU851993 RXQ851992:RXQ851993 SHM851992:SHM851993 SRI851992:SRI851993 TBE851992:TBE851993 TLA851992:TLA851993 TUW851992:TUW851993 UES851992:UES851993 UOO851992:UOO851993 UYK851992:UYK851993 VIG851992:VIG851993 VSC851992:VSC851993 WBY851992:WBY851993 WLU851992:WLU851993 WVQ851992:WVQ851993 I917528:I917529 JE917528:JE917529 TA917528:TA917529 ACW917528:ACW917529 AMS917528:AMS917529 AWO917528:AWO917529 BGK917528:BGK917529 BQG917528:BQG917529 CAC917528:CAC917529 CJY917528:CJY917529 CTU917528:CTU917529 DDQ917528:DDQ917529 DNM917528:DNM917529 DXI917528:DXI917529 EHE917528:EHE917529 ERA917528:ERA917529 FAW917528:FAW917529 FKS917528:FKS917529 FUO917528:FUO917529 GEK917528:GEK917529 GOG917528:GOG917529 GYC917528:GYC917529 HHY917528:HHY917529 HRU917528:HRU917529 IBQ917528:IBQ917529 ILM917528:ILM917529 IVI917528:IVI917529 JFE917528:JFE917529 JPA917528:JPA917529 JYW917528:JYW917529 KIS917528:KIS917529 KSO917528:KSO917529 LCK917528:LCK917529 LMG917528:LMG917529 LWC917528:LWC917529 MFY917528:MFY917529 MPU917528:MPU917529 MZQ917528:MZQ917529 NJM917528:NJM917529 NTI917528:NTI917529 ODE917528:ODE917529 ONA917528:ONA917529 OWW917528:OWW917529 PGS917528:PGS917529 PQO917528:PQO917529 QAK917528:QAK917529 QKG917528:QKG917529 QUC917528:QUC917529 RDY917528:RDY917529 RNU917528:RNU917529 RXQ917528:RXQ917529 SHM917528:SHM917529 SRI917528:SRI917529 TBE917528:TBE917529 TLA917528:TLA917529 TUW917528:TUW917529 UES917528:UES917529 UOO917528:UOO917529 UYK917528:UYK917529 VIG917528:VIG917529 VSC917528:VSC917529 WBY917528:WBY917529 WLU917528:WLU917529 WVQ917528:WVQ917529 I983064:I983065 JE983064:JE983065 TA983064:TA983065 ACW983064:ACW983065 AMS983064:AMS983065 AWO983064:AWO983065 BGK983064:BGK983065 BQG983064:BQG983065 CAC983064:CAC983065 CJY983064:CJY983065 CTU983064:CTU983065 DDQ983064:DDQ983065 DNM983064:DNM983065 DXI983064:DXI983065 EHE983064:EHE983065 ERA983064:ERA983065 FAW983064:FAW983065 FKS983064:FKS983065 FUO983064:FUO983065 GEK983064:GEK983065 GOG983064:GOG983065 GYC983064:GYC983065 HHY983064:HHY983065 HRU983064:HRU983065 IBQ983064:IBQ983065 ILM983064:ILM983065 IVI983064:IVI983065 JFE983064:JFE983065 JPA983064:JPA983065 JYW983064:JYW983065 KIS983064:KIS983065 KSO983064:KSO983065 LCK983064:LCK983065 LMG983064:LMG983065 LWC983064:LWC983065 MFY983064:MFY983065 MPU983064:MPU983065 MZQ983064:MZQ983065 NJM983064:NJM983065 NTI983064:NTI983065 ODE983064:ODE983065 ONA983064:ONA983065 OWW983064:OWW983065 PGS983064:PGS983065 PQO983064:PQO983065 QAK983064:QAK983065 QKG983064:QKG983065 QUC983064:QUC983065 RDY983064:RDY983065 RNU983064:RNU983065 RXQ983064:RXQ983065 SHM983064:SHM983065 SRI983064:SRI983065 TBE983064:TBE983065 TLA983064:TLA983065 TUW983064:TUW983065 UES983064:UES983065 UOO983064:UOO983065 UYK983064:UYK983065 VIG983064:VIG983065 VSC983064:VSC983065 WBY983064:WBY983065 WLU983064:WLU983065 WVQ983064:WVQ983065 B3:B6 IX3:IX6 ST3:ST6 ACP3:ACP6 AML3:AML6 AWH3:AWH6 BGD3:BGD6 BPZ3:BPZ6 BZV3:BZV6 CJR3:CJR6 CTN3:CTN6 DDJ3:DDJ6 DNF3:DNF6 DXB3:DXB6 EGX3:EGX6 EQT3:EQT6 FAP3:FAP6 FKL3:FKL6 FUH3:FUH6 GED3:GED6 GNZ3:GNZ6 GXV3:GXV6 HHR3:HHR6 HRN3:HRN6 IBJ3:IBJ6 ILF3:ILF6 IVB3:IVB6 JEX3:JEX6 JOT3:JOT6 JYP3:JYP6 KIL3:KIL6 KSH3:KSH6 LCD3:LCD6 LLZ3:LLZ6 LVV3:LVV6 MFR3:MFR6 MPN3:MPN6 MZJ3:MZJ6 NJF3:NJF6 NTB3:NTB6 OCX3:OCX6 OMT3:OMT6 OWP3:OWP6 PGL3:PGL6 PQH3:PQH6 QAD3:QAD6 QJZ3:QJZ6 QTV3:QTV6 RDR3:RDR6 RNN3:RNN6 RXJ3:RXJ6 SHF3:SHF6 SRB3:SRB6 TAX3:TAX6 TKT3:TKT6 TUP3:TUP6 UEL3:UEL6 UOH3:UOH6 UYD3:UYD6 VHZ3:VHZ6 VRV3:VRV6 WBR3:WBR6 WLN3:WLN6 WVJ3:WVJ6 B65558:B65561 IX65558:IX65561 ST65558:ST65561 ACP65558:ACP65561 AML65558:AML65561 AWH65558:AWH65561 BGD65558:BGD65561 BPZ65558:BPZ65561 BZV65558:BZV65561 CJR65558:CJR65561 CTN65558:CTN65561 DDJ65558:DDJ65561 DNF65558:DNF65561 DXB65558:DXB65561 EGX65558:EGX65561 EQT65558:EQT65561 FAP65558:FAP65561 FKL65558:FKL65561 FUH65558:FUH65561 GED65558:GED65561 GNZ65558:GNZ65561 GXV65558:GXV65561 HHR65558:HHR65561 HRN65558:HRN65561 IBJ65558:IBJ65561 ILF65558:ILF65561 IVB65558:IVB65561 JEX65558:JEX65561 JOT65558:JOT65561 JYP65558:JYP65561 KIL65558:KIL65561 KSH65558:KSH65561 LCD65558:LCD65561 LLZ65558:LLZ65561 LVV65558:LVV65561 MFR65558:MFR65561 MPN65558:MPN65561 MZJ65558:MZJ65561 NJF65558:NJF65561 NTB65558:NTB65561 OCX65558:OCX65561 OMT65558:OMT65561 OWP65558:OWP65561 PGL65558:PGL65561 PQH65558:PQH65561 QAD65558:QAD65561 QJZ65558:QJZ65561 QTV65558:QTV65561 RDR65558:RDR65561 RNN65558:RNN65561 RXJ65558:RXJ65561 SHF65558:SHF65561 SRB65558:SRB65561 TAX65558:TAX65561 TKT65558:TKT65561 TUP65558:TUP65561 UEL65558:UEL65561 UOH65558:UOH65561 UYD65558:UYD65561 VHZ65558:VHZ65561 VRV65558:VRV65561 WBR65558:WBR65561 WLN65558:WLN65561 WVJ65558:WVJ65561 B131094:B131097 IX131094:IX131097 ST131094:ST131097 ACP131094:ACP131097 AML131094:AML131097 AWH131094:AWH131097 BGD131094:BGD131097 BPZ131094:BPZ131097 BZV131094:BZV131097 CJR131094:CJR131097 CTN131094:CTN131097 DDJ131094:DDJ131097 DNF131094:DNF131097 DXB131094:DXB131097 EGX131094:EGX131097 EQT131094:EQT131097 FAP131094:FAP131097 FKL131094:FKL131097 FUH131094:FUH131097 GED131094:GED131097 GNZ131094:GNZ131097 GXV131094:GXV131097 HHR131094:HHR131097 HRN131094:HRN131097 IBJ131094:IBJ131097 ILF131094:ILF131097 IVB131094:IVB131097 JEX131094:JEX131097 JOT131094:JOT131097 JYP131094:JYP131097 KIL131094:KIL131097 KSH131094:KSH131097 LCD131094:LCD131097 LLZ131094:LLZ131097 LVV131094:LVV131097 MFR131094:MFR131097 MPN131094:MPN131097 MZJ131094:MZJ131097 NJF131094:NJF131097 NTB131094:NTB131097 OCX131094:OCX131097 OMT131094:OMT131097 OWP131094:OWP131097 PGL131094:PGL131097 PQH131094:PQH131097 QAD131094:QAD131097 QJZ131094:QJZ131097 QTV131094:QTV131097 RDR131094:RDR131097 RNN131094:RNN131097 RXJ131094:RXJ131097 SHF131094:SHF131097 SRB131094:SRB131097 TAX131094:TAX131097 TKT131094:TKT131097 TUP131094:TUP131097 UEL131094:UEL131097 UOH131094:UOH131097 UYD131094:UYD131097 VHZ131094:VHZ131097 VRV131094:VRV131097 WBR131094:WBR131097 WLN131094:WLN131097 WVJ131094:WVJ131097 B196630:B196633 IX196630:IX196633 ST196630:ST196633 ACP196630:ACP196633 AML196630:AML196633 AWH196630:AWH196633 BGD196630:BGD196633 BPZ196630:BPZ196633 BZV196630:BZV196633 CJR196630:CJR196633 CTN196630:CTN196633 DDJ196630:DDJ196633 DNF196630:DNF196633 DXB196630:DXB196633 EGX196630:EGX196633 EQT196630:EQT196633 FAP196630:FAP196633 FKL196630:FKL196633 FUH196630:FUH196633 GED196630:GED196633 GNZ196630:GNZ196633 GXV196630:GXV196633 HHR196630:HHR196633 HRN196630:HRN196633 IBJ196630:IBJ196633 ILF196630:ILF196633 IVB196630:IVB196633 JEX196630:JEX196633 JOT196630:JOT196633 JYP196630:JYP196633 KIL196630:KIL196633 KSH196630:KSH196633 LCD196630:LCD196633 LLZ196630:LLZ196633 LVV196630:LVV196633 MFR196630:MFR196633 MPN196630:MPN196633 MZJ196630:MZJ196633 NJF196630:NJF196633 NTB196630:NTB196633 OCX196630:OCX196633 OMT196630:OMT196633 OWP196630:OWP196633 PGL196630:PGL196633 PQH196630:PQH196633 QAD196630:QAD196633 QJZ196630:QJZ196633 QTV196630:QTV196633 RDR196630:RDR196633 RNN196630:RNN196633 RXJ196630:RXJ196633 SHF196630:SHF196633 SRB196630:SRB196633 TAX196630:TAX196633 TKT196630:TKT196633 TUP196630:TUP196633 UEL196630:UEL196633 UOH196630:UOH196633 UYD196630:UYD196633 VHZ196630:VHZ196633 VRV196630:VRV196633 WBR196630:WBR196633 WLN196630:WLN196633 WVJ196630:WVJ196633 B262166:B262169 IX262166:IX262169 ST262166:ST262169 ACP262166:ACP262169 AML262166:AML262169 AWH262166:AWH262169 BGD262166:BGD262169 BPZ262166:BPZ262169 BZV262166:BZV262169 CJR262166:CJR262169 CTN262166:CTN262169 DDJ262166:DDJ262169 DNF262166:DNF262169 DXB262166:DXB262169 EGX262166:EGX262169 EQT262166:EQT262169 FAP262166:FAP262169 FKL262166:FKL262169 FUH262166:FUH262169 GED262166:GED262169 GNZ262166:GNZ262169 GXV262166:GXV262169 HHR262166:HHR262169 HRN262166:HRN262169 IBJ262166:IBJ262169 ILF262166:ILF262169 IVB262166:IVB262169 JEX262166:JEX262169 JOT262166:JOT262169 JYP262166:JYP262169 KIL262166:KIL262169 KSH262166:KSH262169 LCD262166:LCD262169 LLZ262166:LLZ262169 LVV262166:LVV262169 MFR262166:MFR262169 MPN262166:MPN262169 MZJ262166:MZJ262169 NJF262166:NJF262169 NTB262166:NTB262169 OCX262166:OCX262169 OMT262166:OMT262169 OWP262166:OWP262169 PGL262166:PGL262169 PQH262166:PQH262169 QAD262166:QAD262169 QJZ262166:QJZ262169 QTV262166:QTV262169 RDR262166:RDR262169 RNN262166:RNN262169 RXJ262166:RXJ262169 SHF262166:SHF262169 SRB262166:SRB262169 TAX262166:TAX262169 TKT262166:TKT262169 TUP262166:TUP262169 UEL262166:UEL262169 UOH262166:UOH262169 UYD262166:UYD262169 VHZ262166:VHZ262169 VRV262166:VRV262169 WBR262166:WBR262169 WLN262166:WLN262169 WVJ262166:WVJ262169 B327702:B327705 IX327702:IX327705 ST327702:ST327705 ACP327702:ACP327705 AML327702:AML327705 AWH327702:AWH327705 BGD327702:BGD327705 BPZ327702:BPZ327705 BZV327702:BZV327705 CJR327702:CJR327705 CTN327702:CTN327705 DDJ327702:DDJ327705 DNF327702:DNF327705 DXB327702:DXB327705 EGX327702:EGX327705 EQT327702:EQT327705 FAP327702:FAP327705 FKL327702:FKL327705 FUH327702:FUH327705 GED327702:GED327705 GNZ327702:GNZ327705 GXV327702:GXV327705 HHR327702:HHR327705 HRN327702:HRN327705 IBJ327702:IBJ327705 ILF327702:ILF327705 IVB327702:IVB327705 JEX327702:JEX327705 JOT327702:JOT327705 JYP327702:JYP327705 KIL327702:KIL327705 KSH327702:KSH327705 LCD327702:LCD327705 LLZ327702:LLZ327705 LVV327702:LVV327705 MFR327702:MFR327705 MPN327702:MPN327705 MZJ327702:MZJ327705 NJF327702:NJF327705 NTB327702:NTB327705 OCX327702:OCX327705 OMT327702:OMT327705 OWP327702:OWP327705 PGL327702:PGL327705 PQH327702:PQH327705 QAD327702:QAD327705 QJZ327702:QJZ327705 QTV327702:QTV327705 RDR327702:RDR327705 RNN327702:RNN327705 RXJ327702:RXJ327705 SHF327702:SHF327705 SRB327702:SRB327705 TAX327702:TAX327705 TKT327702:TKT327705 TUP327702:TUP327705 UEL327702:UEL327705 UOH327702:UOH327705 UYD327702:UYD327705 VHZ327702:VHZ327705 VRV327702:VRV327705 WBR327702:WBR327705 WLN327702:WLN327705 WVJ327702:WVJ327705 B393238:B393241 IX393238:IX393241 ST393238:ST393241 ACP393238:ACP393241 AML393238:AML393241 AWH393238:AWH393241 BGD393238:BGD393241 BPZ393238:BPZ393241 BZV393238:BZV393241 CJR393238:CJR393241 CTN393238:CTN393241 DDJ393238:DDJ393241 DNF393238:DNF393241 DXB393238:DXB393241 EGX393238:EGX393241 EQT393238:EQT393241 FAP393238:FAP393241 FKL393238:FKL393241 FUH393238:FUH393241 GED393238:GED393241 GNZ393238:GNZ393241 GXV393238:GXV393241 HHR393238:HHR393241 HRN393238:HRN393241 IBJ393238:IBJ393241 ILF393238:ILF393241 IVB393238:IVB393241 JEX393238:JEX393241 JOT393238:JOT393241 JYP393238:JYP393241 KIL393238:KIL393241 KSH393238:KSH393241 LCD393238:LCD393241 LLZ393238:LLZ393241 LVV393238:LVV393241 MFR393238:MFR393241 MPN393238:MPN393241 MZJ393238:MZJ393241 NJF393238:NJF393241 NTB393238:NTB393241 OCX393238:OCX393241 OMT393238:OMT393241 OWP393238:OWP393241 PGL393238:PGL393241 PQH393238:PQH393241 QAD393238:QAD393241 QJZ393238:QJZ393241 QTV393238:QTV393241 RDR393238:RDR393241 RNN393238:RNN393241 RXJ393238:RXJ393241 SHF393238:SHF393241 SRB393238:SRB393241 TAX393238:TAX393241 TKT393238:TKT393241 TUP393238:TUP393241 UEL393238:UEL393241 UOH393238:UOH393241 UYD393238:UYD393241 VHZ393238:VHZ393241 VRV393238:VRV393241 WBR393238:WBR393241 WLN393238:WLN393241 WVJ393238:WVJ393241 B458774:B458777 IX458774:IX458777 ST458774:ST458777 ACP458774:ACP458777 AML458774:AML458777 AWH458774:AWH458777 BGD458774:BGD458777 BPZ458774:BPZ458777 BZV458774:BZV458777 CJR458774:CJR458777 CTN458774:CTN458777 DDJ458774:DDJ458777 DNF458774:DNF458777 DXB458774:DXB458777 EGX458774:EGX458777 EQT458774:EQT458777 FAP458774:FAP458777 FKL458774:FKL458777 FUH458774:FUH458777 GED458774:GED458777 GNZ458774:GNZ458777 GXV458774:GXV458777 HHR458774:HHR458777 HRN458774:HRN458777 IBJ458774:IBJ458777 ILF458774:ILF458777 IVB458774:IVB458777 JEX458774:JEX458777 JOT458774:JOT458777 JYP458774:JYP458777 KIL458774:KIL458777 KSH458774:KSH458777 LCD458774:LCD458777 LLZ458774:LLZ458777 LVV458774:LVV458777 MFR458774:MFR458777 MPN458774:MPN458777 MZJ458774:MZJ458777 NJF458774:NJF458777 NTB458774:NTB458777 OCX458774:OCX458777 OMT458774:OMT458777 OWP458774:OWP458777 PGL458774:PGL458777 PQH458774:PQH458777 QAD458774:QAD458777 QJZ458774:QJZ458777 QTV458774:QTV458777 RDR458774:RDR458777 RNN458774:RNN458777 RXJ458774:RXJ458777 SHF458774:SHF458777 SRB458774:SRB458777 TAX458774:TAX458777 TKT458774:TKT458777 TUP458774:TUP458777 UEL458774:UEL458777 UOH458774:UOH458777 UYD458774:UYD458777 VHZ458774:VHZ458777 VRV458774:VRV458777 WBR458774:WBR458777 WLN458774:WLN458777 WVJ458774:WVJ458777 B524310:B524313 IX524310:IX524313 ST524310:ST524313 ACP524310:ACP524313 AML524310:AML524313 AWH524310:AWH524313 BGD524310:BGD524313 BPZ524310:BPZ524313 BZV524310:BZV524313 CJR524310:CJR524313 CTN524310:CTN524313 DDJ524310:DDJ524313 DNF524310:DNF524313 DXB524310:DXB524313 EGX524310:EGX524313 EQT524310:EQT524313 FAP524310:FAP524313 FKL524310:FKL524313 FUH524310:FUH524313 GED524310:GED524313 GNZ524310:GNZ524313 GXV524310:GXV524313 HHR524310:HHR524313 HRN524310:HRN524313 IBJ524310:IBJ524313 ILF524310:ILF524313 IVB524310:IVB524313 JEX524310:JEX524313 JOT524310:JOT524313 JYP524310:JYP524313 KIL524310:KIL524313 KSH524310:KSH524313 LCD524310:LCD524313 LLZ524310:LLZ524313 LVV524310:LVV524313 MFR524310:MFR524313 MPN524310:MPN524313 MZJ524310:MZJ524313 NJF524310:NJF524313 NTB524310:NTB524313 OCX524310:OCX524313 OMT524310:OMT524313 OWP524310:OWP524313 PGL524310:PGL524313 PQH524310:PQH524313 QAD524310:QAD524313 QJZ524310:QJZ524313 QTV524310:QTV524313 RDR524310:RDR524313 RNN524310:RNN524313 RXJ524310:RXJ524313 SHF524310:SHF524313 SRB524310:SRB524313 TAX524310:TAX524313 TKT524310:TKT524313 TUP524310:TUP524313 UEL524310:UEL524313 UOH524310:UOH524313 UYD524310:UYD524313 VHZ524310:VHZ524313 VRV524310:VRV524313 WBR524310:WBR524313 WLN524310:WLN524313 WVJ524310:WVJ524313 B589846:B589849 IX589846:IX589849 ST589846:ST589849 ACP589846:ACP589849 AML589846:AML589849 AWH589846:AWH589849 BGD589846:BGD589849 BPZ589846:BPZ589849 BZV589846:BZV589849 CJR589846:CJR589849 CTN589846:CTN589849 DDJ589846:DDJ589849 DNF589846:DNF589849 DXB589846:DXB589849 EGX589846:EGX589849 EQT589846:EQT589849 FAP589846:FAP589849 FKL589846:FKL589849 FUH589846:FUH589849 GED589846:GED589849 GNZ589846:GNZ589849 GXV589846:GXV589849 HHR589846:HHR589849 HRN589846:HRN589849 IBJ589846:IBJ589849 ILF589846:ILF589849 IVB589846:IVB589849 JEX589846:JEX589849 JOT589846:JOT589849 JYP589846:JYP589849 KIL589846:KIL589849 KSH589846:KSH589849 LCD589846:LCD589849 LLZ589846:LLZ589849 LVV589846:LVV589849 MFR589846:MFR589849 MPN589846:MPN589849 MZJ589846:MZJ589849 NJF589846:NJF589849 NTB589846:NTB589849 OCX589846:OCX589849 OMT589846:OMT589849 OWP589846:OWP589849 PGL589846:PGL589849 PQH589846:PQH589849 QAD589846:QAD589849 QJZ589846:QJZ589849 QTV589846:QTV589849 RDR589846:RDR589849 RNN589846:RNN589849 RXJ589846:RXJ589849 SHF589846:SHF589849 SRB589846:SRB589849 TAX589846:TAX589849 TKT589846:TKT589849 TUP589846:TUP589849 UEL589846:UEL589849 UOH589846:UOH589849 UYD589846:UYD589849 VHZ589846:VHZ589849 VRV589846:VRV589849 WBR589846:WBR589849 WLN589846:WLN589849 WVJ589846:WVJ589849 B655382:B655385 IX655382:IX655385 ST655382:ST655385 ACP655382:ACP655385 AML655382:AML655385 AWH655382:AWH655385 BGD655382:BGD655385 BPZ655382:BPZ655385 BZV655382:BZV655385 CJR655382:CJR655385 CTN655382:CTN655385 DDJ655382:DDJ655385 DNF655382:DNF655385 DXB655382:DXB655385 EGX655382:EGX655385 EQT655382:EQT655385 FAP655382:FAP655385 FKL655382:FKL655385 FUH655382:FUH655385 GED655382:GED655385 GNZ655382:GNZ655385 GXV655382:GXV655385 HHR655382:HHR655385 HRN655382:HRN655385 IBJ655382:IBJ655385 ILF655382:ILF655385 IVB655382:IVB655385 JEX655382:JEX655385 JOT655382:JOT655385 JYP655382:JYP655385 KIL655382:KIL655385 KSH655382:KSH655385 LCD655382:LCD655385 LLZ655382:LLZ655385 LVV655382:LVV655385 MFR655382:MFR655385 MPN655382:MPN655385 MZJ655382:MZJ655385 NJF655382:NJF655385 NTB655382:NTB655385 OCX655382:OCX655385 OMT655382:OMT655385 OWP655382:OWP655385 PGL655382:PGL655385 PQH655382:PQH655385 QAD655382:QAD655385 QJZ655382:QJZ655385 QTV655382:QTV655385 RDR655382:RDR655385 RNN655382:RNN655385 RXJ655382:RXJ655385 SHF655382:SHF655385 SRB655382:SRB655385 TAX655382:TAX655385 TKT655382:TKT655385 TUP655382:TUP655385 UEL655382:UEL655385 UOH655382:UOH655385 UYD655382:UYD655385 VHZ655382:VHZ655385 VRV655382:VRV655385 WBR655382:WBR655385 WLN655382:WLN655385 WVJ655382:WVJ655385 B720918:B720921 IX720918:IX720921 ST720918:ST720921 ACP720918:ACP720921 AML720918:AML720921 AWH720918:AWH720921 BGD720918:BGD720921 BPZ720918:BPZ720921 BZV720918:BZV720921 CJR720918:CJR720921 CTN720918:CTN720921 DDJ720918:DDJ720921 DNF720918:DNF720921 DXB720918:DXB720921 EGX720918:EGX720921 EQT720918:EQT720921 FAP720918:FAP720921 FKL720918:FKL720921 FUH720918:FUH720921 GED720918:GED720921 GNZ720918:GNZ720921 GXV720918:GXV720921 HHR720918:HHR720921 HRN720918:HRN720921 IBJ720918:IBJ720921 ILF720918:ILF720921 IVB720918:IVB720921 JEX720918:JEX720921 JOT720918:JOT720921 JYP720918:JYP720921 KIL720918:KIL720921 KSH720918:KSH720921 LCD720918:LCD720921 LLZ720918:LLZ720921 LVV720918:LVV720921 MFR720918:MFR720921 MPN720918:MPN720921 MZJ720918:MZJ720921 NJF720918:NJF720921 NTB720918:NTB720921 OCX720918:OCX720921 OMT720918:OMT720921 OWP720918:OWP720921 PGL720918:PGL720921 PQH720918:PQH720921 QAD720918:QAD720921 QJZ720918:QJZ720921 QTV720918:QTV720921 RDR720918:RDR720921 RNN720918:RNN720921 RXJ720918:RXJ720921 SHF720918:SHF720921 SRB720918:SRB720921 TAX720918:TAX720921 TKT720918:TKT720921 TUP720918:TUP720921 UEL720918:UEL720921 UOH720918:UOH720921 UYD720918:UYD720921 VHZ720918:VHZ720921 VRV720918:VRV720921 WBR720918:WBR720921 WLN720918:WLN720921 WVJ720918:WVJ720921 B786454:B786457 IX786454:IX786457 ST786454:ST786457 ACP786454:ACP786457 AML786454:AML786457 AWH786454:AWH786457 BGD786454:BGD786457 BPZ786454:BPZ786457 BZV786454:BZV786457 CJR786454:CJR786457 CTN786454:CTN786457 DDJ786454:DDJ786457 DNF786454:DNF786457 DXB786454:DXB786457 EGX786454:EGX786457 EQT786454:EQT786457 FAP786454:FAP786457 FKL786454:FKL786457 FUH786454:FUH786457 GED786454:GED786457 GNZ786454:GNZ786457 GXV786454:GXV786457 HHR786454:HHR786457 HRN786454:HRN786457 IBJ786454:IBJ786457 ILF786454:ILF786457 IVB786454:IVB786457 JEX786454:JEX786457 JOT786454:JOT786457 JYP786454:JYP786457 KIL786454:KIL786457 KSH786454:KSH786457 LCD786454:LCD786457 LLZ786454:LLZ786457 LVV786454:LVV786457 MFR786454:MFR786457 MPN786454:MPN786457 MZJ786454:MZJ786457 NJF786454:NJF786457 NTB786454:NTB786457 OCX786454:OCX786457 OMT786454:OMT786457 OWP786454:OWP786457 PGL786454:PGL786457 PQH786454:PQH786457 QAD786454:QAD786457 QJZ786454:QJZ786457 QTV786454:QTV786457 RDR786454:RDR786457 RNN786454:RNN786457 RXJ786454:RXJ786457 SHF786454:SHF786457 SRB786454:SRB786457 TAX786454:TAX786457 TKT786454:TKT786457 TUP786454:TUP786457 UEL786454:UEL786457 UOH786454:UOH786457 UYD786454:UYD786457 VHZ786454:VHZ786457 VRV786454:VRV786457 WBR786454:WBR786457 WLN786454:WLN786457 WVJ786454:WVJ786457 B851990:B851993 IX851990:IX851993 ST851990:ST851993 ACP851990:ACP851993 AML851990:AML851993 AWH851990:AWH851993 BGD851990:BGD851993 BPZ851990:BPZ851993 BZV851990:BZV851993 CJR851990:CJR851993 CTN851990:CTN851993 DDJ851990:DDJ851993 DNF851990:DNF851993 DXB851990:DXB851993 EGX851990:EGX851993 EQT851990:EQT851993 FAP851990:FAP851993 FKL851990:FKL851993 FUH851990:FUH851993 GED851990:GED851993 GNZ851990:GNZ851993 GXV851990:GXV851993 HHR851990:HHR851993 HRN851990:HRN851993 IBJ851990:IBJ851993 ILF851990:ILF851993 IVB851990:IVB851993 JEX851990:JEX851993 JOT851990:JOT851993 JYP851990:JYP851993 KIL851990:KIL851993 KSH851990:KSH851993 LCD851990:LCD851993 LLZ851990:LLZ851993 LVV851990:LVV851993 MFR851990:MFR851993 MPN851990:MPN851993 MZJ851990:MZJ851993 NJF851990:NJF851993 NTB851990:NTB851993 OCX851990:OCX851993 OMT851990:OMT851993 OWP851990:OWP851993 PGL851990:PGL851993 PQH851990:PQH851993 QAD851990:QAD851993 QJZ851990:QJZ851993 QTV851990:QTV851993 RDR851990:RDR851993 RNN851990:RNN851993 RXJ851990:RXJ851993 SHF851990:SHF851993 SRB851990:SRB851993 TAX851990:TAX851993 TKT851990:TKT851993 TUP851990:TUP851993 UEL851990:UEL851993 UOH851990:UOH851993 UYD851990:UYD851993 VHZ851990:VHZ851993 VRV851990:VRV851993 WBR851990:WBR851993 WLN851990:WLN851993 WVJ851990:WVJ851993 B917526:B917529 IX917526:IX917529 ST917526:ST917529 ACP917526:ACP917529 AML917526:AML917529 AWH917526:AWH917529 BGD917526:BGD917529 BPZ917526:BPZ917529 BZV917526:BZV917529 CJR917526:CJR917529 CTN917526:CTN917529 DDJ917526:DDJ917529 DNF917526:DNF917529 DXB917526:DXB917529 EGX917526:EGX917529 EQT917526:EQT917529 FAP917526:FAP917529 FKL917526:FKL917529 FUH917526:FUH917529 GED917526:GED917529 GNZ917526:GNZ917529 GXV917526:GXV917529 HHR917526:HHR917529 HRN917526:HRN917529 IBJ917526:IBJ917529 ILF917526:ILF917529 IVB917526:IVB917529 JEX917526:JEX917529 JOT917526:JOT917529 JYP917526:JYP917529 KIL917526:KIL917529 KSH917526:KSH917529 LCD917526:LCD917529 LLZ917526:LLZ917529 LVV917526:LVV917529 MFR917526:MFR917529 MPN917526:MPN917529 MZJ917526:MZJ917529 NJF917526:NJF917529 NTB917526:NTB917529 OCX917526:OCX917529 OMT917526:OMT917529 OWP917526:OWP917529 PGL917526:PGL917529 PQH917526:PQH917529 QAD917526:QAD917529 QJZ917526:QJZ917529 QTV917526:QTV917529 RDR917526:RDR917529 RNN917526:RNN917529 RXJ917526:RXJ917529 SHF917526:SHF917529 SRB917526:SRB917529 TAX917526:TAX917529 TKT917526:TKT917529 TUP917526:TUP917529 UEL917526:UEL917529 UOH917526:UOH917529 UYD917526:UYD917529 VHZ917526:VHZ917529 VRV917526:VRV917529 WBR917526:WBR917529 WLN917526:WLN917529 WVJ917526:WVJ917529 B983062:B983065 IX983062:IX983065 ST983062:ST983065 ACP983062:ACP983065 AML983062:AML983065 AWH983062:AWH983065 BGD983062:BGD983065 BPZ983062:BPZ983065 BZV983062:BZV983065 CJR983062:CJR983065 CTN983062:CTN983065 DDJ983062:DDJ983065 DNF983062:DNF983065 DXB983062:DXB983065 EGX983062:EGX983065 EQT983062:EQT983065 FAP983062:FAP983065 FKL983062:FKL983065 FUH983062:FUH983065 GED983062:GED983065 GNZ983062:GNZ983065 GXV983062:GXV983065 HHR983062:HHR983065 HRN983062:HRN983065 IBJ983062:IBJ983065 ILF983062:ILF983065 IVB983062:IVB983065 JEX983062:JEX983065 JOT983062:JOT983065 JYP983062:JYP983065 KIL983062:KIL983065 KSH983062:KSH983065 LCD983062:LCD983065 LLZ983062:LLZ983065 LVV983062:LVV983065 MFR983062:MFR983065 MPN983062:MPN983065 MZJ983062:MZJ983065 NJF983062:NJF983065 NTB983062:NTB983065 OCX983062:OCX983065 OMT983062:OMT983065 OWP983062:OWP983065 PGL983062:PGL983065 PQH983062:PQH983065 QAD983062:QAD983065 QJZ983062:QJZ983065 QTV983062:QTV983065 RDR983062:RDR983065 RNN983062:RNN983065 RXJ983062:RXJ983065 SHF983062:SHF983065 SRB983062:SRB983065 TAX983062:TAX983065 TKT983062:TKT983065 TUP983062:TUP983065 UEL983062:UEL983065 UOH983062:UOH983065 UYD983062:UYD983065 VHZ983062:VHZ983065 VRV983062:VRV983065 WBR983062:WBR983065 WLN983062:WLN983065 WVJ983062:WVJ983065 H3:H6 JD3:JD6 SZ3:SZ6 ACV3:ACV6 AMR3:AMR6 AWN3:AWN6 BGJ3:BGJ6 BQF3:BQF6 CAB3:CAB6 CJX3:CJX6 CTT3:CTT6 DDP3:DDP6 DNL3:DNL6 DXH3:DXH6 EHD3:EHD6 EQZ3:EQZ6 FAV3:FAV6 FKR3:FKR6 FUN3:FUN6 GEJ3:GEJ6 GOF3:GOF6 GYB3:GYB6 HHX3:HHX6 HRT3:HRT6 IBP3:IBP6 ILL3:ILL6 IVH3:IVH6 JFD3:JFD6 JOZ3:JOZ6 JYV3:JYV6 KIR3:KIR6 KSN3:KSN6 LCJ3:LCJ6 LMF3:LMF6 LWB3:LWB6 MFX3:MFX6 MPT3:MPT6 MZP3:MZP6 NJL3:NJL6 NTH3:NTH6 ODD3:ODD6 OMZ3:OMZ6 OWV3:OWV6 PGR3:PGR6 PQN3:PQN6 QAJ3:QAJ6 QKF3:QKF6 QUB3:QUB6 RDX3:RDX6 RNT3:RNT6 RXP3:RXP6 SHL3:SHL6 SRH3:SRH6 TBD3:TBD6 TKZ3:TKZ6 TUV3:TUV6 UER3:UER6 UON3:UON6 UYJ3:UYJ6 VIF3:VIF6 VSB3:VSB6 WBX3:WBX6 WLT3:WLT6 WVP3:WVP6 H65558:H65561 JD65558:JD65561 SZ65558:SZ65561 ACV65558:ACV65561 AMR65558:AMR65561 AWN65558:AWN65561 BGJ65558:BGJ65561 BQF65558:BQF65561 CAB65558:CAB65561 CJX65558:CJX65561 CTT65558:CTT65561 DDP65558:DDP65561 DNL65558:DNL65561 DXH65558:DXH65561 EHD65558:EHD65561 EQZ65558:EQZ65561 FAV65558:FAV65561 FKR65558:FKR65561 FUN65558:FUN65561 GEJ65558:GEJ65561 GOF65558:GOF65561 GYB65558:GYB65561 HHX65558:HHX65561 HRT65558:HRT65561 IBP65558:IBP65561 ILL65558:ILL65561 IVH65558:IVH65561 JFD65558:JFD65561 JOZ65558:JOZ65561 JYV65558:JYV65561 KIR65558:KIR65561 KSN65558:KSN65561 LCJ65558:LCJ65561 LMF65558:LMF65561 LWB65558:LWB65561 MFX65558:MFX65561 MPT65558:MPT65561 MZP65558:MZP65561 NJL65558:NJL65561 NTH65558:NTH65561 ODD65558:ODD65561 OMZ65558:OMZ65561 OWV65558:OWV65561 PGR65558:PGR65561 PQN65558:PQN65561 QAJ65558:QAJ65561 QKF65558:QKF65561 QUB65558:QUB65561 RDX65558:RDX65561 RNT65558:RNT65561 RXP65558:RXP65561 SHL65558:SHL65561 SRH65558:SRH65561 TBD65558:TBD65561 TKZ65558:TKZ65561 TUV65558:TUV65561 UER65558:UER65561 UON65558:UON65561 UYJ65558:UYJ65561 VIF65558:VIF65561 VSB65558:VSB65561 WBX65558:WBX65561 WLT65558:WLT65561 WVP65558:WVP65561 H131094:H131097 JD131094:JD131097 SZ131094:SZ131097 ACV131094:ACV131097 AMR131094:AMR131097 AWN131094:AWN131097 BGJ131094:BGJ131097 BQF131094:BQF131097 CAB131094:CAB131097 CJX131094:CJX131097 CTT131094:CTT131097 DDP131094:DDP131097 DNL131094:DNL131097 DXH131094:DXH131097 EHD131094:EHD131097 EQZ131094:EQZ131097 FAV131094:FAV131097 FKR131094:FKR131097 FUN131094:FUN131097 GEJ131094:GEJ131097 GOF131094:GOF131097 GYB131094:GYB131097 HHX131094:HHX131097 HRT131094:HRT131097 IBP131094:IBP131097 ILL131094:ILL131097 IVH131094:IVH131097 JFD131094:JFD131097 JOZ131094:JOZ131097 JYV131094:JYV131097 KIR131094:KIR131097 KSN131094:KSN131097 LCJ131094:LCJ131097 LMF131094:LMF131097 LWB131094:LWB131097 MFX131094:MFX131097 MPT131094:MPT131097 MZP131094:MZP131097 NJL131094:NJL131097 NTH131094:NTH131097 ODD131094:ODD131097 OMZ131094:OMZ131097 OWV131094:OWV131097 PGR131094:PGR131097 PQN131094:PQN131097 QAJ131094:QAJ131097 QKF131094:QKF131097 QUB131094:QUB131097 RDX131094:RDX131097 RNT131094:RNT131097 RXP131094:RXP131097 SHL131094:SHL131097 SRH131094:SRH131097 TBD131094:TBD131097 TKZ131094:TKZ131097 TUV131094:TUV131097 UER131094:UER131097 UON131094:UON131097 UYJ131094:UYJ131097 VIF131094:VIF131097 VSB131094:VSB131097 WBX131094:WBX131097 WLT131094:WLT131097 WVP131094:WVP131097 H196630:H196633 JD196630:JD196633 SZ196630:SZ196633 ACV196630:ACV196633 AMR196630:AMR196633 AWN196630:AWN196633 BGJ196630:BGJ196633 BQF196630:BQF196633 CAB196630:CAB196633 CJX196630:CJX196633 CTT196630:CTT196633 DDP196630:DDP196633 DNL196630:DNL196633 DXH196630:DXH196633 EHD196630:EHD196633 EQZ196630:EQZ196633 FAV196630:FAV196633 FKR196630:FKR196633 FUN196630:FUN196633 GEJ196630:GEJ196633 GOF196630:GOF196633 GYB196630:GYB196633 HHX196630:HHX196633 HRT196630:HRT196633 IBP196630:IBP196633 ILL196630:ILL196633 IVH196630:IVH196633 JFD196630:JFD196633 JOZ196630:JOZ196633 JYV196630:JYV196633 KIR196630:KIR196633 KSN196630:KSN196633 LCJ196630:LCJ196633 LMF196630:LMF196633 LWB196630:LWB196633 MFX196630:MFX196633 MPT196630:MPT196633 MZP196630:MZP196633 NJL196630:NJL196633 NTH196630:NTH196633 ODD196630:ODD196633 OMZ196630:OMZ196633 OWV196630:OWV196633 PGR196630:PGR196633 PQN196630:PQN196633 QAJ196630:QAJ196633 QKF196630:QKF196633 QUB196630:QUB196633 RDX196630:RDX196633 RNT196630:RNT196633 RXP196630:RXP196633 SHL196630:SHL196633 SRH196630:SRH196633 TBD196630:TBD196633 TKZ196630:TKZ196633 TUV196630:TUV196633 UER196630:UER196633 UON196630:UON196633 UYJ196630:UYJ196633 VIF196630:VIF196633 VSB196630:VSB196633 WBX196630:WBX196633 WLT196630:WLT196633 WVP196630:WVP196633 H262166:H262169 JD262166:JD262169 SZ262166:SZ262169 ACV262166:ACV262169 AMR262166:AMR262169 AWN262166:AWN262169 BGJ262166:BGJ262169 BQF262166:BQF262169 CAB262166:CAB262169 CJX262166:CJX262169 CTT262166:CTT262169 DDP262166:DDP262169 DNL262166:DNL262169 DXH262166:DXH262169 EHD262166:EHD262169 EQZ262166:EQZ262169 FAV262166:FAV262169 FKR262166:FKR262169 FUN262166:FUN262169 GEJ262166:GEJ262169 GOF262166:GOF262169 GYB262166:GYB262169 HHX262166:HHX262169 HRT262166:HRT262169 IBP262166:IBP262169 ILL262166:ILL262169 IVH262166:IVH262169 JFD262166:JFD262169 JOZ262166:JOZ262169 JYV262166:JYV262169 KIR262166:KIR262169 KSN262166:KSN262169 LCJ262166:LCJ262169 LMF262166:LMF262169 LWB262166:LWB262169 MFX262166:MFX262169 MPT262166:MPT262169 MZP262166:MZP262169 NJL262166:NJL262169 NTH262166:NTH262169 ODD262166:ODD262169 OMZ262166:OMZ262169 OWV262166:OWV262169 PGR262166:PGR262169 PQN262166:PQN262169 QAJ262166:QAJ262169 QKF262166:QKF262169 QUB262166:QUB262169 RDX262166:RDX262169 RNT262166:RNT262169 RXP262166:RXP262169 SHL262166:SHL262169 SRH262166:SRH262169 TBD262166:TBD262169 TKZ262166:TKZ262169 TUV262166:TUV262169 UER262166:UER262169 UON262166:UON262169 UYJ262166:UYJ262169 VIF262166:VIF262169 VSB262166:VSB262169 WBX262166:WBX262169 WLT262166:WLT262169 WVP262166:WVP262169 H327702:H327705 JD327702:JD327705 SZ327702:SZ327705 ACV327702:ACV327705 AMR327702:AMR327705 AWN327702:AWN327705 BGJ327702:BGJ327705 BQF327702:BQF327705 CAB327702:CAB327705 CJX327702:CJX327705 CTT327702:CTT327705 DDP327702:DDP327705 DNL327702:DNL327705 DXH327702:DXH327705 EHD327702:EHD327705 EQZ327702:EQZ327705 FAV327702:FAV327705 FKR327702:FKR327705 FUN327702:FUN327705 GEJ327702:GEJ327705 GOF327702:GOF327705 GYB327702:GYB327705 HHX327702:HHX327705 HRT327702:HRT327705 IBP327702:IBP327705 ILL327702:ILL327705 IVH327702:IVH327705 JFD327702:JFD327705 JOZ327702:JOZ327705 JYV327702:JYV327705 KIR327702:KIR327705 KSN327702:KSN327705 LCJ327702:LCJ327705 LMF327702:LMF327705 LWB327702:LWB327705 MFX327702:MFX327705 MPT327702:MPT327705 MZP327702:MZP327705 NJL327702:NJL327705 NTH327702:NTH327705 ODD327702:ODD327705 OMZ327702:OMZ327705 OWV327702:OWV327705 PGR327702:PGR327705 PQN327702:PQN327705 QAJ327702:QAJ327705 QKF327702:QKF327705 QUB327702:QUB327705 RDX327702:RDX327705 RNT327702:RNT327705 RXP327702:RXP327705 SHL327702:SHL327705 SRH327702:SRH327705 TBD327702:TBD327705 TKZ327702:TKZ327705 TUV327702:TUV327705 UER327702:UER327705 UON327702:UON327705 UYJ327702:UYJ327705 VIF327702:VIF327705 VSB327702:VSB327705 WBX327702:WBX327705 WLT327702:WLT327705 WVP327702:WVP327705 H393238:H393241 JD393238:JD393241 SZ393238:SZ393241 ACV393238:ACV393241 AMR393238:AMR393241 AWN393238:AWN393241 BGJ393238:BGJ393241 BQF393238:BQF393241 CAB393238:CAB393241 CJX393238:CJX393241 CTT393238:CTT393241 DDP393238:DDP393241 DNL393238:DNL393241 DXH393238:DXH393241 EHD393238:EHD393241 EQZ393238:EQZ393241 FAV393238:FAV393241 FKR393238:FKR393241 FUN393238:FUN393241 GEJ393238:GEJ393241 GOF393238:GOF393241 GYB393238:GYB393241 HHX393238:HHX393241 HRT393238:HRT393241 IBP393238:IBP393241 ILL393238:ILL393241 IVH393238:IVH393241 JFD393238:JFD393241 JOZ393238:JOZ393241 JYV393238:JYV393241 KIR393238:KIR393241 KSN393238:KSN393241 LCJ393238:LCJ393241 LMF393238:LMF393241 LWB393238:LWB393241 MFX393238:MFX393241 MPT393238:MPT393241 MZP393238:MZP393241 NJL393238:NJL393241 NTH393238:NTH393241 ODD393238:ODD393241 OMZ393238:OMZ393241 OWV393238:OWV393241 PGR393238:PGR393241 PQN393238:PQN393241 QAJ393238:QAJ393241 QKF393238:QKF393241 QUB393238:QUB393241 RDX393238:RDX393241 RNT393238:RNT393241 RXP393238:RXP393241 SHL393238:SHL393241 SRH393238:SRH393241 TBD393238:TBD393241 TKZ393238:TKZ393241 TUV393238:TUV393241 UER393238:UER393241 UON393238:UON393241 UYJ393238:UYJ393241 VIF393238:VIF393241 VSB393238:VSB393241 WBX393238:WBX393241 WLT393238:WLT393241 WVP393238:WVP393241 H458774:H458777 JD458774:JD458777 SZ458774:SZ458777 ACV458774:ACV458777 AMR458774:AMR458777 AWN458774:AWN458777 BGJ458774:BGJ458777 BQF458774:BQF458777 CAB458774:CAB458777 CJX458774:CJX458777 CTT458774:CTT458777 DDP458774:DDP458777 DNL458774:DNL458777 DXH458774:DXH458777 EHD458774:EHD458777 EQZ458774:EQZ458777 FAV458774:FAV458777 FKR458774:FKR458777 FUN458774:FUN458777 GEJ458774:GEJ458777 GOF458774:GOF458777 GYB458774:GYB458777 HHX458774:HHX458777 HRT458774:HRT458777 IBP458774:IBP458777 ILL458774:ILL458777 IVH458774:IVH458777 JFD458774:JFD458777 JOZ458774:JOZ458777 JYV458774:JYV458777 KIR458774:KIR458777 KSN458774:KSN458777 LCJ458774:LCJ458777 LMF458774:LMF458777 LWB458774:LWB458777 MFX458774:MFX458777 MPT458774:MPT458777 MZP458774:MZP458777 NJL458774:NJL458777 NTH458774:NTH458777 ODD458774:ODD458777 OMZ458774:OMZ458777 OWV458774:OWV458777 PGR458774:PGR458777 PQN458774:PQN458777 QAJ458774:QAJ458777 QKF458774:QKF458777 QUB458774:QUB458777 RDX458774:RDX458777 RNT458774:RNT458777 RXP458774:RXP458777 SHL458774:SHL458777 SRH458774:SRH458777 TBD458774:TBD458777 TKZ458774:TKZ458777 TUV458774:TUV458777 UER458774:UER458777 UON458774:UON458777 UYJ458774:UYJ458777 VIF458774:VIF458777 VSB458774:VSB458777 WBX458774:WBX458777 WLT458774:WLT458777 WVP458774:WVP458777 H524310:H524313 JD524310:JD524313 SZ524310:SZ524313 ACV524310:ACV524313 AMR524310:AMR524313 AWN524310:AWN524313 BGJ524310:BGJ524313 BQF524310:BQF524313 CAB524310:CAB524313 CJX524310:CJX524313 CTT524310:CTT524313 DDP524310:DDP524313 DNL524310:DNL524313 DXH524310:DXH524313 EHD524310:EHD524313 EQZ524310:EQZ524313 FAV524310:FAV524313 FKR524310:FKR524313 FUN524310:FUN524313 GEJ524310:GEJ524313 GOF524310:GOF524313 GYB524310:GYB524313 HHX524310:HHX524313 HRT524310:HRT524313 IBP524310:IBP524313 ILL524310:ILL524313 IVH524310:IVH524313 JFD524310:JFD524313 JOZ524310:JOZ524313 JYV524310:JYV524313 KIR524310:KIR524313 KSN524310:KSN524313 LCJ524310:LCJ524313 LMF524310:LMF524313 LWB524310:LWB524313 MFX524310:MFX524313 MPT524310:MPT524313 MZP524310:MZP524313 NJL524310:NJL524313 NTH524310:NTH524313 ODD524310:ODD524313 OMZ524310:OMZ524313 OWV524310:OWV524313 PGR524310:PGR524313 PQN524310:PQN524313 QAJ524310:QAJ524313 QKF524310:QKF524313 QUB524310:QUB524313 RDX524310:RDX524313 RNT524310:RNT524313 RXP524310:RXP524313 SHL524310:SHL524313 SRH524310:SRH524313 TBD524310:TBD524313 TKZ524310:TKZ524313 TUV524310:TUV524313 UER524310:UER524313 UON524310:UON524313 UYJ524310:UYJ524313 VIF524310:VIF524313 VSB524310:VSB524313 WBX524310:WBX524313 WLT524310:WLT524313 WVP524310:WVP524313 H589846:H589849 JD589846:JD589849 SZ589846:SZ589849 ACV589846:ACV589849 AMR589846:AMR589849 AWN589846:AWN589849 BGJ589846:BGJ589849 BQF589846:BQF589849 CAB589846:CAB589849 CJX589846:CJX589849 CTT589846:CTT589849 DDP589846:DDP589849 DNL589846:DNL589849 DXH589846:DXH589849 EHD589846:EHD589849 EQZ589846:EQZ589849 FAV589846:FAV589849 FKR589846:FKR589849 FUN589846:FUN589849 GEJ589846:GEJ589849 GOF589846:GOF589849 GYB589846:GYB589849 HHX589846:HHX589849 HRT589846:HRT589849 IBP589846:IBP589849 ILL589846:ILL589849 IVH589846:IVH589849 JFD589846:JFD589849 JOZ589846:JOZ589849 JYV589846:JYV589849 KIR589846:KIR589849 KSN589846:KSN589849 LCJ589846:LCJ589849 LMF589846:LMF589849 LWB589846:LWB589849 MFX589846:MFX589849 MPT589846:MPT589849 MZP589846:MZP589849 NJL589846:NJL589849 NTH589846:NTH589849 ODD589846:ODD589849 OMZ589846:OMZ589849 OWV589846:OWV589849 PGR589846:PGR589849 PQN589846:PQN589849 QAJ589846:QAJ589849 QKF589846:QKF589849 QUB589846:QUB589849 RDX589846:RDX589849 RNT589846:RNT589849 RXP589846:RXP589849 SHL589846:SHL589849 SRH589846:SRH589849 TBD589846:TBD589849 TKZ589846:TKZ589849 TUV589846:TUV589849 UER589846:UER589849 UON589846:UON589849 UYJ589846:UYJ589849 VIF589846:VIF589849 VSB589846:VSB589849 WBX589846:WBX589849 WLT589846:WLT589849 WVP589846:WVP589849 H655382:H655385 JD655382:JD655385 SZ655382:SZ655385 ACV655382:ACV655385 AMR655382:AMR655385 AWN655382:AWN655385 BGJ655382:BGJ655385 BQF655382:BQF655385 CAB655382:CAB655385 CJX655382:CJX655385 CTT655382:CTT655385 DDP655382:DDP655385 DNL655382:DNL655385 DXH655382:DXH655385 EHD655382:EHD655385 EQZ655382:EQZ655385 FAV655382:FAV655385 FKR655382:FKR655385 FUN655382:FUN655385 GEJ655382:GEJ655385 GOF655382:GOF655385 GYB655382:GYB655385 HHX655382:HHX655385 HRT655382:HRT655385 IBP655382:IBP655385 ILL655382:ILL655385 IVH655382:IVH655385 JFD655382:JFD655385 JOZ655382:JOZ655385 JYV655382:JYV655385 KIR655382:KIR655385 KSN655382:KSN655385 LCJ655382:LCJ655385 LMF655382:LMF655385 LWB655382:LWB655385 MFX655382:MFX655385 MPT655382:MPT655385 MZP655382:MZP655385 NJL655382:NJL655385 NTH655382:NTH655385 ODD655382:ODD655385 OMZ655382:OMZ655385 OWV655382:OWV655385 PGR655382:PGR655385 PQN655382:PQN655385 QAJ655382:QAJ655385 QKF655382:QKF655385 QUB655382:QUB655385 RDX655382:RDX655385 RNT655382:RNT655385 RXP655382:RXP655385 SHL655382:SHL655385 SRH655382:SRH655385 TBD655382:TBD655385 TKZ655382:TKZ655385 TUV655382:TUV655385 UER655382:UER655385 UON655382:UON655385 UYJ655382:UYJ655385 VIF655382:VIF655385 VSB655382:VSB655385 WBX655382:WBX655385 WLT655382:WLT655385 WVP655382:WVP655385 H720918:H720921 JD720918:JD720921 SZ720918:SZ720921 ACV720918:ACV720921 AMR720918:AMR720921 AWN720918:AWN720921 BGJ720918:BGJ720921 BQF720918:BQF720921 CAB720918:CAB720921 CJX720918:CJX720921 CTT720918:CTT720921 DDP720918:DDP720921 DNL720918:DNL720921 DXH720918:DXH720921 EHD720918:EHD720921 EQZ720918:EQZ720921 FAV720918:FAV720921 FKR720918:FKR720921 FUN720918:FUN720921 GEJ720918:GEJ720921 GOF720918:GOF720921 GYB720918:GYB720921 HHX720918:HHX720921 HRT720918:HRT720921 IBP720918:IBP720921 ILL720918:ILL720921 IVH720918:IVH720921 JFD720918:JFD720921 JOZ720918:JOZ720921 JYV720918:JYV720921 KIR720918:KIR720921 KSN720918:KSN720921 LCJ720918:LCJ720921 LMF720918:LMF720921 LWB720918:LWB720921 MFX720918:MFX720921 MPT720918:MPT720921 MZP720918:MZP720921 NJL720918:NJL720921 NTH720918:NTH720921 ODD720918:ODD720921 OMZ720918:OMZ720921 OWV720918:OWV720921 PGR720918:PGR720921 PQN720918:PQN720921 QAJ720918:QAJ720921 QKF720918:QKF720921 QUB720918:QUB720921 RDX720918:RDX720921 RNT720918:RNT720921 RXP720918:RXP720921 SHL720918:SHL720921 SRH720918:SRH720921 TBD720918:TBD720921 TKZ720918:TKZ720921 TUV720918:TUV720921 UER720918:UER720921 UON720918:UON720921 UYJ720918:UYJ720921 VIF720918:VIF720921 VSB720918:VSB720921 WBX720918:WBX720921 WLT720918:WLT720921 WVP720918:WVP720921 H786454:H786457 JD786454:JD786457 SZ786454:SZ786457 ACV786454:ACV786457 AMR786454:AMR786457 AWN786454:AWN786457 BGJ786454:BGJ786457 BQF786454:BQF786457 CAB786454:CAB786457 CJX786454:CJX786457 CTT786454:CTT786457 DDP786454:DDP786457 DNL786454:DNL786457 DXH786454:DXH786457 EHD786454:EHD786457 EQZ786454:EQZ786457 FAV786454:FAV786457 FKR786454:FKR786457 FUN786454:FUN786457 GEJ786454:GEJ786457 GOF786454:GOF786457 GYB786454:GYB786457 HHX786454:HHX786457 HRT786454:HRT786457 IBP786454:IBP786457 ILL786454:ILL786457 IVH786454:IVH786457 JFD786454:JFD786457 JOZ786454:JOZ786457 JYV786454:JYV786457 KIR786454:KIR786457 KSN786454:KSN786457 LCJ786454:LCJ786457 LMF786454:LMF786457 LWB786454:LWB786457 MFX786454:MFX786457 MPT786454:MPT786457 MZP786454:MZP786457 NJL786454:NJL786457 NTH786454:NTH786457 ODD786454:ODD786457 OMZ786454:OMZ786457 OWV786454:OWV786457 PGR786454:PGR786457 PQN786454:PQN786457 QAJ786454:QAJ786457 QKF786454:QKF786457 QUB786454:QUB786457 RDX786454:RDX786457 RNT786454:RNT786457 RXP786454:RXP786457 SHL786454:SHL786457 SRH786454:SRH786457 TBD786454:TBD786457 TKZ786454:TKZ786457 TUV786454:TUV786457 UER786454:UER786457 UON786454:UON786457 UYJ786454:UYJ786457 VIF786454:VIF786457 VSB786454:VSB786457 WBX786454:WBX786457 WLT786454:WLT786457 WVP786454:WVP786457 H851990:H851993 JD851990:JD851993 SZ851990:SZ851993 ACV851990:ACV851993 AMR851990:AMR851993 AWN851990:AWN851993 BGJ851990:BGJ851993 BQF851990:BQF851993 CAB851990:CAB851993 CJX851990:CJX851993 CTT851990:CTT851993 DDP851990:DDP851993 DNL851990:DNL851993 DXH851990:DXH851993 EHD851990:EHD851993 EQZ851990:EQZ851993 FAV851990:FAV851993 FKR851990:FKR851993 FUN851990:FUN851993 GEJ851990:GEJ851993 GOF851990:GOF851993 GYB851990:GYB851993 HHX851990:HHX851993 HRT851990:HRT851993 IBP851990:IBP851993 ILL851990:ILL851993 IVH851990:IVH851993 JFD851990:JFD851993 JOZ851990:JOZ851993 JYV851990:JYV851993 KIR851990:KIR851993 KSN851990:KSN851993 LCJ851990:LCJ851993 LMF851990:LMF851993 LWB851990:LWB851993 MFX851990:MFX851993 MPT851990:MPT851993 MZP851990:MZP851993 NJL851990:NJL851993 NTH851990:NTH851993 ODD851990:ODD851993 OMZ851990:OMZ851993 OWV851990:OWV851993 PGR851990:PGR851993 PQN851990:PQN851993 QAJ851990:QAJ851993 QKF851990:QKF851993 QUB851990:QUB851993 RDX851990:RDX851993 RNT851990:RNT851993 RXP851990:RXP851993 SHL851990:SHL851993 SRH851990:SRH851993 TBD851990:TBD851993 TKZ851990:TKZ851993 TUV851990:TUV851993 UER851990:UER851993 UON851990:UON851993 UYJ851990:UYJ851993 VIF851990:VIF851993 VSB851990:VSB851993 WBX851990:WBX851993 WLT851990:WLT851993 WVP851990:WVP851993 H917526:H917529 JD917526:JD917529 SZ917526:SZ917529 ACV917526:ACV917529 AMR917526:AMR917529 AWN917526:AWN917529 BGJ917526:BGJ917529 BQF917526:BQF917529 CAB917526:CAB917529 CJX917526:CJX917529 CTT917526:CTT917529 DDP917526:DDP917529 DNL917526:DNL917529 DXH917526:DXH917529 EHD917526:EHD917529 EQZ917526:EQZ917529 FAV917526:FAV917529 FKR917526:FKR917529 FUN917526:FUN917529 GEJ917526:GEJ917529 GOF917526:GOF917529 GYB917526:GYB917529 HHX917526:HHX917529 HRT917526:HRT917529 IBP917526:IBP917529 ILL917526:ILL917529 IVH917526:IVH917529 JFD917526:JFD917529 JOZ917526:JOZ917529 JYV917526:JYV917529 KIR917526:KIR917529 KSN917526:KSN917529 LCJ917526:LCJ917529 LMF917526:LMF917529 LWB917526:LWB917529 MFX917526:MFX917529 MPT917526:MPT917529 MZP917526:MZP917529 NJL917526:NJL917529 NTH917526:NTH917529 ODD917526:ODD917529 OMZ917526:OMZ917529 OWV917526:OWV917529 PGR917526:PGR917529 PQN917526:PQN917529 QAJ917526:QAJ917529 QKF917526:QKF917529 QUB917526:QUB917529 RDX917526:RDX917529 RNT917526:RNT917529 RXP917526:RXP917529 SHL917526:SHL917529 SRH917526:SRH917529 TBD917526:TBD917529 TKZ917526:TKZ917529 TUV917526:TUV917529 UER917526:UER917529 UON917526:UON917529 UYJ917526:UYJ917529 VIF917526:VIF917529 VSB917526:VSB917529 WBX917526:WBX917529 WLT917526:WLT917529 WVP917526:WVP917529 H983062:H983065 JD983062:JD983065 SZ983062:SZ983065 ACV983062:ACV983065 AMR983062:AMR983065 AWN983062:AWN983065 BGJ983062:BGJ983065 BQF983062:BQF983065 CAB983062:CAB983065 CJX983062:CJX983065 CTT983062:CTT983065 DDP983062:DDP983065 DNL983062:DNL983065 DXH983062:DXH983065 EHD983062:EHD983065 EQZ983062:EQZ983065 FAV983062:FAV983065 FKR983062:FKR983065 FUN983062:FUN983065 GEJ983062:GEJ983065 GOF983062:GOF983065 GYB983062:GYB983065 HHX983062:HHX983065 HRT983062:HRT983065 IBP983062:IBP983065 ILL983062:ILL983065 IVH983062:IVH983065 JFD983062:JFD983065 JOZ983062:JOZ983065 JYV983062:JYV983065 KIR983062:KIR983065 KSN983062:KSN983065 LCJ983062:LCJ983065 LMF983062:LMF983065 LWB983062:LWB983065 MFX983062:MFX983065 MPT983062:MPT983065 MZP983062:MZP983065 NJL983062:NJL983065 NTH983062:NTH983065 ODD983062:ODD983065 OMZ983062:OMZ983065 OWV983062:OWV983065 PGR983062:PGR983065 PQN983062:PQN983065 QAJ983062:QAJ983065 QKF983062:QKF983065 QUB983062:QUB983065 RDX983062:RDX983065 RNT983062:RNT983065 RXP983062:RXP983065 SHL983062:SHL983065 SRH983062:SRH983065 TBD983062:TBD983065 TKZ983062:TKZ983065 TUV983062:TUV983065 UER983062:UER983065 UON983062:UON983065 UYJ983062:UYJ983065 VIF983062:VIF983065 VSB983062:VSB983065 WBX983062:WBX983065 WLT983062:WLT983065 WVP983062:WVP983065 WLU983062 JB3:JC3 SX3:SY3 ACT3:ACU3 AMP3:AMQ3 AWL3:AWM3 BGH3:BGI3 BQD3:BQE3 BZZ3:CAA3 CJV3:CJW3 CTR3:CTS3 DDN3:DDO3 DNJ3:DNK3 DXF3:DXG3 EHB3:EHC3 EQX3:EQY3 FAT3:FAU3 FKP3:FKQ3 FUL3:FUM3 GEH3:GEI3 GOD3:GOE3 GXZ3:GYA3 HHV3:HHW3 HRR3:HRS3 IBN3:IBO3 ILJ3:ILK3 IVF3:IVG3 JFB3:JFC3 JOX3:JOY3 JYT3:JYU3 KIP3:KIQ3 KSL3:KSM3 LCH3:LCI3 LMD3:LME3 LVZ3:LWA3 MFV3:MFW3 MPR3:MPS3 MZN3:MZO3 NJJ3:NJK3 NTF3:NTG3 ODB3:ODC3 OMX3:OMY3 OWT3:OWU3 PGP3:PGQ3 PQL3:PQM3 QAH3:QAI3 QKD3:QKE3 QTZ3:QUA3 RDV3:RDW3 RNR3:RNS3 RXN3:RXO3 SHJ3:SHK3 SRF3:SRG3 TBB3:TBC3 TKX3:TKY3 TUT3:TUU3 UEP3:UEQ3 UOL3:UOM3 UYH3:UYI3 VID3:VIE3 VRZ3:VSA3 WBV3:WBW3 WLR3:WLS3 WVN3:WVO3 F65558:G65558 JB65558:JC65558 SX65558:SY65558 ACT65558:ACU65558 AMP65558:AMQ65558 AWL65558:AWM65558 BGH65558:BGI65558 BQD65558:BQE65558 BZZ65558:CAA65558 CJV65558:CJW65558 CTR65558:CTS65558 DDN65558:DDO65558 DNJ65558:DNK65558 DXF65558:DXG65558 EHB65558:EHC65558 EQX65558:EQY65558 FAT65558:FAU65558 FKP65558:FKQ65558 FUL65558:FUM65558 GEH65558:GEI65558 GOD65558:GOE65558 GXZ65558:GYA65558 HHV65558:HHW65558 HRR65558:HRS65558 IBN65558:IBO65558 ILJ65558:ILK65558 IVF65558:IVG65558 JFB65558:JFC65558 JOX65558:JOY65558 JYT65558:JYU65558 KIP65558:KIQ65558 KSL65558:KSM65558 LCH65558:LCI65558 LMD65558:LME65558 LVZ65558:LWA65558 MFV65558:MFW65558 MPR65558:MPS65558 MZN65558:MZO65558 NJJ65558:NJK65558 NTF65558:NTG65558 ODB65558:ODC65558 OMX65558:OMY65558 OWT65558:OWU65558 PGP65558:PGQ65558 PQL65558:PQM65558 QAH65558:QAI65558 QKD65558:QKE65558 QTZ65558:QUA65558 RDV65558:RDW65558 RNR65558:RNS65558 RXN65558:RXO65558 SHJ65558:SHK65558 SRF65558:SRG65558 TBB65558:TBC65558 TKX65558:TKY65558 TUT65558:TUU65558 UEP65558:UEQ65558 UOL65558:UOM65558 UYH65558:UYI65558 VID65558:VIE65558 VRZ65558:VSA65558 WBV65558:WBW65558 WLR65558:WLS65558 WVN65558:WVO65558 F131094:G131094 JB131094:JC131094 SX131094:SY131094 ACT131094:ACU131094 AMP131094:AMQ131094 AWL131094:AWM131094 BGH131094:BGI131094 BQD131094:BQE131094 BZZ131094:CAA131094 CJV131094:CJW131094 CTR131094:CTS131094 DDN131094:DDO131094 DNJ131094:DNK131094 DXF131094:DXG131094 EHB131094:EHC131094 EQX131094:EQY131094 FAT131094:FAU131094 FKP131094:FKQ131094 FUL131094:FUM131094 GEH131094:GEI131094 GOD131094:GOE131094 GXZ131094:GYA131094 HHV131094:HHW131094 HRR131094:HRS131094 IBN131094:IBO131094 ILJ131094:ILK131094 IVF131094:IVG131094 JFB131094:JFC131094 JOX131094:JOY131094 JYT131094:JYU131094 KIP131094:KIQ131094 KSL131094:KSM131094 LCH131094:LCI131094 LMD131094:LME131094 LVZ131094:LWA131094 MFV131094:MFW131094 MPR131094:MPS131094 MZN131094:MZO131094 NJJ131094:NJK131094 NTF131094:NTG131094 ODB131094:ODC131094 OMX131094:OMY131094 OWT131094:OWU131094 PGP131094:PGQ131094 PQL131094:PQM131094 QAH131094:QAI131094 QKD131094:QKE131094 QTZ131094:QUA131094 RDV131094:RDW131094 RNR131094:RNS131094 RXN131094:RXO131094 SHJ131094:SHK131094 SRF131094:SRG131094 TBB131094:TBC131094 TKX131094:TKY131094 TUT131094:TUU131094 UEP131094:UEQ131094 UOL131094:UOM131094 UYH131094:UYI131094 VID131094:VIE131094 VRZ131094:VSA131094 WBV131094:WBW131094 WLR131094:WLS131094 WVN131094:WVO131094 F196630:G196630 JB196630:JC196630 SX196630:SY196630 ACT196630:ACU196630 AMP196630:AMQ196630 AWL196630:AWM196630 BGH196630:BGI196630 BQD196630:BQE196630 BZZ196630:CAA196630 CJV196630:CJW196630 CTR196630:CTS196630 DDN196630:DDO196630 DNJ196630:DNK196630 DXF196630:DXG196630 EHB196630:EHC196630 EQX196630:EQY196630 FAT196630:FAU196630 FKP196630:FKQ196630 FUL196630:FUM196630 GEH196630:GEI196630 GOD196630:GOE196630 GXZ196630:GYA196630 HHV196630:HHW196630 HRR196630:HRS196630 IBN196630:IBO196630 ILJ196630:ILK196630 IVF196630:IVG196630 JFB196630:JFC196630 JOX196630:JOY196630 JYT196630:JYU196630 KIP196630:KIQ196630 KSL196630:KSM196630 LCH196630:LCI196630 LMD196630:LME196630 LVZ196630:LWA196630 MFV196630:MFW196630 MPR196630:MPS196630 MZN196630:MZO196630 NJJ196630:NJK196630 NTF196630:NTG196630 ODB196630:ODC196630 OMX196630:OMY196630 OWT196630:OWU196630 PGP196630:PGQ196630 PQL196630:PQM196630 QAH196630:QAI196630 QKD196630:QKE196630 QTZ196630:QUA196630 RDV196630:RDW196630 RNR196630:RNS196630 RXN196630:RXO196630 SHJ196630:SHK196630 SRF196630:SRG196630 TBB196630:TBC196630 TKX196630:TKY196630 TUT196630:TUU196630 UEP196630:UEQ196630 UOL196630:UOM196630 UYH196630:UYI196630 VID196630:VIE196630 VRZ196630:VSA196630 WBV196630:WBW196630 WLR196630:WLS196630 WVN196630:WVO196630 F262166:G262166 JB262166:JC262166 SX262166:SY262166 ACT262166:ACU262166 AMP262166:AMQ262166 AWL262166:AWM262166 BGH262166:BGI262166 BQD262166:BQE262166 BZZ262166:CAA262166 CJV262166:CJW262166 CTR262166:CTS262166 DDN262166:DDO262166 DNJ262166:DNK262166 DXF262166:DXG262166 EHB262166:EHC262166 EQX262166:EQY262166 FAT262166:FAU262166 FKP262166:FKQ262166 FUL262166:FUM262166 GEH262166:GEI262166 GOD262166:GOE262166 GXZ262166:GYA262166 HHV262166:HHW262166 HRR262166:HRS262166 IBN262166:IBO262166 ILJ262166:ILK262166 IVF262166:IVG262166 JFB262166:JFC262166 JOX262166:JOY262166 JYT262166:JYU262166 KIP262166:KIQ262166 KSL262166:KSM262166 LCH262166:LCI262166 LMD262166:LME262166 LVZ262166:LWA262166 MFV262166:MFW262166 MPR262166:MPS262166 MZN262166:MZO262166 NJJ262166:NJK262166 NTF262166:NTG262166 ODB262166:ODC262166 OMX262166:OMY262166 OWT262166:OWU262166 PGP262166:PGQ262166 PQL262166:PQM262166 QAH262166:QAI262166 QKD262166:QKE262166 QTZ262166:QUA262166 RDV262166:RDW262166 RNR262166:RNS262166 RXN262166:RXO262166 SHJ262166:SHK262166 SRF262166:SRG262166 TBB262166:TBC262166 TKX262166:TKY262166 TUT262166:TUU262166 UEP262166:UEQ262166 UOL262166:UOM262166 UYH262166:UYI262166 VID262166:VIE262166 VRZ262166:VSA262166 WBV262166:WBW262166 WLR262166:WLS262166 WVN262166:WVO262166 F327702:G327702 JB327702:JC327702 SX327702:SY327702 ACT327702:ACU327702 AMP327702:AMQ327702 AWL327702:AWM327702 BGH327702:BGI327702 BQD327702:BQE327702 BZZ327702:CAA327702 CJV327702:CJW327702 CTR327702:CTS327702 DDN327702:DDO327702 DNJ327702:DNK327702 DXF327702:DXG327702 EHB327702:EHC327702 EQX327702:EQY327702 FAT327702:FAU327702 FKP327702:FKQ327702 FUL327702:FUM327702 GEH327702:GEI327702 GOD327702:GOE327702 GXZ327702:GYA327702 HHV327702:HHW327702 HRR327702:HRS327702 IBN327702:IBO327702 ILJ327702:ILK327702 IVF327702:IVG327702 JFB327702:JFC327702 JOX327702:JOY327702 JYT327702:JYU327702 KIP327702:KIQ327702 KSL327702:KSM327702 LCH327702:LCI327702 LMD327702:LME327702 LVZ327702:LWA327702 MFV327702:MFW327702 MPR327702:MPS327702 MZN327702:MZO327702 NJJ327702:NJK327702 NTF327702:NTG327702 ODB327702:ODC327702 OMX327702:OMY327702 OWT327702:OWU327702 PGP327702:PGQ327702 PQL327702:PQM327702 QAH327702:QAI327702 QKD327702:QKE327702 QTZ327702:QUA327702 RDV327702:RDW327702 RNR327702:RNS327702 RXN327702:RXO327702 SHJ327702:SHK327702 SRF327702:SRG327702 TBB327702:TBC327702 TKX327702:TKY327702 TUT327702:TUU327702 UEP327702:UEQ327702 UOL327702:UOM327702 UYH327702:UYI327702 VID327702:VIE327702 VRZ327702:VSA327702 WBV327702:WBW327702 WLR327702:WLS327702 WVN327702:WVO327702 F393238:G393238 JB393238:JC393238 SX393238:SY393238 ACT393238:ACU393238 AMP393238:AMQ393238 AWL393238:AWM393238 BGH393238:BGI393238 BQD393238:BQE393238 BZZ393238:CAA393238 CJV393238:CJW393238 CTR393238:CTS393238 DDN393238:DDO393238 DNJ393238:DNK393238 DXF393238:DXG393238 EHB393238:EHC393238 EQX393238:EQY393238 FAT393238:FAU393238 FKP393238:FKQ393238 FUL393238:FUM393238 GEH393238:GEI393238 GOD393238:GOE393238 GXZ393238:GYA393238 HHV393238:HHW393238 HRR393238:HRS393238 IBN393238:IBO393238 ILJ393238:ILK393238 IVF393238:IVG393238 JFB393238:JFC393238 JOX393238:JOY393238 JYT393238:JYU393238 KIP393238:KIQ393238 KSL393238:KSM393238 LCH393238:LCI393238 LMD393238:LME393238 LVZ393238:LWA393238 MFV393238:MFW393238 MPR393238:MPS393238 MZN393238:MZO393238 NJJ393238:NJK393238 NTF393238:NTG393238 ODB393238:ODC393238 OMX393238:OMY393238 OWT393238:OWU393238 PGP393238:PGQ393238 PQL393238:PQM393238 QAH393238:QAI393238 QKD393238:QKE393238 QTZ393238:QUA393238 RDV393238:RDW393238 RNR393238:RNS393238 RXN393238:RXO393238 SHJ393238:SHK393238 SRF393238:SRG393238 TBB393238:TBC393238 TKX393238:TKY393238 TUT393238:TUU393238 UEP393238:UEQ393238 UOL393238:UOM393238 UYH393238:UYI393238 VID393238:VIE393238 VRZ393238:VSA393238 WBV393238:WBW393238 WLR393238:WLS393238 WVN393238:WVO393238 F458774:G458774 JB458774:JC458774 SX458774:SY458774 ACT458774:ACU458774 AMP458774:AMQ458774 AWL458774:AWM458774 BGH458774:BGI458774 BQD458774:BQE458774 BZZ458774:CAA458774 CJV458774:CJW458774 CTR458774:CTS458774 DDN458774:DDO458774 DNJ458774:DNK458774 DXF458774:DXG458774 EHB458774:EHC458774 EQX458774:EQY458774 FAT458774:FAU458774 FKP458774:FKQ458774 FUL458774:FUM458774 GEH458774:GEI458774 GOD458774:GOE458774 GXZ458774:GYA458774 HHV458774:HHW458774 HRR458774:HRS458774 IBN458774:IBO458774 ILJ458774:ILK458774 IVF458774:IVG458774 JFB458774:JFC458774 JOX458774:JOY458774 JYT458774:JYU458774 KIP458774:KIQ458774 KSL458774:KSM458774 LCH458774:LCI458774 LMD458774:LME458774 LVZ458774:LWA458774 MFV458774:MFW458774 MPR458774:MPS458774 MZN458774:MZO458774 NJJ458774:NJK458774 NTF458774:NTG458774 ODB458774:ODC458774 OMX458774:OMY458774 OWT458774:OWU458774 PGP458774:PGQ458774 PQL458774:PQM458774 QAH458774:QAI458774 QKD458774:QKE458774 QTZ458774:QUA458774 RDV458774:RDW458774 RNR458774:RNS458774 RXN458774:RXO458774 SHJ458774:SHK458774 SRF458774:SRG458774 TBB458774:TBC458774 TKX458774:TKY458774 TUT458774:TUU458774 UEP458774:UEQ458774 UOL458774:UOM458774 UYH458774:UYI458774 VID458774:VIE458774 VRZ458774:VSA458774 WBV458774:WBW458774 WLR458774:WLS458774 WVN458774:WVO458774 F524310:G524310 JB524310:JC524310 SX524310:SY524310 ACT524310:ACU524310 AMP524310:AMQ524310 AWL524310:AWM524310 BGH524310:BGI524310 BQD524310:BQE524310 BZZ524310:CAA524310 CJV524310:CJW524310 CTR524310:CTS524310 DDN524310:DDO524310 DNJ524310:DNK524310 DXF524310:DXG524310 EHB524310:EHC524310 EQX524310:EQY524310 FAT524310:FAU524310 FKP524310:FKQ524310 FUL524310:FUM524310 GEH524310:GEI524310 GOD524310:GOE524310 GXZ524310:GYA524310 HHV524310:HHW524310 HRR524310:HRS524310 IBN524310:IBO524310 ILJ524310:ILK524310 IVF524310:IVG524310 JFB524310:JFC524310 JOX524310:JOY524310 JYT524310:JYU524310 KIP524310:KIQ524310 KSL524310:KSM524310 LCH524310:LCI524310 LMD524310:LME524310 LVZ524310:LWA524310 MFV524310:MFW524310 MPR524310:MPS524310 MZN524310:MZO524310 NJJ524310:NJK524310 NTF524310:NTG524310 ODB524310:ODC524310 OMX524310:OMY524310 OWT524310:OWU524310 PGP524310:PGQ524310 PQL524310:PQM524310 QAH524310:QAI524310 QKD524310:QKE524310 QTZ524310:QUA524310 RDV524310:RDW524310 RNR524310:RNS524310 RXN524310:RXO524310 SHJ524310:SHK524310 SRF524310:SRG524310 TBB524310:TBC524310 TKX524310:TKY524310 TUT524310:TUU524310 UEP524310:UEQ524310 UOL524310:UOM524310 UYH524310:UYI524310 VID524310:VIE524310 VRZ524310:VSA524310 WBV524310:WBW524310 WLR524310:WLS524310 WVN524310:WVO524310 F589846:G589846 JB589846:JC589846 SX589846:SY589846 ACT589846:ACU589846 AMP589846:AMQ589846 AWL589846:AWM589846 BGH589846:BGI589846 BQD589846:BQE589846 BZZ589846:CAA589846 CJV589846:CJW589846 CTR589846:CTS589846 DDN589846:DDO589846 DNJ589846:DNK589846 DXF589846:DXG589846 EHB589846:EHC589846 EQX589846:EQY589846 FAT589846:FAU589846 FKP589846:FKQ589846 FUL589846:FUM589846 GEH589846:GEI589846 GOD589846:GOE589846 GXZ589846:GYA589846 HHV589846:HHW589846 HRR589846:HRS589846 IBN589846:IBO589846 ILJ589846:ILK589846 IVF589846:IVG589846 JFB589846:JFC589846 JOX589846:JOY589846 JYT589846:JYU589846 KIP589846:KIQ589846 KSL589846:KSM589846 LCH589846:LCI589846 LMD589846:LME589846 LVZ589846:LWA589846 MFV589846:MFW589846 MPR589846:MPS589846 MZN589846:MZO589846 NJJ589846:NJK589846 NTF589846:NTG589846 ODB589846:ODC589846 OMX589846:OMY589846 OWT589846:OWU589846 PGP589846:PGQ589846 PQL589846:PQM589846 QAH589846:QAI589846 QKD589846:QKE589846 QTZ589846:QUA589846 RDV589846:RDW589846 RNR589846:RNS589846 RXN589846:RXO589846 SHJ589846:SHK589846 SRF589846:SRG589846 TBB589846:TBC589846 TKX589846:TKY589846 TUT589846:TUU589846 UEP589846:UEQ589846 UOL589846:UOM589846 UYH589846:UYI589846 VID589846:VIE589846 VRZ589846:VSA589846 WBV589846:WBW589846 WLR589846:WLS589846 WVN589846:WVO589846 F655382:G655382 JB655382:JC655382 SX655382:SY655382 ACT655382:ACU655382 AMP655382:AMQ655382 AWL655382:AWM655382 BGH655382:BGI655382 BQD655382:BQE655382 BZZ655382:CAA655382 CJV655382:CJW655382 CTR655382:CTS655382 DDN655382:DDO655382 DNJ655382:DNK655382 DXF655382:DXG655382 EHB655382:EHC655382 EQX655382:EQY655382 FAT655382:FAU655382 FKP655382:FKQ655382 FUL655382:FUM655382 GEH655382:GEI655382 GOD655382:GOE655382 GXZ655382:GYA655382 HHV655382:HHW655382 HRR655382:HRS655382 IBN655382:IBO655382 ILJ655382:ILK655382 IVF655382:IVG655382 JFB655382:JFC655382 JOX655382:JOY655382 JYT655382:JYU655382 KIP655382:KIQ655382 KSL655382:KSM655382 LCH655382:LCI655382 LMD655382:LME655382 LVZ655382:LWA655382 MFV655382:MFW655382 MPR655382:MPS655382 MZN655382:MZO655382 NJJ655382:NJK655382 NTF655382:NTG655382 ODB655382:ODC655382 OMX655382:OMY655382 OWT655382:OWU655382 PGP655382:PGQ655382 PQL655382:PQM655382 QAH655382:QAI655382 QKD655382:QKE655382 QTZ655382:QUA655382 RDV655382:RDW655382 RNR655382:RNS655382 RXN655382:RXO655382 SHJ655382:SHK655382 SRF655382:SRG655382 TBB655382:TBC655382 TKX655382:TKY655382 TUT655382:TUU655382 UEP655382:UEQ655382 UOL655382:UOM655382 UYH655382:UYI655382 VID655382:VIE655382 VRZ655382:VSA655382 WBV655382:WBW655382 WLR655382:WLS655382 WVN655382:WVO655382 F720918:G720918 JB720918:JC720918 SX720918:SY720918 ACT720918:ACU720918 AMP720918:AMQ720918 AWL720918:AWM720918 BGH720918:BGI720918 BQD720918:BQE720918 BZZ720918:CAA720918 CJV720918:CJW720918 CTR720918:CTS720918 DDN720918:DDO720918 DNJ720918:DNK720918 DXF720918:DXG720918 EHB720918:EHC720918 EQX720918:EQY720918 FAT720918:FAU720918 FKP720918:FKQ720918 FUL720918:FUM720918 GEH720918:GEI720918 GOD720918:GOE720918 GXZ720918:GYA720918 HHV720918:HHW720918 HRR720918:HRS720918 IBN720918:IBO720918 ILJ720918:ILK720918 IVF720918:IVG720918 JFB720918:JFC720918 JOX720918:JOY720918 JYT720918:JYU720918 KIP720918:KIQ720918 KSL720918:KSM720918 LCH720918:LCI720918 LMD720918:LME720918 LVZ720918:LWA720918 MFV720918:MFW720918 MPR720918:MPS720918 MZN720918:MZO720918 NJJ720918:NJK720918 NTF720918:NTG720918 ODB720918:ODC720918 OMX720918:OMY720918 OWT720918:OWU720918 PGP720918:PGQ720918 PQL720918:PQM720918 QAH720918:QAI720918 QKD720918:QKE720918 QTZ720918:QUA720918 RDV720918:RDW720918 RNR720918:RNS720918 RXN720918:RXO720918 SHJ720918:SHK720918 SRF720918:SRG720918 TBB720918:TBC720918 TKX720918:TKY720918 TUT720918:TUU720918 UEP720918:UEQ720918 UOL720918:UOM720918 UYH720918:UYI720918 VID720918:VIE720918 VRZ720918:VSA720918 WBV720918:WBW720918 WLR720918:WLS720918 WVN720918:WVO720918 F786454:G786454 JB786454:JC786454 SX786454:SY786454 ACT786454:ACU786454 AMP786454:AMQ786454 AWL786454:AWM786454 BGH786454:BGI786454 BQD786454:BQE786454 BZZ786454:CAA786454 CJV786454:CJW786454 CTR786454:CTS786454 DDN786454:DDO786454 DNJ786454:DNK786454 DXF786454:DXG786454 EHB786454:EHC786454 EQX786454:EQY786454 FAT786454:FAU786454 FKP786454:FKQ786454 FUL786454:FUM786454 GEH786454:GEI786454 GOD786454:GOE786454 GXZ786454:GYA786454 HHV786454:HHW786454 HRR786454:HRS786454 IBN786454:IBO786454 ILJ786454:ILK786454 IVF786454:IVG786454 JFB786454:JFC786454 JOX786454:JOY786454 JYT786454:JYU786454 KIP786454:KIQ786454 KSL786454:KSM786454 LCH786454:LCI786454 LMD786454:LME786454 LVZ786454:LWA786454 MFV786454:MFW786454 MPR786454:MPS786454 MZN786454:MZO786454 NJJ786454:NJK786454 NTF786454:NTG786454 ODB786454:ODC786454 OMX786454:OMY786454 OWT786454:OWU786454 PGP786454:PGQ786454 PQL786454:PQM786454 QAH786454:QAI786454 QKD786454:QKE786454 QTZ786454:QUA786454 RDV786454:RDW786454 RNR786454:RNS786454 RXN786454:RXO786454 SHJ786454:SHK786454 SRF786454:SRG786454 TBB786454:TBC786454 TKX786454:TKY786454 TUT786454:TUU786454 UEP786454:UEQ786454 UOL786454:UOM786454 UYH786454:UYI786454 VID786454:VIE786454 VRZ786454:VSA786454 WBV786454:WBW786454 WLR786454:WLS786454 WVN786454:WVO786454 F851990:G851990 JB851990:JC851990 SX851990:SY851990 ACT851990:ACU851990 AMP851990:AMQ851990 AWL851990:AWM851990 BGH851990:BGI851990 BQD851990:BQE851990 BZZ851990:CAA851990 CJV851990:CJW851990 CTR851990:CTS851990 DDN851990:DDO851990 DNJ851990:DNK851990 DXF851990:DXG851990 EHB851990:EHC851990 EQX851990:EQY851990 FAT851990:FAU851990 FKP851990:FKQ851990 FUL851990:FUM851990 GEH851990:GEI851990 GOD851990:GOE851990 GXZ851990:GYA851990 HHV851990:HHW851990 HRR851990:HRS851990 IBN851990:IBO851990 ILJ851990:ILK851990 IVF851990:IVG851990 JFB851990:JFC851990 JOX851990:JOY851990 JYT851990:JYU851990 KIP851990:KIQ851990 KSL851990:KSM851990 LCH851990:LCI851990 LMD851990:LME851990 LVZ851990:LWA851990 MFV851990:MFW851990 MPR851990:MPS851990 MZN851990:MZO851990 NJJ851990:NJK851990 NTF851990:NTG851990 ODB851990:ODC851990 OMX851990:OMY851990 OWT851990:OWU851990 PGP851990:PGQ851990 PQL851990:PQM851990 QAH851990:QAI851990 QKD851990:QKE851990 QTZ851990:QUA851990 RDV851990:RDW851990 RNR851990:RNS851990 RXN851990:RXO851990 SHJ851990:SHK851990 SRF851990:SRG851990 TBB851990:TBC851990 TKX851990:TKY851990 TUT851990:TUU851990 UEP851990:UEQ851990 UOL851990:UOM851990 UYH851990:UYI851990 VID851990:VIE851990 VRZ851990:VSA851990 WBV851990:WBW851990 WLR851990:WLS851990 WVN851990:WVO851990 F917526:G917526 JB917526:JC917526 SX917526:SY917526 ACT917526:ACU917526 AMP917526:AMQ917526 AWL917526:AWM917526 BGH917526:BGI917526 BQD917526:BQE917526 BZZ917526:CAA917526 CJV917526:CJW917526 CTR917526:CTS917526 DDN917526:DDO917526 DNJ917526:DNK917526 DXF917526:DXG917526 EHB917526:EHC917526 EQX917526:EQY917526 FAT917526:FAU917526 FKP917526:FKQ917526 FUL917526:FUM917526 GEH917526:GEI917526 GOD917526:GOE917526 GXZ917526:GYA917526 HHV917526:HHW917526 HRR917526:HRS917526 IBN917526:IBO917526 ILJ917526:ILK917526 IVF917526:IVG917526 JFB917526:JFC917526 JOX917526:JOY917526 JYT917526:JYU917526 KIP917526:KIQ917526 KSL917526:KSM917526 LCH917526:LCI917526 LMD917526:LME917526 LVZ917526:LWA917526 MFV917526:MFW917526 MPR917526:MPS917526 MZN917526:MZO917526 NJJ917526:NJK917526 NTF917526:NTG917526 ODB917526:ODC917526 OMX917526:OMY917526 OWT917526:OWU917526 PGP917526:PGQ917526 PQL917526:PQM917526 QAH917526:QAI917526 QKD917526:QKE917526 QTZ917526:QUA917526 RDV917526:RDW917526 RNR917526:RNS917526 RXN917526:RXO917526 SHJ917526:SHK917526 SRF917526:SRG917526 TBB917526:TBC917526 TKX917526:TKY917526 TUT917526:TUU917526 UEP917526:UEQ917526 UOL917526:UOM917526 UYH917526:UYI917526 VID917526:VIE917526 VRZ917526:VSA917526 WBV917526:WBW917526 WLR917526:WLS917526 WVN917526:WVO917526 F983062:G983062 JB983062:JC983062 SX983062:SY983062 ACT983062:ACU983062 AMP983062:AMQ983062 AWL983062:AWM983062 BGH983062:BGI983062 BQD983062:BQE983062 BZZ983062:CAA983062 CJV983062:CJW983062 CTR983062:CTS983062 DDN983062:DDO983062 DNJ983062:DNK983062 DXF983062:DXG983062 EHB983062:EHC983062 EQX983062:EQY983062 FAT983062:FAU983062 FKP983062:FKQ983062 FUL983062:FUM983062 GEH983062:GEI983062 GOD983062:GOE983062 GXZ983062:GYA983062 HHV983062:HHW983062 HRR983062:HRS983062 IBN983062:IBO983062 ILJ983062:ILK983062 IVF983062:IVG983062 JFB983062:JFC983062 JOX983062:JOY983062 JYT983062:JYU983062 KIP983062:KIQ983062 KSL983062:KSM983062 LCH983062:LCI983062 LMD983062:LME983062 LVZ983062:LWA983062 MFV983062:MFW983062 MPR983062:MPS983062 MZN983062:MZO983062 NJJ983062:NJK983062 NTF983062:NTG983062 ODB983062:ODC983062 OMX983062:OMY983062 OWT983062:OWU983062 PGP983062:PGQ983062 PQL983062:PQM983062 QAH983062:QAI983062 QKD983062:QKE983062 QTZ983062:QUA983062 RDV983062:RDW983062 RNR983062:RNS983062 RXN983062:RXO983062 SHJ983062:SHK983062 SRF983062:SRG983062 TBB983062:TBC983062 TKX983062:TKY983062 TUT983062:TUU983062 UEP983062:UEQ983062 UOL983062:UOM983062 UYH983062:UYI983062 VID983062:VIE983062 VRZ983062:VSA983062 WBV983062:WBW983062 WLR983062:WLS983062 WVN983062:WVO983062 WVQ983062 JB5:JC6 SX5:SY6 ACT5:ACU6 AMP5:AMQ6 AWL5:AWM6 BGH5:BGI6 BQD5:BQE6 BZZ5:CAA6 CJV5:CJW6 CTR5:CTS6 DDN5:DDO6 DNJ5:DNK6 DXF5:DXG6 EHB5:EHC6 EQX5:EQY6 FAT5:FAU6 FKP5:FKQ6 FUL5:FUM6 GEH5:GEI6 GOD5:GOE6 GXZ5:GYA6 HHV5:HHW6 HRR5:HRS6 IBN5:IBO6 ILJ5:ILK6 IVF5:IVG6 JFB5:JFC6 JOX5:JOY6 JYT5:JYU6 KIP5:KIQ6 KSL5:KSM6 LCH5:LCI6 LMD5:LME6 LVZ5:LWA6 MFV5:MFW6 MPR5:MPS6 MZN5:MZO6 NJJ5:NJK6 NTF5:NTG6 ODB5:ODC6 OMX5:OMY6 OWT5:OWU6 PGP5:PGQ6 PQL5:PQM6 QAH5:QAI6 QKD5:QKE6 QTZ5:QUA6 RDV5:RDW6 RNR5:RNS6 RXN5:RXO6 SHJ5:SHK6 SRF5:SRG6 TBB5:TBC6 TKX5:TKY6 TUT5:TUU6 UEP5:UEQ6 UOL5:UOM6 UYH5:UYI6 VID5:VIE6 VRZ5:VSA6 WBV5:WBW6 WLR5:WLS6 WVN5:WVO6 F65560:G65561 JB65560:JC65561 SX65560:SY65561 ACT65560:ACU65561 AMP65560:AMQ65561 AWL65560:AWM65561 BGH65560:BGI65561 BQD65560:BQE65561 BZZ65560:CAA65561 CJV65560:CJW65561 CTR65560:CTS65561 DDN65560:DDO65561 DNJ65560:DNK65561 DXF65560:DXG65561 EHB65560:EHC65561 EQX65560:EQY65561 FAT65560:FAU65561 FKP65560:FKQ65561 FUL65560:FUM65561 GEH65560:GEI65561 GOD65560:GOE65561 GXZ65560:GYA65561 HHV65560:HHW65561 HRR65560:HRS65561 IBN65560:IBO65561 ILJ65560:ILK65561 IVF65560:IVG65561 JFB65560:JFC65561 JOX65560:JOY65561 JYT65560:JYU65561 KIP65560:KIQ65561 KSL65560:KSM65561 LCH65560:LCI65561 LMD65560:LME65561 LVZ65560:LWA65561 MFV65560:MFW65561 MPR65560:MPS65561 MZN65560:MZO65561 NJJ65560:NJK65561 NTF65560:NTG65561 ODB65560:ODC65561 OMX65560:OMY65561 OWT65560:OWU65561 PGP65560:PGQ65561 PQL65560:PQM65561 QAH65560:QAI65561 QKD65560:QKE65561 QTZ65560:QUA65561 RDV65560:RDW65561 RNR65560:RNS65561 RXN65560:RXO65561 SHJ65560:SHK65561 SRF65560:SRG65561 TBB65560:TBC65561 TKX65560:TKY65561 TUT65560:TUU65561 UEP65560:UEQ65561 UOL65560:UOM65561 UYH65560:UYI65561 VID65560:VIE65561 VRZ65560:VSA65561 WBV65560:WBW65561 WLR65560:WLS65561 WVN65560:WVO65561 F131096:G131097 JB131096:JC131097 SX131096:SY131097 ACT131096:ACU131097 AMP131096:AMQ131097 AWL131096:AWM131097 BGH131096:BGI131097 BQD131096:BQE131097 BZZ131096:CAA131097 CJV131096:CJW131097 CTR131096:CTS131097 DDN131096:DDO131097 DNJ131096:DNK131097 DXF131096:DXG131097 EHB131096:EHC131097 EQX131096:EQY131097 FAT131096:FAU131097 FKP131096:FKQ131097 FUL131096:FUM131097 GEH131096:GEI131097 GOD131096:GOE131097 GXZ131096:GYA131097 HHV131096:HHW131097 HRR131096:HRS131097 IBN131096:IBO131097 ILJ131096:ILK131097 IVF131096:IVG131097 JFB131096:JFC131097 JOX131096:JOY131097 JYT131096:JYU131097 KIP131096:KIQ131097 KSL131096:KSM131097 LCH131096:LCI131097 LMD131096:LME131097 LVZ131096:LWA131097 MFV131096:MFW131097 MPR131096:MPS131097 MZN131096:MZO131097 NJJ131096:NJK131097 NTF131096:NTG131097 ODB131096:ODC131097 OMX131096:OMY131097 OWT131096:OWU131097 PGP131096:PGQ131097 PQL131096:PQM131097 QAH131096:QAI131097 QKD131096:QKE131097 QTZ131096:QUA131097 RDV131096:RDW131097 RNR131096:RNS131097 RXN131096:RXO131097 SHJ131096:SHK131097 SRF131096:SRG131097 TBB131096:TBC131097 TKX131096:TKY131097 TUT131096:TUU131097 UEP131096:UEQ131097 UOL131096:UOM131097 UYH131096:UYI131097 VID131096:VIE131097 VRZ131096:VSA131097 WBV131096:WBW131097 WLR131096:WLS131097 WVN131096:WVO131097 F196632:G196633 JB196632:JC196633 SX196632:SY196633 ACT196632:ACU196633 AMP196632:AMQ196633 AWL196632:AWM196633 BGH196632:BGI196633 BQD196632:BQE196633 BZZ196632:CAA196633 CJV196632:CJW196633 CTR196632:CTS196633 DDN196632:DDO196633 DNJ196632:DNK196633 DXF196632:DXG196633 EHB196632:EHC196633 EQX196632:EQY196633 FAT196632:FAU196633 FKP196632:FKQ196633 FUL196632:FUM196633 GEH196632:GEI196633 GOD196632:GOE196633 GXZ196632:GYA196633 HHV196632:HHW196633 HRR196632:HRS196633 IBN196632:IBO196633 ILJ196632:ILK196633 IVF196632:IVG196633 JFB196632:JFC196633 JOX196632:JOY196633 JYT196632:JYU196633 KIP196632:KIQ196633 KSL196632:KSM196633 LCH196632:LCI196633 LMD196632:LME196633 LVZ196632:LWA196633 MFV196632:MFW196633 MPR196632:MPS196633 MZN196632:MZO196633 NJJ196632:NJK196633 NTF196632:NTG196633 ODB196632:ODC196633 OMX196632:OMY196633 OWT196632:OWU196633 PGP196632:PGQ196633 PQL196632:PQM196633 QAH196632:QAI196633 QKD196632:QKE196633 QTZ196632:QUA196633 RDV196632:RDW196633 RNR196632:RNS196633 RXN196632:RXO196633 SHJ196632:SHK196633 SRF196632:SRG196633 TBB196632:TBC196633 TKX196632:TKY196633 TUT196632:TUU196633 UEP196632:UEQ196633 UOL196632:UOM196633 UYH196632:UYI196633 VID196632:VIE196633 VRZ196632:VSA196633 WBV196632:WBW196633 WLR196632:WLS196633 WVN196632:WVO196633 F262168:G262169 JB262168:JC262169 SX262168:SY262169 ACT262168:ACU262169 AMP262168:AMQ262169 AWL262168:AWM262169 BGH262168:BGI262169 BQD262168:BQE262169 BZZ262168:CAA262169 CJV262168:CJW262169 CTR262168:CTS262169 DDN262168:DDO262169 DNJ262168:DNK262169 DXF262168:DXG262169 EHB262168:EHC262169 EQX262168:EQY262169 FAT262168:FAU262169 FKP262168:FKQ262169 FUL262168:FUM262169 GEH262168:GEI262169 GOD262168:GOE262169 GXZ262168:GYA262169 HHV262168:HHW262169 HRR262168:HRS262169 IBN262168:IBO262169 ILJ262168:ILK262169 IVF262168:IVG262169 JFB262168:JFC262169 JOX262168:JOY262169 JYT262168:JYU262169 KIP262168:KIQ262169 KSL262168:KSM262169 LCH262168:LCI262169 LMD262168:LME262169 LVZ262168:LWA262169 MFV262168:MFW262169 MPR262168:MPS262169 MZN262168:MZO262169 NJJ262168:NJK262169 NTF262168:NTG262169 ODB262168:ODC262169 OMX262168:OMY262169 OWT262168:OWU262169 PGP262168:PGQ262169 PQL262168:PQM262169 QAH262168:QAI262169 QKD262168:QKE262169 QTZ262168:QUA262169 RDV262168:RDW262169 RNR262168:RNS262169 RXN262168:RXO262169 SHJ262168:SHK262169 SRF262168:SRG262169 TBB262168:TBC262169 TKX262168:TKY262169 TUT262168:TUU262169 UEP262168:UEQ262169 UOL262168:UOM262169 UYH262168:UYI262169 VID262168:VIE262169 VRZ262168:VSA262169 WBV262168:WBW262169 WLR262168:WLS262169 WVN262168:WVO262169 F327704:G327705 JB327704:JC327705 SX327704:SY327705 ACT327704:ACU327705 AMP327704:AMQ327705 AWL327704:AWM327705 BGH327704:BGI327705 BQD327704:BQE327705 BZZ327704:CAA327705 CJV327704:CJW327705 CTR327704:CTS327705 DDN327704:DDO327705 DNJ327704:DNK327705 DXF327704:DXG327705 EHB327704:EHC327705 EQX327704:EQY327705 FAT327704:FAU327705 FKP327704:FKQ327705 FUL327704:FUM327705 GEH327704:GEI327705 GOD327704:GOE327705 GXZ327704:GYA327705 HHV327704:HHW327705 HRR327704:HRS327705 IBN327704:IBO327705 ILJ327704:ILK327705 IVF327704:IVG327705 JFB327704:JFC327705 JOX327704:JOY327705 JYT327704:JYU327705 KIP327704:KIQ327705 KSL327704:KSM327705 LCH327704:LCI327705 LMD327704:LME327705 LVZ327704:LWA327705 MFV327704:MFW327705 MPR327704:MPS327705 MZN327704:MZO327705 NJJ327704:NJK327705 NTF327704:NTG327705 ODB327704:ODC327705 OMX327704:OMY327705 OWT327704:OWU327705 PGP327704:PGQ327705 PQL327704:PQM327705 QAH327704:QAI327705 QKD327704:QKE327705 QTZ327704:QUA327705 RDV327704:RDW327705 RNR327704:RNS327705 RXN327704:RXO327705 SHJ327704:SHK327705 SRF327704:SRG327705 TBB327704:TBC327705 TKX327704:TKY327705 TUT327704:TUU327705 UEP327704:UEQ327705 UOL327704:UOM327705 UYH327704:UYI327705 VID327704:VIE327705 VRZ327704:VSA327705 WBV327704:WBW327705 WLR327704:WLS327705 WVN327704:WVO327705 F393240:G393241 JB393240:JC393241 SX393240:SY393241 ACT393240:ACU393241 AMP393240:AMQ393241 AWL393240:AWM393241 BGH393240:BGI393241 BQD393240:BQE393241 BZZ393240:CAA393241 CJV393240:CJW393241 CTR393240:CTS393241 DDN393240:DDO393241 DNJ393240:DNK393241 DXF393240:DXG393241 EHB393240:EHC393241 EQX393240:EQY393241 FAT393240:FAU393241 FKP393240:FKQ393241 FUL393240:FUM393241 GEH393240:GEI393241 GOD393240:GOE393241 GXZ393240:GYA393241 HHV393240:HHW393241 HRR393240:HRS393241 IBN393240:IBO393241 ILJ393240:ILK393241 IVF393240:IVG393241 JFB393240:JFC393241 JOX393240:JOY393241 JYT393240:JYU393241 KIP393240:KIQ393241 KSL393240:KSM393241 LCH393240:LCI393241 LMD393240:LME393241 LVZ393240:LWA393241 MFV393240:MFW393241 MPR393240:MPS393241 MZN393240:MZO393241 NJJ393240:NJK393241 NTF393240:NTG393241 ODB393240:ODC393241 OMX393240:OMY393241 OWT393240:OWU393241 PGP393240:PGQ393241 PQL393240:PQM393241 QAH393240:QAI393241 QKD393240:QKE393241 QTZ393240:QUA393241 RDV393240:RDW393241 RNR393240:RNS393241 RXN393240:RXO393241 SHJ393240:SHK393241 SRF393240:SRG393241 TBB393240:TBC393241 TKX393240:TKY393241 TUT393240:TUU393241 UEP393240:UEQ393241 UOL393240:UOM393241 UYH393240:UYI393241 VID393240:VIE393241 VRZ393240:VSA393241 WBV393240:WBW393241 WLR393240:WLS393241 WVN393240:WVO393241 F458776:G458777 JB458776:JC458777 SX458776:SY458777 ACT458776:ACU458777 AMP458776:AMQ458777 AWL458776:AWM458777 BGH458776:BGI458777 BQD458776:BQE458777 BZZ458776:CAA458777 CJV458776:CJW458777 CTR458776:CTS458777 DDN458776:DDO458777 DNJ458776:DNK458777 DXF458776:DXG458777 EHB458776:EHC458777 EQX458776:EQY458777 FAT458776:FAU458777 FKP458776:FKQ458777 FUL458776:FUM458777 GEH458776:GEI458777 GOD458776:GOE458777 GXZ458776:GYA458777 HHV458776:HHW458777 HRR458776:HRS458777 IBN458776:IBO458777 ILJ458776:ILK458777 IVF458776:IVG458777 JFB458776:JFC458777 JOX458776:JOY458777 JYT458776:JYU458777 KIP458776:KIQ458777 KSL458776:KSM458777 LCH458776:LCI458777 LMD458776:LME458777 LVZ458776:LWA458777 MFV458776:MFW458777 MPR458776:MPS458777 MZN458776:MZO458777 NJJ458776:NJK458777 NTF458776:NTG458777 ODB458776:ODC458777 OMX458776:OMY458777 OWT458776:OWU458777 PGP458776:PGQ458777 PQL458776:PQM458777 QAH458776:QAI458777 QKD458776:QKE458777 QTZ458776:QUA458777 RDV458776:RDW458777 RNR458776:RNS458777 RXN458776:RXO458777 SHJ458776:SHK458777 SRF458776:SRG458777 TBB458776:TBC458777 TKX458776:TKY458777 TUT458776:TUU458777 UEP458776:UEQ458777 UOL458776:UOM458777 UYH458776:UYI458777 VID458776:VIE458777 VRZ458776:VSA458777 WBV458776:WBW458777 WLR458776:WLS458777 WVN458776:WVO458777 F524312:G524313 JB524312:JC524313 SX524312:SY524313 ACT524312:ACU524313 AMP524312:AMQ524313 AWL524312:AWM524313 BGH524312:BGI524313 BQD524312:BQE524313 BZZ524312:CAA524313 CJV524312:CJW524313 CTR524312:CTS524313 DDN524312:DDO524313 DNJ524312:DNK524313 DXF524312:DXG524313 EHB524312:EHC524313 EQX524312:EQY524313 FAT524312:FAU524313 FKP524312:FKQ524313 FUL524312:FUM524313 GEH524312:GEI524313 GOD524312:GOE524313 GXZ524312:GYA524313 HHV524312:HHW524313 HRR524312:HRS524313 IBN524312:IBO524313 ILJ524312:ILK524313 IVF524312:IVG524313 JFB524312:JFC524313 JOX524312:JOY524313 JYT524312:JYU524313 KIP524312:KIQ524313 KSL524312:KSM524313 LCH524312:LCI524313 LMD524312:LME524313 LVZ524312:LWA524313 MFV524312:MFW524313 MPR524312:MPS524313 MZN524312:MZO524313 NJJ524312:NJK524313 NTF524312:NTG524313 ODB524312:ODC524313 OMX524312:OMY524313 OWT524312:OWU524313 PGP524312:PGQ524313 PQL524312:PQM524313 QAH524312:QAI524313 QKD524312:QKE524313 QTZ524312:QUA524313 RDV524312:RDW524313 RNR524312:RNS524313 RXN524312:RXO524313 SHJ524312:SHK524313 SRF524312:SRG524313 TBB524312:TBC524313 TKX524312:TKY524313 TUT524312:TUU524313 UEP524312:UEQ524313 UOL524312:UOM524313 UYH524312:UYI524313 VID524312:VIE524313 VRZ524312:VSA524313 WBV524312:WBW524313 WLR524312:WLS524313 WVN524312:WVO524313 F589848:G589849 JB589848:JC589849 SX589848:SY589849 ACT589848:ACU589849 AMP589848:AMQ589849 AWL589848:AWM589849 BGH589848:BGI589849 BQD589848:BQE589849 BZZ589848:CAA589849 CJV589848:CJW589849 CTR589848:CTS589849 DDN589848:DDO589849 DNJ589848:DNK589849 DXF589848:DXG589849 EHB589848:EHC589849 EQX589848:EQY589849 FAT589848:FAU589849 FKP589848:FKQ589849 FUL589848:FUM589849 GEH589848:GEI589849 GOD589848:GOE589849 GXZ589848:GYA589849 HHV589848:HHW589849 HRR589848:HRS589849 IBN589848:IBO589849 ILJ589848:ILK589849 IVF589848:IVG589849 JFB589848:JFC589849 JOX589848:JOY589849 JYT589848:JYU589849 KIP589848:KIQ589849 KSL589848:KSM589849 LCH589848:LCI589849 LMD589848:LME589849 LVZ589848:LWA589849 MFV589848:MFW589849 MPR589848:MPS589849 MZN589848:MZO589849 NJJ589848:NJK589849 NTF589848:NTG589849 ODB589848:ODC589849 OMX589848:OMY589849 OWT589848:OWU589849 PGP589848:PGQ589849 PQL589848:PQM589849 QAH589848:QAI589849 QKD589848:QKE589849 QTZ589848:QUA589849 RDV589848:RDW589849 RNR589848:RNS589849 RXN589848:RXO589849 SHJ589848:SHK589849 SRF589848:SRG589849 TBB589848:TBC589849 TKX589848:TKY589849 TUT589848:TUU589849 UEP589848:UEQ589849 UOL589848:UOM589849 UYH589848:UYI589849 VID589848:VIE589849 VRZ589848:VSA589849 WBV589848:WBW589849 WLR589848:WLS589849 WVN589848:WVO589849 F655384:G655385 JB655384:JC655385 SX655384:SY655385 ACT655384:ACU655385 AMP655384:AMQ655385 AWL655384:AWM655385 BGH655384:BGI655385 BQD655384:BQE655385 BZZ655384:CAA655385 CJV655384:CJW655385 CTR655384:CTS655385 DDN655384:DDO655385 DNJ655384:DNK655385 DXF655384:DXG655385 EHB655384:EHC655385 EQX655384:EQY655385 FAT655384:FAU655385 FKP655384:FKQ655385 FUL655384:FUM655385 GEH655384:GEI655385 GOD655384:GOE655385 GXZ655384:GYA655385 HHV655384:HHW655385 HRR655384:HRS655385 IBN655384:IBO655385 ILJ655384:ILK655385 IVF655384:IVG655385 JFB655384:JFC655385 JOX655384:JOY655385 JYT655384:JYU655385 KIP655384:KIQ655385 KSL655384:KSM655385 LCH655384:LCI655385 LMD655384:LME655385 LVZ655384:LWA655385 MFV655384:MFW655385 MPR655384:MPS655385 MZN655384:MZO655385 NJJ655384:NJK655385 NTF655384:NTG655385 ODB655384:ODC655385 OMX655384:OMY655385 OWT655384:OWU655385 PGP655384:PGQ655385 PQL655384:PQM655385 QAH655384:QAI655385 QKD655384:QKE655385 QTZ655384:QUA655385 RDV655384:RDW655385 RNR655384:RNS655385 RXN655384:RXO655385 SHJ655384:SHK655385 SRF655384:SRG655385 TBB655384:TBC655385 TKX655384:TKY655385 TUT655384:TUU655385 UEP655384:UEQ655385 UOL655384:UOM655385 UYH655384:UYI655385 VID655384:VIE655385 VRZ655384:VSA655385 WBV655384:WBW655385 WLR655384:WLS655385 WVN655384:WVO655385 F720920:G720921 JB720920:JC720921 SX720920:SY720921 ACT720920:ACU720921 AMP720920:AMQ720921 AWL720920:AWM720921 BGH720920:BGI720921 BQD720920:BQE720921 BZZ720920:CAA720921 CJV720920:CJW720921 CTR720920:CTS720921 DDN720920:DDO720921 DNJ720920:DNK720921 DXF720920:DXG720921 EHB720920:EHC720921 EQX720920:EQY720921 FAT720920:FAU720921 FKP720920:FKQ720921 FUL720920:FUM720921 GEH720920:GEI720921 GOD720920:GOE720921 GXZ720920:GYA720921 HHV720920:HHW720921 HRR720920:HRS720921 IBN720920:IBO720921 ILJ720920:ILK720921 IVF720920:IVG720921 JFB720920:JFC720921 JOX720920:JOY720921 JYT720920:JYU720921 KIP720920:KIQ720921 KSL720920:KSM720921 LCH720920:LCI720921 LMD720920:LME720921 LVZ720920:LWA720921 MFV720920:MFW720921 MPR720920:MPS720921 MZN720920:MZO720921 NJJ720920:NJK720921 NTF720920:NTG720921 ODB720920:ODC720921 OMX720920:OMY720921 OWT720920:OWU720921 PGP720920:PGQ720921 PQL720920:PQM720921 QAH720920:QAI720921 QKD720920:QKE720921 QTZ720920:QUA720921 RDV720920:RDW720921 RNR720920:RNS720921 RXN720920:RXO720921 SHJ720920:SHK720921 SRF720920:SRG720921 TBB720920:TBC720921 TKX720920:TKY720921 TUT720920:TUU720921 UEP720920:UEQ720921 UOL720920:UOM720921 UYH720920:UYI720921 VID720920:VIE720921 VRZ720920:VSA720921 WBV720920:WBW720921 WLR720920:WLS720921 WVN720920:WVO720921 F786456:G786457 JB786456:JC786457 SX786456:SY786457 ACT786456:ACU786457 AMP786456:AMQ786457 AWL786456:AWM786457 BGH786456:BGI786457 BQD786456:BQE786457 BZZ786456:CAA786457 CJV786456:CJW786457 CTR786456:CTS786457 DDN786456:DDO786457 DNJ786456:DNK786457 DXF786456:DXG786457 EHB786456:EHC786457 EQX786456:EQY786457 FAT786456:FAU786457 FKP786456:FKQ786457 FUL786456:FUM786457 GEH786456:GEI786457 GOD786456:GOE786457 GXZ786456:GYA786457 HHV786456:HHW786457 HRR786456:HRS786457 IBN786456:IBO786457 ILJ786456:ILK786457 IVF786456:IVG786457 JFB786456:JFC786457 JOX786456:JOY786457 JYT786456:JYU786457 KIP786456:KIQ786457 KSL786456:KSM786457 LCH786456:LCI786457 LMD786456:LME786457 LVZ786456:LWA786457 MFV786456:MFW786457 MPR786456:MPS786457 MZN786456:MZO786457 NJJ786456:NJK786457 NTF786456:NTG786457 ODB786456:ODC786457 OMX786456:OMY786457 OWT786456:OWU786457 PGP786456:PGQ786457 PQL786456:PQM786457 QAH786456:QAI786457 QKD786456:QKE786457 QTZ786456:QUA786457 RDV786456:RDW786457 RNR786456:RNS786457 RXN786456:RXO786457 SHJ786456:SHK786457 SRF786456:SRG786457 TBB786456:TBC786457 TKX786456:TKY786457 TUT786456:TUU786457 UEP786456:UEQ786457 UOL786456:UOM786457 UYH786456:UYI786457 VID786456:VIE786457 VRZ786456:VSA786457 WBV786456:WBW786457 WLR786456:WLS786457 WVN786456:WVO786457 F851992:G851993 JB851992:JC851993 SX851992:SY851993 ACT851992:ACU851993 AMP851992:AMQ851993 AWL851992:AWM851993 BGH851992:BGI851993 BQD851992:BQE851993 BZZ851992:CAA851993 CJV851992:CJW851993 CTR851992:CTS851993 DDN851992:DDO851993 DNJ851992:DNK851993 DXF851992:DXG851993 EHB851992:EHC851993 EQX851992:EQY851993 FAT851992:FAU851993 FKP851992:FKQ851993 FUL851992:FUM851993 GEH851992:GEI851993 GOD851992:GOE851993 GXZ851992:GYA851993 HHV851992:HHW851993 HRR851992:HRS851993 IBN851992:IBO851993 ILJ851992:ILK851993 IVF851992:IVG851993 JFB851992:JFC851993 JOX851992:JOY851993 JYT851992:JYU851993 KIP851992:KIQ851993 KSL851992:KSM851993 LCH851992:LCI851993 LMD851992:LME851993 LVZ851992:LWA851993 MFV851992:MFW851993 MPR851992:MPS851993 MZN851992:MZO851993 NJJ851992:NJK851993 NTF851992:NTG851993 ODB851992:ODC851993 OMX851992:OMY851993 OWT851992:OWU851993 PGP851992:PGQ851993 PQL851992:PQM851993 QAH851992:QAI851993 QKD851992:QKE851993 QTZ851992:QUA851993 RDV851992:RDW851993 RNR851992:RNS851993 RXN851992:RXO851993 SHJ851992:SHK851993 SRF851992:SRG851993 TBB851992:TBC851993 TKX851992:TKY851993 TUT851992:TUU851993 UEP851992:UEQ851993 UOL851992:UOM851993 UYH851992:UYI851993 VID851992:VIE851993 VRZ851992:VSA851993 WBV851992:WBW851993 WLR851992:WLS851993 WVN851992:WVO851993 F917528:G917529 JB917528:JC917529 SX917528:SY917529 ACT917528:ACU917529 AMP917528:AMQ917529 AWL917528:AWM917529 BGH917528:BGI917529 BQD917528:BQE917529 BZZ917528:CAA917529 CJV917528:CJW917529 CTR917528:CTS917529 DDN917528:DDO917529 DNJ917528:DNK917529 DXF917528:DXG917529 EHB917528:EHC917529 EQX917528:EQY917529 FAT917528:FAU917529 FKP917528:FKQ917529 FUL917528:FUM917529 GEH917528:GEI917529 GOD917528:GOE917529 GXZ917528:GYA917529 HHV917528:HHW917529 HRR917528:HRS917529 IBN917528:IBO917529 ILJ917528:ILK917529 IVF917528:IVG917529 JFB917528:JFC917529 JOX917528:JOY917529 JYT917528:JYU917529 KIP917528:KIQ917529 KSL917528:KSM917529 LCH917528:LCI917529 LMD917528:LME917529 LVZ917528:LWA917529 MFV917528:MFW917529 MPR917528:MPS917529 MZN917528:MZO917529 NJJ917528:NJK917529 NTF917528:NTG917529 ODB917528:ODC917529 OMX917528:OMY917529 OWT917528:OWU917529 PGP917528:PGQ917529 PQL917528:PQM917529 QAH917528:QAI917529 QKD917528:QKE917529 QTZ917528:QUA917529 RDV917528:RDW917529 RNR917528:RNS917529 RXN917528:RXO917529 SHJ917528:SHK917529 SRF917528:SRG917529 TBB917528:TBC917529 TKX917528:TKY917529 TUT917528:TUU917529 UEP917528:UEQ917529 UOL917528:UOM917529 UYH917528:UYI917529 VID917528:VIE917529 VRZ917528:VSA917529 WBV917528:WBW917529 WLR917528:WLS917529 WVN917528:WVO917529 F983064:G983065 JB983064:JC983065 SX983064:SY983065 ACT983064:ACU983065 AMP983064:AMQ983065 AWL983064:AWM983065 BGH983064:BGI983065 BQD983064:BQE983065 BZZ983064:CAA983065 CJV983064:CJW983065 CTR983064:CTS983065 DDN983064:DDO983065 DNJ983064:DNK983065 DXF983064:DXG983065 EHB983064:EHC983065 EQX983064:EQY983065 FAT983064:FAU983065 FKP983064:FKQ983065 FUL983064:FUM983065 GEH983064:GEI983065 GOD983064:GOE983065 GXZ983064:GYA983065 HHV983064:HHW983065 HRR983064:HRS983065 IBN983064:IBO983065 ILJ983064:ILK983065 IVF983064:IVG983065 JFB983064:JFC983065 JOX983064:JOY983065 JYT983064:JYU983065 KIP983064:KIQ983065 KSL983064:KSM983065 LCH983064:LCI983065 LMD983064:LME983065 LVZ983064:LWA983065 MFV983064:MFW983065 MPR983064:MPS983065 MZN983064:MZO983065 NJJ983064:NJK983065 NTF983064:NTG983065 ODB983064:ODC983065 OMX983064:OMY983065 OWT983064:OWU983065 PGP983064:PGQ983065 PQL983064:PQM983065 QAH983064:QAI983065 QKD983064:QKE983065 QTZ983064:QUA983065 RDV983064:RDW983065 RNR983064:RNS983065 RXN983064:RXO983065 SHJ983064:SHK983065 SRF983064:SRG983065 TBB983064:TBC983065 TKX983064:TKY983065 TUT983064:TUU983065 UEP983064:UEQ983065 UOL983064:UOM983065 UYH983064:UYI983065 VID983064:VIE983065 VRZ983064:VSA983065 WBV983064:WBW983065 WLR983064:WLS983065 WVN983064:WVO983065 I3 JE3 TA3 ACW3 AMS3 AWO3 BGK3 BQG3 CAC3 CJY3 CTU3 DDQ3 DNM3 DXI3 EHE3 ERA3 FAW3 FKS3 FUO3 GEK3 GOG3 GYC3 HHY3 HRU3 IBQ3 ILM3 IVI3 JFE3 JPA3 JYW3 KIS3 KSO3 LCK3 LMG3 LWC3 MFY3 MPU3 MZQ3 NJM3 NTI3 ODE3 ONA3 OWW3 PGS3 PQO3 QAK3 QKG3 QUC3 RDY3 RNU3 RXQ3 SHM3 SRI3 TBE3 TLA3 TUW3 UES3 UOO3 UYK3 VIG3 VSC3 WBY3 WLU3 WVQ3 I65558 JE65558 TA65558 ACW65558 AMS65558 AWO65558 BGK65558 BQG65558 CAC65558 CJY65558 CTU65558 DDQ65558 DNM65558 DXI65558 EHE65558 ERA65558 FAW65558 FKS65558 FUO65558 GEK65558 GOG65558 GYC65558 HHY65558 HRU65558 IBQ65558 ILM65558 IVI65558 JFE65558 JPA65558 JYW65558 KIS65558 KSO65558 LCK65558 LMG65558 LWC65558 MFY65558 MPU65558 MZQ65558 NJM65558 NTI65558 ODE65558 ONA65558 OWW65558 PGS65558 PQO65558 QAK65558 QKG65558 QUC65558 RDY65558 RNU65558 RXQ65558 SHM65558 SRI65558 TBE65558 TLA65558 TUW65558 UES65558 UOO65558 UYK65558 VIG65558 VSC65558 WBY65558 WLU65558 WVQ65558 I131094 JE131094 TA131094 ACW131094 AMS131094 AWO131094 BGK131094 BQG131094 CAC131094 CJY131094 CTU131094 DDQ131094 DNM131094 DXI131094 EHE131094 ERA131094 FAW131094 FKS131094 FUO131094 GEK131094 GOG131094 GYC131094 HHY131094 HRU131094 IBQ131094 ILM131094 IVI131094 JFE131094 JPA131094 JYW131094 KIS131094 KSO131094 LCK131094 LMG131094 LWC131094 MFY131094 MPU131094 MZQ131094 NJM131094 NTI131094 ODE131094 ONA131094 OWW131094 PGS131094 PQO131094 QAK131094 QKG131094 QUC131094 RDY131094 RNU131094 RXQ131094 SHM131094 SRI131094 TBE131094 TLA131094 TUW131094 UES131094 UOO131094 UYK131094 VIG131094 VSC131094 WBY131094 WLU131094 WVQ131094 I196630 JE196630 TA196630 ACW196630 AMS196630 AWO196630 BGK196630 BQG196630 CAC196630 CJY196630 CTU196630 DDQ196630 DNM196630 DXI196630 EHE196630 ERA196630 FAW196630 FKS196630 FUO196630 GEK196630 GOG196630 GYC196630 HHY196630 HRU196630 IBQ196630 ILM196630 IVI196630 JFE196630 JPA196630 JYW196630 KIS196630 KSO196630 LCK196630 LMG196630 LWC196630 MFY196630 MPU196630 MZQ196630 NJM196630 NTI196630 ODE196630 ONA196630 OWW196630 PGS196630 PQO196630 QAK196630 QKG196630 QUC196630 RDY196630 RNU196630 RXQ196630 SHM196630 SRI196630 TBE196630 TLA196630 TUW196630 UES196630 UOO196630 UYK196630 VIG196630 VSC196630 WBY196630 WLU196630 WVQ196630 I262166 JE262166 TA262166 ACW262166 AMS262166 AWO262166 BGK262166 BQG262166 CAC262166 CJY262166 CTU262166 DDQ262166 DNM262166 DXI262166 EHE262166 ERA262166 FAW262166 FKS262166 FUO262166 GEK262166 GOG262166 GYC262166 HHY262166 HRU262166 IBQ262166 ILM262166 IVI262166 JFE262166 JPA262166 JYW262166 KIS262166 KSO262166 LCK262166 LMG262166 LWC262166 MFY262166 MPU262166 MZQ262166 NJM262166 NTI262166 ODE262166 ONA262166 OWW262166 PGS262166 PQO262166 QAK262166 QKG262166 QUC262166 RDY262166 RNU262166 RXQ262166 SHM262166 SRI262166 TBE262166 TLA262166 TUW262166 UES262166 UOO262166 UYK262166 VIG262166 VSC262166 WBY262166 WLU262166 WVQ262166 I327702 JE327702 TA327702 ACW327702 AMS327702 AWO327702 BGK327702 BQG327702 CAC327702 CJY327702 CTU327702 DDQ327702 DNM327702 DXI327702 EHE327702 ERA327702 FAW327702 FKS327702 FUO327702 GEK327702 GOG327702 GYC327702 HHY327702 HRU327702 IBQ327702 ILM327702 IVI327702 JFE327702 JPA327702 JYW327702 KIS327702 KSO327702 LCK327702 LMG327702 LWC327702 MFY327702 MPU327702 MZQ327702 NJM327702 NTI327702 ODE327702 ONA327702 OWW327702 PGS327702 PQO327702 QAK327702 QKG327702 QUC327702 RDY327702 RNU327702 RXQ327702 SHM327702 SRI327702 TBE327702 TLA327702 TUW327702 UES327702 UOO327702 UYK327702 VIG327702 VSC327702 WBY327702 WLU327702 WVQ327702 I393238 JE393238 TA393238 ACW393238 AMS393238 AWO393238 BGK393238 BQG393238 CAC393238 CJY393238 CTU393238 DDQ393238 DNM393238 DXI393238 EHE393238 ERA393238 FAW393238 FKS393238 FUO393238 GEK393238 GOG393238 GYC393238 HHY393238 HRU393238 IBQ393238 ILM393238 IVI393238 JFE393238 JPA393238 JYW393238 KIS393238 KSO393238 LCK393238 LMG393238 LWC393238 MFY393238 MPU393238 MZQ393238 NJM393238 NTI393238 ODE393238 ONA393238 OWW393238 PGS393238 PQO393238 QAK393238 QKG393238 QUC393238 RDY393238 RNU393238 RXQ393238 SHM393238 SRI393238 TBE393238 TLA393238 TUW393238 UES393238 UOO393238 UYK393238 VIG393238 VSC393238 WBY393238 WLU393238 WVQ393238 I458774 JE458774 TA458774 ACW458774 AMS458774 AWO458774 BGK458774 BQG458774 CAC458774 CJY458774 CTU458774 DDQ458774 DNM458774 DXI458774 EHE458774 ERA458774 FAW458774 FKS458774 FUO458774 GEK458774 GOG458774 GYC458774 HHY458774 HRU458774 IBQ458774 ILM458774 IVI458774 JFE458774 JPA458774 JYW458774 KIS458774 KSO458774 LCK458774 LMG458774 LWC458774 MFY458774 MPU458774 MZQ458774 NJM458774 NTI458774 ODE458774 ONA458774 OWW458774 PGS458774 PQO458774 QAK458774 QKG458774 QUC458774 RDY458774 RNU458774 RXQ458774 SHM458774 SRI458774 TBE458774 TLA458774 TUW458774 UES458774 UOO458774 UYK458774 VIG458774 VSC458774 WBY458774 WLU458774 WVQ458774 I524310 JE524310 TA524310 ACW524310 AMS524310 AWO524310 BGK524310 BQG524310 CAC524310 CJY524310 CTU524310 DDQ524310 DNM524310 DXI524310 EHE524310 ERA524310 FAW524310 FKS524310 FUO524310 GEK524310 GOG524310 GYC524310 HHY524310 HRU524310 IBQ524310 ILM524310 IVI524310 JFE524310 JPA524310 JYW524310 KIS524310 KSO524310 LCK524310 LMG524310 LWC524310 MFY524310 MPU524310 MZQ524310 NJM524310 NTI524310 ODE524310 ONA524310 OWW524310 PGS524310 PQO524310 QAK524310 QKG524310 QUC524310 RDY524310 RNU524310 RXQ524310 SHM524310 SRI524310 TBE524310 TLA524310 TUW524310 UES524310 UOO524310 UYK524310 VIG524310 VSC524310 WBY524310 WLU524310 WVQ524310 I589846 JE589846 TA589846 ACW589846 AMS589846 AWO589846 BGK589846 BQG589846 CAC589846 CJY589846 CTU589846 DDQ589846 DNM589846 DXI589846 EHE589846 ERA589846 FAW589846 FKS589846 FUO589846 GEK589846 GOG589846 GYC589846 HHY589846 HRU589846 IBQ589846 ILM589846 IVI589846 JFE589846 JPA589846 JYW589846 KIS589846 KSO589846 LCK589846 LMG589846 LWC589846 MFY589846 MPU589846 MZQ589846 NJM589846 NTI589846 ODE589846 ONA589846 OWW589846 PGS589846 PQO589846 QAK589846 QKG589846 QUC589846 RDY589846 RNU589846 RXQ589846 SHM589846 SRI589846 TBE589846 TLA589846 TUW589846 UES589846 UOO589846 UYK589846 VIG589846 VSC589846 WBY589846 WLU589846 WVQ589846 I655382 JE655382 TA655382 ACW655382 AMS655382 AWO655382 BGK655382 BQG655382 CAC655382 CJY655382 CTU655382 DDQ655382 DNM655382 DXI655382 EHE655382 ERA655382 FAW655382 FKS655382 FUO655382 GEK655382 GOG655382 GYC655382 HHY655382 HRU655382 IBQ655382 ILM655382 IVI655382 JFE655382 JPA655382 JYW655382 KIS655382 KSO655382 LCK655382 LMG655382 LWC655382 MFY655382 MPU655382 MZQ655382 NJM655382 NTI655382 ODE655382 ONA655382 OWW655382 PGS655382 PQO655382 QAK655382 QKG655382 QUC655382 RDY655382 RNU655382 RXQ655382 SHM655382 SRI655382 TBE655382 TLA655382 TUW655382 UES655382 UOO655382 UYK655382 VIG655382 VSC655382 WBY655382 WLU655382 WVQ655382 I720918 JE720918 TA720918 ACW720918 AMS720918 AWO720918 BGK720918 BQG720918 CAC720918 CJY720918 CTU720918 DDQ720918 DNM720918 DXI720918 EHE720918 ERA720918 FAW720918 FKS720918 FUO720918 GEK720918 GOG720918 GYC720918 HHY720918 HRU720918 IBQ720918 ILM720918 IVI720918 JFE720918 JPA720918 JYW720918 KIS720918 KSO720918 LCK720918 LMG720918 LWC720918 MFY720918 MPU720918 MZQ720918 NJM720918 NTI720918 ODE720918 ONA720918 OWW720918 PGS720918 PQO720918 QAK720918 QKG720918 QUC720918 RDY720918 RNU720918 RXQ720918 SHM720918 SRI720918 TBE720918 TLA720918 TUW720918 UES720918 UOO720918 UYK720918 VIG720918 VSC720918 WBY720918 WLU720918 WVQ720918 I786454 JE786454 TA786454 ACW786454 AMS786454 AWO786454 BGK786454 BQG786454 CAC786454 CJY786454 CTU786454 DDQ786454 DNM786454 DXI786454 EHE786454 ERA786454 FAW786454 FKS786454 FUO786454 GEK786454 GOG786454 GYC786454 HHY786454 HRU786454 IBQ786454 ILM786454 IVI786454 JFE786454 JPA786454 JYW786454 KIS786454 KSO786454 LCK786454 LMG786454 LWC786454 MFY786454 MPU786454 MZQ786454 NJM786454 NTI786454 ODE786454 ONA786454 OWW786454 PGS786454 PQO786454 QAK786454 QKG786454 QUC786454 RDY786454 RNU786454 RXQ786454 SHM786454 SRI786454 TBE786454 TLA786454 TUW786454 UES786454 UOO786454 UYK786454 VIG786454 VSC786454 WBY786454 WLU786454 WVQ786454 I851990 JE851990 TA851990 ACW851990 AMS851990 AWO851990 BGK851990 BQG851990 CAC851990 CJY851990 CTU851990 DDQ851990 DNM851990 DXI851990 EHE851990 ERA851990 FAW851990 FKS851990 FUO851990 GEK851990 GOG851990 GYC851990 HHY851990 HRU851990 IBQ851990 ILM851990 IVI851990 JFE851990 JPA851990 JYW851990 KIS851990 KSO851990 LCK851990 LMG851990 LWC851990 MFY851990 MPU851990 MZQ851990 NJM851990 NTI851990 ODE851990 ONA851990 OWW851990 PGS851990 PQO851990 QAK851990 QKG851990 QUC851990 RDY851990 RNU851990 RXQ851990 SHM851990 SRI851990 TBE851990 TLA851990 TUW851990 UES851990 UOO851990 UYK851990 VIG851990 VSC851990 WBY851990 WLU851990 WVQ851990 I917526 JE917526 TA917526 ACW917526 AMS917526 AWO917526 BGK917526 BQG917526 CAC917526 CJY917526 CTU917526 DDQ917526 DNM917526 DXI917526 EHE917526 ERA917526 FAW917526 FKS917526 FUO917526 GEK917526 GOG917526 GYC917526 HHY917526 HRU917526 IBQ917526 ILM917526 IVI917526 JFE917526 JPA917526 JYW917526 KIS917526 KSO917526 LCK917526 LMG917526 LWC917526 MFY917526 MPU917526 MZQ917526 NJM917526 NTI917526 ODE917526 ONA917526 OWW917526 PGS917526 PQO917526 QAK917526 QKG917526 QUC917526 RDY917526 RNU917526 RXQ917526 SHM917526 SRI917526 TBE917526 TLA917526 TUW917526 UES917526 UOO917526 UYK917526 VIG917526 VSC917526 WBY917526 WLU917526 WVQ917526 I983062 JE983062 TA983062 ACW983062 AMS983062 AWO983062 BGK983062 BQG983062 CAC983062 CJY983062 CTU983062 DDQ983062 DNM983062 DXI983062 EHE983062 ERA983062 FAW983062 FKS983062 FUO983062 GEK983062 GOG983062 GYC983062 HHY983062 HRU983062 IBQ983062 ILM983062 IVI983062 JFE983062 JPA983062 JYW983062 KIS983062 KSO983062 LCK983062 LMG983062 LWC983062 MFY983062 MPU983062 MZQ983062 NJM983062 NTI983062 ODE983062 ONA983062 OWW983062 PGS983062 PQO983062 QAK983062 QKG983062 QUC983062 RDY983062 RNU983062 RXQ983062 SHM983062 SRI983062 TBE983062 TLA983062 TUW983062 UES983062 UOO983062 UYK983062 VIG983062 VSC983062 WBY983062" xr:uid="{00000000-0002-0000-0000-000002000000}"/>
    <dataValidation errorStyle="warning" allowBlank="1" showInputMessage="1" errorTitle="State" promptTitle="State" prompt="Enter the state abbreviation into this cell." sqref="WVM983074 JA15 SW15 ACS15 AMO15 AWK15 BGG15 BQC15 BZY15 CJU15 CTQ15 DDM15 DNI15 DXE15 EHA15 EQW15 FAS15 FKO15 FUK15 GEG15 GOC15 GXY15 HHU15 HRQ15 IBM15 ILI15 IVE15 JFA15 JOW15 JYS15 KIO15 KSK15 LCG15 LMC15 LVY15 MFU15 MPQ15 MZM15 NJI15 NTE15 ODA15 OMW15 OWS15 PGO15 PQK15 QAG15 QKC15 QTY15 RDU15 RNQ15 RXM15 SHI15 SRE15 TBA15 TKW15 TUS15 UEO15 UOK15 UYG15 VIC15 VRY15 WBU15 WLQ15 WVM15 E65570 JA65570 SW65570 ACS65570 AMO65570 AWK65570 BGG65570 BQC65570 BZY65570 CJU65570 CTQ65570 DDM65570 DNI65570 DXE65570 EHA65570 EQW65570 FAS65570 FKO65570 FUK65570 GEG65570 GOC65570 GXY65570 HHU65570 HRQ65570 IBM65570 ILI65570 IVE65570 JFA65570 JOW65570 JYS65570 KIO65570 KSK65570 LCG65570 LMC65570 LVY65570 MFU65570 MPQ65570 MZM65570 NJI65570 NTE65570 ODA65570 OMW65570 OWS65570 PGO65570 PQK65570 QAG65570 QKC65570 QTY65570 RDU65570 RNQ65570 RXM65570 SHI65570 SRE65570 TBA65570 TKW65570 TUS65570 UEO65570 UOK65570 UYG65570 VIC65570 VRY65570 WBU65570 WLQ65570 WVM65570 E131106 JA131106 SW131106 ACS131106 AMO131106 AWK131106 BGG131106 BQC131106 BZY131106 CJU131106 CTQ131106 DDM131106 DNI131106 DXE131106 EHA131106 EQW131106 FAS131106 FKO131106 FUK131106 GEG131106 GOC131106 GXY131106 HHU131106 HRQ131106 IBM131106 ILI131106 IVE131106 JFA131106 JOW131106 JYS131106 KIO131106 KSK131106 LCG131106 LMC131106 LVY131106 MFU131106 MPQ131106 MZM131106 NJI131106 NTE131106 ODA131106 OMW131106 OWS131106 PGO131106 PQK131106 QAG131106 QKC131106 QTY131106 RDU131106 RNQ131106 RXM131106 SHI131106 SRE131106 TBA131106 TKW131106 TUS131106 UEO131106 UOK131106 UYG131106 VIC131106 VRY131106 WBU131106 WLQ131106 WVM131106 E196642 JA196642 SW196642 ACS196642 AMO196642 AWK196642 BGG196642 BQC196642 BZY196642 CJU196642 CTQ196642 DDM196642 DNI196642 DXE196642 EHA196642 EQW196642 FAS196642 FKO196642 FUK196642 GEG196642 GOC196642 GXY196642 HHU196642 HRQ196642 IBM196642 ILI196642 IVE196642 JFA196642 JOW196642 JYS196642 KIO196642 KSK196642 LCG196642 LMC196642 LVY196642 MFU196642 MPQ196642 MZM196642 NJI196642 NTE196642 ODA196642 OMW196642 OWS196642 PGO196642 PQK196642 QAG196642 QKC196642 QTY196642 RDU196642 RNQ196642 RXM196642 SHI196642 SRE196642 TBA196642 TKW196642 TUS196642 UEO196642 UOK196642 UYG196642 VIC196642 VRY196642 WBU196642 WLQ196642 WVM196642 E262178 JA262178 SW262178 ACS262178 AMO262178 AWK262178 BGG262178 BQC262178 BZY262178 CJU262178 CTQ262178 DDM262178 DNI262178 DXE262178 EHA262178 EQW262178 FAS262178 FKO262178 FUK262178 GEG262178 GOC262178 GXY262178 HHU262178 HRQ262178 IBM262178 ILI262178 IVE262178 JFA262178 JOW262178 JYS262178 KIO262178 KSK262178 LCG262178 LMC262178 LVY262178 MFU262178 MPQ262178 MZM262178 NJI262178 NTE262178 ODA262178 OMW262178 OWS262178 PGO262178 PQK262178 QAG262178 QKC262178 QTY262178 RDU262178 RNQ262178 RXM262178 SHI262178 SRE262178 TBA262178 TKW262178 TUS262178 UEO262178 UOK262178 UYG262178 VIC262178 VRY262178 WBU262178 WLQ262178 WVM262178 E327714 JA327714 SW327714 ACS327714 AMO327714 AWK327714 BGG327714 BQC327714 BZY327714 CJU327714 CTQ327714 DDM327714 DNI327714 DXE327714 EHA327714 EQW327714 FAS327714 FKO327714 FUK327714 GEG327714 GOC327714 GXY327714 HHU327714 HRQ327714 IBM327714 ILI327714 IVE327714 JFA327714 JOW327714 JYS327714 KIO327714 KSK327714 LCG327714 LMC327714 LVY327714 MFU327714 MPQ327714 MZM327714 NJI327714 NTE327714 ODA327714 OMW327714 OWS327714 PGO327714 PQK327714 QAG327714 QKC327714 QTY327714 RDU327714 RNQ327714 RXM327714 SHI327714 SRE327714 TBA327714 TKW327714 TUS327714 UEO327714 UOK327714 UYG327714 VIC327714 VRY327714 WBU327714 WLQ327714 WVM327714 E393250 JA393250 SW393250 ACS393250 AMO393250 AWK393250 BGG393250 BQC393250 BZY393250 CJU393250 CTQ393250 DDM393250 DNI393250 DXE393250 EHA393250 EQW393250 FAS393250 FKO393250 FUK393250 GEG393250 GOC393250 GXY393250 HHU393250 HRQ393250 IBM393250 ILI393250 IVE393250 JFA393250 JOW393250 JYS393250 KIO393250 KSK393250 LCG393250 LMC393250 LVY393250 MFU393250 MPQ393250 MZM393250 NJI393250 NTE393250 ODA393250 OMW393250 OWS393250 PGO393250 PQK393250 QAG393250 QKC393250 QTY393250 RDU393250 RNQ393250 RXM393250 SHI393250 SRE393250 TBA393250 TKW393250 TUS393250 UEO393250 UOK393250 UYG393250 VIC393250 VRY393250 WBU393250 WLQ393250 WVM393250 E458786 JA458786 SW458786 ACS458786 AMO458786 AWK458786 BGG458786 BQC458786 BZY458786 CJU458786 CTQ458786 DDM458786 DNI458786 DXE458786 EHA458786 EQW458786 FAS458786 FKO458786 FUK458786 GEG458786 GOC458786 GXY458786 HHU458786 HRQ458786 IBM458786 ILI458786 IVE458786 JFA458786 JOW458786 JYS458786 KIO458786 KSK458786 LCG458786 LMC458786 LVY458786 MFU458786 MPQ458786 MZM458786 NJI458786 NTE458786 ODA458786 OMW458786 OWS458786 PGO458786 PQK458786 QAG458786 QKC458786 QTY458786 RDU458786 RNQ458786 RXM458786 SHI458786 SRE458786 TBA458786 TKW458786 TUS458786 UEO458786 UOK458786 UYG458786 VIC458786 VRY458786 WBU458786 WLQ458786 WVM458786 E524322 JA524322 SW524322 ACS524322 AMO524322 AWK524322 BGG524322 BQC524322 BZY524322 CJU524322 CTQ524322 DDM524322 DNI524322 DXE524322 EHA524322 EQW524322 FAS524322 FKO524322 FUK524322 GEG524322 GOC524322 GXY524322 HHU524322 HRQ524322 IBM524322 ILI524322 IVE524322 JFA524322 JOW524322 JYS524322 KIO524322 KSK524322 LCG524322 LMC524322 LVY524322 MFU524322 MPQ524322 MZM524322 NJI524322 NTE524322 ODA524322 OMW524322 OWS524322 PGO524322 PQK524322 QAG524322 QKC524322 QTY524322 RDU524322 RNQ524322 RXM524322 SHI524322 SRE524322 TBA524322 TKW524322 TUS524322 UEO524322 UOK524322 UYG524322 VIC524322 VRY524322 WBU524322 WLQ524322 WVM524322 E589858 JA589858 SW589858 ACS589858 AMO589858 AWK589858 BGG589858 BQC589858 BZY589858 CJU589858 CTQ589858 DDM589858 DNI589858 DXE589858 EHA589858 EQW589858 FAS589858 FKO589858 FUK589858 GEG589858 GOC589858 GXY589858 HHU589858 HRQ589858 IBM589858 ILI589858 IVE589858 JFA589858 JOW589858 JYS589858 KIO589858 KSK589858 LCG589858 LMC589858 LVY589858 MFU589858 MPQ589858 MZM589858 NJI589858 NTE589858 ODA589858 OMW589858 OWS589858 PGO589858 PQK589858 QAG589858 QKC589858 QTY589858 RDU589858 RNQ589858 RXM589858 SHI589858 SRE589858 TBA589858 TKW589858 TUS589858 UEO589858 UOK589858 UYG589858 VIC589858 VRY589858 WBU589858 WLQ589858 WVM589858 E655394 JA655394 SW655394 ACS655394 AMO655394 AWK655394 BGG655394 BQC655394 BZY655394 CJU655394 CTQ655394 DDM655394 DNI655394 DXE655394 EHA655394 EQW655394 FAS655394 FKO655394 FUK655394 GEG655394 GOC655394 GXY655394 HHU655394 HRQ655394 IBM655394 ILI655394 IVE655394 JFA655394 JOW655394 JYS655394 KIO655394 KSK655394 LCG655394 LMC655394 LVY655394 MFU655394 MPQ655394 MZM655394 NJI655394 NTE655394 ODA655394 OMW655394 OWS655394 PGO655394 PQK655394 QAG655394 QKC655394 QTY655394 RDU655394 RNQ655394 RXM655394 SHI655394 SRE655394 TBA655394 TKW655394 TUS655394 UEO655394 UOK655394 UYG655394 VIC655394 VRY655394 WBU655394 WLQ655394 WVM655394 E720930 JA720930 SW720930 ACS720930 AMO720930 AWK720930 BGG720930 BQC720930 BZY720930 CJU720930 CTQ720930 DDM720930 DNI720930 DXE720930 EHA720930 EQW720930 FAS720930 FKO720930 FUK720930 GEG720930 GOC720930 GXY720930 HHU720930 HRQ720930 IBM720930 ILI720930 IVE720930 JFA720930 JOW720930 JYS720930 KIO720930 KSK720930 LCG720930 LMC720930 LVY720930 MFU720930 MPQ720930 MZM720930 NJI720930 NTE720930 ODA720930 OMW720930 OWS720930 PGO720930 PQK720930 QAG720930 QKC720930 QTY720930 RDU720930 RNQ720930 RXM720930 SHI720930 SRE720930 TBA720930 TKW720930 TUS720930 UEO720930 UOK720930 UYG720930 VIC720930 VRY720930 WBU720930 WLQ720930 WVM720930 E786466 JA786466 SW786466 ACS786466 AMO786466 AWK786466 BGG786466 BQC786466 BZY786466 CJU786466 CTQ786466 DDM786466 DNI786466 DXE786466 EHA786466 EQW786466 FAS786466 FKO786466 FUK786466 GEG786466 GOC786466 GXY786466 HHU786466 HRQ786466 IBM786466 ILI786466 IVE786466 JFA786466 JOW786466 JYS786466 KIO786466 KSK786466 LCG786466 LMC786466 LVY786466 MFU786466 MPQ786466 MZM786466 NJI786466 NTE786466 ODA786466 OMW786466 OWS786466 PGO786466 PQK786466 QAG786466 QKC786466 QTY786466 RDU786466 RNQ786466 RXM786466 SHI786466 SRE786466 TBA786466 TKW786466 TUS786466 UEO786466 UOK786466 UYG786466 VIC786466 VRY786466 WBU786466 WLQ786466 WVM786466 E852002 JA852002 SW852002 ACS852002 AMO852002 AWK852002 BGG852002 BQC852002 BZY852002 CJU852002 CTQ852002 DDM852002 DNI852002 DXE852002 EHA852002 EQW852002 FAS852002 FKO852002 FUK852002 GEG852002 GOC852002 GXY852002 HHU852002 HRQ852002 IBM852002 ILI852002 IVE852002 JFA852002 JOW852002 JYS852002 KIO852002 KSK852002 LCG852002 LMC852002 LVY852002 MFU852002 MPQ852002 MZM852002 NJI852002 NTE852002 ODA852002 OMW852002 OWS852002 PGO852002 PQK852002 QAG852002 QKC852002 QTY852002 RDU852002 RNQ852002 RXM852002 SHI852002 SRE852002 TBA852002 TKW852002 TUS852002 UEO852002 UOK852002 UYG852002 VIC852002 VRY852002 WBU852002 WLQ852002 WVM852002 E917538 JA917538 SW917538 ACS917538 AMO917538 AWK917538 BGG917538 BQC917538 BZY917538 CJU917538 CTQ917538 DDM917538 DNI917538 DXE917538 EHA917538 EQW917538 FAS917538 FKO917538 FUK917538 GEG917538 GOC917538 GXY917538 HHU917538 HRQ917538 IBM917538 ILI917538 IVE917538 JFA917538 JOW917538 JYS917538 KIO917538 KSK917538 LCG917538 LMC917538 LVY917538 MFU917538 MPQ917538 MZM917538 NJI917538 NTE917538 ODA917538 OMW917538 OWS917538 PGO917538 PQK917538 QAG917538 QKC917538 QTY917538 RDU917538 RNQ917538 RXM917538 SHI917538 SRE917538 TBA917538 TKW917538 TUS917538 UEO917538 UOK917538 UYG917538 VIC917538 VRY917538 WBU917538 WLQ917538 WVM917538 E983074 JA983074 SW983074 ACS983074 AMO983074 AWK983074 BGG983074 BQC983074 BZY983074 CJU983074 CTQ983074 DDM983074 DNI983074 DXE983074 EHA983074 EQW983074 FAS983074 FKO983074 FUK983074 GEG983074 GOC983074 GXY983074 HHU983074 HRQ983074 IBM983074 ILI983074 IVE983074 JFA983074 JOW983074 JYS983074 KIO983074 KSK983074 LCG983074 LMC983074 LVY983074 MFU983074 MPQ983074 MZM983074 NJI983074 NTE983074 ODA983074 OMW983074 OWS983074 PGO983074 PQK983074 QAG983074 QKC983074 QTY983074 RDU983074 RNQ983074 RXM983074 SHI983074 SRE983074 TBA983074 TKW983074 TUS983074 UEO983074 UOK983074 UYG983074 VIC983074 VRY983074 WBU983074 WLQ983074" xr:uid="{00000000-0002-0000-0000-000003000000}"/>
    <dataValidation allowBlank="1" showInputMessage="1" showErrorMessage="1" promptTitle="Name" prompt="Enter the customer's name as it appears on the credit card." sqref="WVK983113:WVM983113 IY73:JA73 SU73:SW73 ACQ73:ACS73 AMM73:AMO73 AWI73:AWK73 BGE73:BGG73 BQA73:BQC73 BZW73:BZY73 CJS73:CJU73 CTO73:CTQ73 DDK73:DDM73 DNG73:DNI73 DXC73:DXE73 EGY73:EHA73 EQU73:EQW73 FAQ73:FAS73 FKM73:FKO73 FUI73:FUK73 GEE73:GEG73 GOA73:GOC73 GXW73:GXY73 HHS73:HHU73 HRO73:HRQ73 IBK73:IBM73 ILG73:ILI73 IVC73:IVE73 JEY73:JFA73 JOU73:JOW73 JYQ73:JYS73 KIM73:KIO73 KSI73:KSK73 LCE73:LCG73 LMA73:LMC73 LVW73:LVY73 MFS73:MFU73 MPO73:MPQ73 MZK73:MZM73 NJG73:NJI73 NTC73:NTE73 OCY73:ODA73 OMU73:OMW73 OWQ73:OWS73 PGM73:PGO73 PQI73:PQK73 QAE73:QAG73 QKA73:QKC73 QTW73:QTY73 RDS73:RDU73 RNO73:RNQ73 RXK73:RXM73 SHG73:SHI73 SRC73:SRE73 TAY73:TBA73 TKU73:TKW73 TUQ73:TUS73 UEM73:UEO73 UOI73:UOK73 UYE73:UYG73 VIA73:VIC73 VRW73:VRY73 WBS73:WBU73 WLO73:WLQ73 WVK73:WVM73 C65609:E65609 IY65609:JA65609 SU65609:SW65609 ACQ65609:ACS65609 AMM65609:AMO65609 AWI65609:AWK65609 BGE65609:BGG65609 BQA65609:BQC65609 BZW65609:BZY65609 CJS65609:CJU65609 CTO65609:CTQ65609 DDK65609:DDM65609 DNG65609:DNI65609 DXC65609:DXE65609 EGY65609:EHA65609 EQU65609:EQW65609 FAQ65609:FAS65609 FKM65609:FKO65609 FUI65609:FUK65609 GEE65609:GEG65609 GOA65609:GOC65609 GXW65609:GXY65609 HHS65609:HHU65609 HRO65609:HRQ65609 IBK65609:IBM65609 ILG65609:ILI65609 IVC65609:IVE65609 JEY65609:JFA65609 JOU65609:JOW65609 JYQ65609:JYS65609 KIM65609:KIO65609 KSI65609:KSK65609 LCE65609:LCG65609 LMA65609:LMC65609 LVW65609:LVY65609 MFS65609:MFU65609 MPO65609:MPQ65609 MZK65609:MZM65609 NJG65609:NJI65609 NTC65609:NTE65609 OCY65609:ODA65609 OMU65609:OMW65609 OWQ65609:OWS65609 PGM65609:PGO65609 PQI65609:PQK65609 QAE65609:QAG65609 QKA65609:QKC65609 QTW65609:QTY65609 RDS65609:RDU65609 RNO65609:RNQ65609 RXK65609:RXM65609 SHG65609:SHI65609 SRC65609:SRE65609 TAY65609:TBA65609 TKU65609:TKW65609 TUQ65609:TUS65609 UEM65609:UEO65609 UOI65609:UOK65609 UYE65609:UYG65609 VIA65609:VIC65609 VRW65609:VRY65609 WBS65609:WBU65609 WLO65609:WLQ65609 WVK65609:WVM65609 C131145:E131145 IY131145:JA131145 SU131145:SW131145 ACQ131145:ACS131145 AMM131145:AMO131145 AWI131145:AWK131145 BGE131145:BGG131145 BQA131145:BQC131145 BZW131145:BZY131145 CJS131145:CJU131145 CTO131145:CTQ131145 DDK131145:DDM131145 DNG131145:DNI131145 DXC131145:DXE131145 EGY131145:EHA131145 EQU131145:EQW131145 FAQ131145:FAS131145 FKM131145:FKO131145 FUI131145:FUK131145 GEE131145:GEG131145 GOA131145:GOC131145 GXW131145:GXY131145 HHS131145:HHU131145 HRO131145:HRQ131145 IBK131145:IBM131145 ILG131145:ILI131145 IVC131145:IVE131145 JEY131145:JFA131145 JOU131145:JOW131145 JYQ131145:JYS131145 KIM131145:KIO131145 KSI131145:KSK131145 LCE131145:LCG131145 LMA131145:LMC131145 LVW131145:LVY131145 MFS131145:MFU131145 MPO131145:MPQ131145 MZK131145:MZM131145 NJG131145:NJI131145 NTC131145:NTE131145 OCY131145:ODA131145 OMU131145:OMW131145 OWQ131145:OWS131145 PGM131145:PGO131145 PQI131145:PQK131145 QAE131145:QAG131145 QKA131145:QKC131145 QTW131145:QTY131145 RDS131145:RDU131145 RNO131145:RNQ131145 RXK131145:RXM131145 SHG131145:SHI131145 SRC131145:SRE131145 TAY131145:TBA131145 TKU131145:TKW131145 TUQ131145:TUS131145 UEM131145:UEO131145 UOI131145:UOK131145 UYE131145:UYG131145 VIA131145:VIC131145 VRW131145:VRY131145 WBS131145:WBU131145 WLO131145:WLQ131145 WVK131145:WVM131145 C196681:E196681 IY196681:JA196681 SU196681:SW196681 ACQ196681:ACS196681 AMM196681:AMO196681 AWI196681:AWK196681 BGE196681:BGG196681 BQA196681:BQC196681 BZW196681:BZY196681 CJS196681:CJU196681 CTO196681:CTQ196681 DDK196681:DDM196681 DNG196681:DNI196681 DXC196681:DXE196681 EGY196681:EHA196681 EQU196681:EQW196681 FAQ196681:FAS196681 FKM196681:FKO196681 FUI196681:FUK196681 GEE196681:GEG196681 GOA196681:GOC196681 GXW196681:GXY196681 HHS196681:HHU196681 HRO196681:HRQ196681 IBK196681:IBM196681 ILG196681:ILI196681 IVC196681:IVE196681 JEY196681:JFA196681 JOU196681:JOW196681 JYQ196681:JYS196681 KIM196681:KIO196681 KSI196681:KSK196681 LCE196681:LCG196681 LMA196681:LMC196681 LVW196681:LVY196681 MFS196681:MFU196681 MPO196681:MPQ196681 MZK196681:MZM196681 NJG196681:NJI196681 NTC196681:NTE196681 OCY196681:ODA196681 OMU196681:OMW196681 OWQ196681:OWS196681 PGM196681:PGO196681 PQI196681:PQK196681 QAE196681:QAG196681 QKA196681:QKC196681 QTW196681:QTY196681 RDS196681:RDU196681 RNO196681:RNQ196681 RXK196681:RXM196681 SHG196681:SHI196681 SRC196681:SRE196681 TAY196681:TBA196681 TKU196681:TKW196681 TUQ196681:TUS196681 UEM196681:UEO196681 UOI196681:UOK196681 UYE196681:UYG196681 VIA196681:VIC196681 VRW196681:VRY196681 WBS196681:WBU196681 WLO196681:WLQ196681 WVK196681:WVM196681 C262217:E262217 IY262217:JA262217 SU262217:SW262217 ACQ262217:ACS262217 AMM262217:AMO262217 AWI262217:AWK262217 BGE262217:BGG262217 BQA262217:BQC262217 BZW262217:BZY262217 CJS262217:CJU262217 CTO262217:CTQ262217 DDK262217:DDM262217 DNG262217:DNI262217 DXC262217:DXE262217 EGY262217:EHA262217 EQU262217:EQW262217 FAQ262217:FAS262217 FKM262217:FKO262217 FUI262217:FUK262217 GEE262217:GEG262217 GOA262217:GOC262217 GXW262217:GXY262217 HHS262217:HHU262217 HRO262217:HRQ262217 IBK262217:IBM262217 ILG262217:ILI262217 IVC262217:IVE262217 JEY262217:JFA262217 JOU262217:JOW262217 JYQ262217:JYS262217 KIM262217:KIO262217 KSI262217:KSK262217 LCE262217:LCG262217 LMA262217:LMC262217 LVW262217:LVY262217 MFS262217:MFU262217 MPO262217:MPQ262217 MZK262217:MZM262217 NJG262217:NJI262217 NTC262217:NTE262217 OCY262217:ODA262217 OMU262217:OMW262217 OWQ262217:OWS262217 PGM262217:PGO262217 PQI262217:PQK262217 QAE262217:QAG262217 QKA262217:QKC262217 QTW262217:QTY262217 RDS262217:RDU262217 RNO262217:RNQ262217 RXK262217:RXM262217 SHG262217:SHI262217 SRC262217:SRE262217 TAY262217:TBA262217 TKU262217:TKW262217 TUQ262217:TUS262217 UEM262217:UEO262217 UOI262217:UOK262217 UYE262217:UYG262217 VIA262217:VIC262217 VRW262217:VRY262217 WBS262217:WBU262217 WLO262217:WLQ262217 WVK262217:WVM262217 C327753:E327753 IY327753:JA327753 SU327753:SW327753 ACQ327753:ACS327753 AMM327753:AMO327753 AWI327753:AWK327753 BGE327753:BGG327753 BQA327753:BQC327753 BZW327753:BZY327753 CJS327753:CJU327753 CTO327753:CTQ327753 DDK327753:DDM327753 DNG327753:DNI327753 DXC327753:DXE327753 EGY327753:EHA327753 EQU327753:EQW327753 FAQ327753:FAS327753 FKM327753:FKO327753 FUI327753:FUK327753 GEE327753:GEG327753 GOA327753:GOC327753 GXW327753:GXY327753 HHS327753:HHU327753 HRO327753:HRQ327753 IBK327753:IBM327753 ILG327753:ILI327753 IVC327753:IVE327753 JEY327753:JFA327753 JOU327753:JOW327753 JYQ327753:JYS327753 KIM327753:KIO327753 KSI327753:KSK327753 LCE327753:LCG327753 LMA327753:LMC327753 LVW327753:LVY327753 MFS327753:MFU327753 MPO327753:MPQ327753 MZK327753:MZM327753 NJG327753:NJI327753 NTC327753:NTE327753 OCY327753:ODA327753 OMU327753:OMW327753 OWQ327753:OWS327753 PGM327753:PGO327753 PQI327753:PQK327753 QAE327753:QAG327753 QKA327753:QKC327753 QTW327753:QTY327753 RDS327753:RDU327753 RNO327753:RNQ327753 RXK327753:RXM327753 SHG327753:SHI327753 SRC327753:SRE327753 TAY327753:TBA327753 TKU327753:TKW327753 TUQ327753:TUS327753 UEM327753:UEO327753 UOI327753:UOK327753 UYE327753:UYG327753 VIA327753:VIC327753 VRW327753:VRY327753 WBS327753:WBU327753 WLO327753:WLQ327753 WVK327753:WVM327753 C393289:E393289 IY393289:JA393289 SU393289:SW393289 ACQ393289:ACS393289 AMM393289:AMO393289 AWI393289:AWK393289 BGE393289:BGG393289 BQA393289:BQC393289 BZW393289:BZY393289 CJS393289:CJU393289 CTO393289:CTQ393289 DDK393289:DDM393289 DNG393289:DNI393289 DXC393289:DXE393289 EGY393289:EHA393289 EQU393289:EQW393289 FAQ393289:FAS393289 FKM393289:FKO393289 FUI393289:FUK393289 GEE393289:GEG393289 GOA393289:GOC393289 GXW393289:GXY393289 HHS393289:HHU393289 HRO393289:HRQ393289 IBK393289:IBM393289 ILG393289:ILI393289 IVC393289:IVE393289 JEY393289:JFA393289 JOU393289:JOW393289 JYQ393289:JYS393289 KIM393289:KIO393289 KSI393289:KSK393289 LCE393289:LCG393289 LMA393289:LMC393289 LVW393289:LVY393289 MFS393289:MFU393289 MPO393289:MPQ393289 MZK393289:MZM393289 NJG393289:NJI393289 NTC393289:NTE393289 OCY393289:ODA393289 OMU393289:OMW393289 OWQ393289:OWS393289 PGM393289:PGO393289 PQI393289:PQK393289 QAE393289:QAG393289 QKA393289:QKC393289 QTW393289:QTY393289 RDS393289:RDU393289 RNO393289:RNQ393289 RXK393289:RXM393289 SHG393289:SHI393289 SRC393289:SRE393289 TAY393289:TBA393289 TKU393289:TKW393289 TUQ393289:TUS393289 UEM393289:UEO393289 UOI393289:UOK393289 UYE393289:UYG393289 VIA393289:VIC393289 VRW393289:VRY393289 WBS393289:WBU393289 WLO393289:WLQ393289 WVK393289:WVM393289 C458825:E458825 IY458825:JA458825 SU458825:SW458825 ACQ458825:ACS458825 AMM458825:AMO458825 AWI458825:AWK458825 BGE458825:BGG458825 BQA458825:BQC458825 BZW458825:BZY458825 CJS458825:CJU458825 CTO458825:CTQ458825 DDK458825:DDM458825 DNG458825:DNI458825 DXC458825:DXE458825 EGY458825:EHA458825 EQU458825:EQW458825 FAQ458825:FAS458825 FKM458825:FKO458825 FUI458825:FUK458825 GEE458825:GEG458825 GOA458825:GOC458825 GXW458825:GXY458825 HHS458825:HHU458825 HRO458825:HRQ458825 IBK458825:IBM458825 ILG458825:ILI458825 IVC458825:IVE458825 JEY458825:JFA458825 JOU458825:JOW458825 JYQ458825:JYS458825 KIM458825:KIO458825 KSI458825:KSK458825 LCE458825:LCG458825 LMA458825:LMC458825 LVW458825:LVY458825 MFS458825:MFU458825 MPO458825:MPQ458825 MZK458825:MZM458825 NJG458825:NJI458825 NTC458825:NTE458825 OCY458825:ODA458825 OMU458825:OMW458825 OWQ458825:OWS458825 PGM458825:PGO458825 PQI458825:PQK458825 QAE458825:QAG458825 QKA458825:QKC458825 QTW458825:QTY458825 RDS458825:RDU458825 RNO458825:RNQ458825 RXK458825:RXM458825 SHG458825:SHI458825 SRC458825:SRE458825 TAY458825:TBA458825 TKU458825:TKW458825 TUQ458825:TUS458825 UEM458825:UEO458825 UOI458825:UOK458825 UYE458825:UYG458825 VIA458825:VIC458825 VRW458825:VRY458825 WBS458825:WBU458825 WLO458825:WLQ458825 WVK458825:WVM458825 C524361:E524361 IY524361:JA524361 SU524361:SW524361 ACQ524361:ACS524361 AMM524361:AMO524361 AWI524361:AWK524361 BGE524361:BGG524361 BQA524361:BQC524361 BZW524361:BZY524361 CJS524361:CJU524361 CTO524361:CTQ524361 DDK524361:DDM524361 DNG524361:DNI524361 DXC524361:DXE524361 EGY524361:EHA524361 EQU524361:EQW524361 FAQ524361:FAS524361 FKM524361:FKO524361 FUI524361:FUK524361 GEE524361:GEG524361 GOA524361:GOC524361 GXW524361:GXY524361 HHS524361:HHU524361 HRO524361:HRQ524361 IBK524361:IBM524361 ILG524361:ILI524361 IVC524361:IVE524361 JEY524361:JFA524361 JOU524361:JOW524361 JYQ524361:JYS524361 KIM524361:KIO524361 KSI524361:KSK524361 LCE524361:LCG524361 LMA524361:LMC524361 LVW524361:LVY524361 MFS524361:MFU524361 MPO524361:MPQ524361 MZK524361:MZM524361 NJG524361:NJI524361 NTC524361:NTE524361 OCY524361:ODA524361 OMU524361:OMW524361 OWQ524361:OWS524361 PGM524361:PGO524361 PQI524361:PQK524361 QAE524361:QAG524361 QKA524361:QKC524361 QTW524361:QTY524361 RDS524361:RDU524361 RNO524361:RNQ524361 RXK524361:RXM524361 SHG524361:SHI524361 SRC524361:SRE524361 TAY524361:TBA524361 TKU524361:TKW524361 TUQ524361:TUS524361 UEM524361:UEO524361 UOI524361:UOK524361 UYE524361:UYG524361 VIA524361:VIC524361 VRW524361:VRY524361 WBS524361:WBU524361 WLO524361:WLQ524361 WVK524361:WVM524361 C589897:E589897 IY589897:JA589897 SU589897:SW589897 ACQ589897:ACS589897 AMM589897:AMO589897 AWI589897:AWK589897 BGE589897:BGG589897 BQA589897:BQC589897 BZW589897:BZY589897 CJS589897:CJU589897 CTO589897:CTQ589897 DDK589897:DDM589897 DNG589897:DNI589897 DXC589897:DXE589897 EGY589897:EHA589897 EQU589897:EQW589897 FAQ589897:FAS589897 FKM589897:FKO589897 FUI589897:FUK589897 GEE589897:GEG589897 GOA589897:GOC589897 GXW589897:GXY589897 HHS589897:HHU589897 HRO589897:HRQ589897 IBK589897:IBM589897 ILG589897:ILI589897 IVC589897:IVE589897 JEY589897:JFA589897 JOU589897:JOW589897 JYQ589897:JYS589897 KIM589897:KIO589897 KSI589897:KSK589897 LCE589897:LCG589897 LMA589897:LMC589897 LVW589897:LVY589897 MFS589897:MFU589897 MPO589897:MPQ589897 MZK589897:MZM589897 NJG589897:NJI589897 NTC589897:NTE589897 OCY589897:ODA589897 OMU589897:OMW589897 OWQ589897:OWS589897 PGM589897:PGO589897 PQI589897:PQK589897 QAE589897:QAG589897 QKA589897:QKC589897 QTW589897:QTY589897 RDS589897:RDU589897 RNO589897:RNQ589897 RXK589897:RXM589897 SHG589897:SHI589897 SRC589897:SRE589897 TAY589897:TBA589897 TKU589897:TKW589897 TUQ589897:TUS589897 UEM589897:UEO589897 UOI589897:UOK589897 UYE589897:UYG589897 VIA589897:VIC589897 VRW589897:VRY589897 WBS589897:WBU589897 WLO589897:WLQ589897 WVK589897:WVM589897 C655433:E655433 IY655433:JA655433 SU655433:SW655433 ACQ655433:ACS655433 AMM655433:AMO655433 AWI655433:AWK655433 BGE655433:BGG655433 BQA655433:BQC655433 BZW655433:BZY655433 CJS655433:CJU655433 CTO655433:CTQ655433 DDK655433:DDM655433 DNG655433:DNI655433 DXC655433:DXE655433 EGY655433:EHA655433 EQU655433:EQW655433 FAQ655433:FAS655433 FKM655433:FKO655433 FUI655433:FUK655433 GEE655433:GEG655433 GOA655433:GOC655433 GXW655433:GXY655433 HHS655433:HHU655433 HRO655433:HRQ655433 IBK655433:IBM655433 ILG655433:ILI655433 IVC655433:IVE655433 JEY655433:JFA655433 JOU655433:JOW655433 JYQ655433:JYS655433 KIM655433:KIO655433 KSI655433:KSK655433 LCE655433:LCG655433 LMA655433:LMC655433 LVW655433:LVY655433 MFS655433:MFU655433 MPO655433:MPQ655433 MZK655433:MZM655433 NJG655433:NJI655433 NTC655433:NTE655433 OCY655433:ODA655433 OMU655433:OMW655433 OWQ655433:OWS655433 PGM655433:PGO655433 PQI655433:PQK655433 QAE655433:QAG655433 QKA655433:QKC655433 QTW655433:QTY655433 RDS655433:RDU655433 RNO655433:RNQ655433 RXK655433:RXM655433 SHG655433:SHI655433 SRC655433:SRE655433 TAY655433:TBA655433 TKU655433:TKW655433 TUQ655433:TUS655433 UEM655433:UEO655433 UOI655433:UOK655433 UYE655433:UYG655433 VIA655433:VIC655433 VRW655433:VRY655433 WBS655433:WBU655433 WLO655433:WLQ655433 WVK655433:WVM655433 C720969:E720969 IY720969:JA720969 SU720969:SW720969 ACQ720969:ACS720969 AMM720969:AMO720969 AWI720969:AWK720969 BGE720969:BGG720969 BQA720969:BQC720969 BZW720969:BZY720969 CJS720969:CJU720969 CTO720969:CTQ720969 DDK720969:DDM720969 DNG720969:DNI720969 DXC720969:DXE720969 EGY720969:EHA720969 EQU720969:EQW720969 FAQ720969:FAS720969 FKM720969:FKO720969 FUI720969:FUK720969 GEE720969:GEG720969 GOA720969:GOC720969 GXW720969:GXY720969 HHS720969:HHU720969 HRO720969:HRQ720969 IBK720969:IBM720969 ILG720969:ILI720969 IVC720969:IVE720969 JEY720969:JFA720969 JOU720969:JOW720969 JYQ720969:JYS720969 KIM720969:KIO720969 KSI720969:KSK720969 LCE720969:LCG720969 LMA720969:LMC720969 LVW720969:LVY720969 MFS720969:MFU720969 MPO720969:MPQ720969 MZK720969:MZM720969 NJG720969:NJI720969 NTC720969:NTE720969 OCY720969:ODA720969 OMU720969:OMW720969 OWQ720969:OWS720969 PGM720969:PGO720969 PQI720969:PQK720969 QAE720969:QAG720969 QKA720969:QKC720969 QTW720969:QTY720969 RDS720969:RDU720969 RNO720969:RNQ720969 RXK720969:RXM720969 SHG720969:SHI720969 SRC720969:SRE720969 TAY720969:TBA720969 TKU720969:TKW720969 TUQ720969:TUS720969 UEM720969:UEO720969 UOI720969:UOK720969 UYE720969:UYG720969 VIA720969:VIC720969 VRW720969:VRY720969 WBS720969:WBU720969 WLO720969:WLQ720969 WVK720969:WVM720969 C786505:E786505 IY786505:JA786505 SU786505:SW786505 ACQ786505:ACS786505 AMM786505:AMO786505 AWI786505:AWK786505 BGE786505:BGG786505 BQA786505:BQC786505 BZW786505:BZY786505 CJS786505:CJU786505 CTO786505:CTQ786505 DDK786505:DDM786505 DNG786505:DNI786505 DXC786505:DXE786505 EGY786505:EHA786505 EQU786505:EQW786505 FAQ786505:FAS786505 FKM786505:FKO786505 FUI786505:FUK786505 GEE786505:GEG786505 GOA786505:GOC786505 GXW786505:GXY786505 HHS786505:HHU786505 HRO786505:HRQ786505 IBK786505:IBM786505 ILG786505:ILI786505 IVC786505:IVE786505 JEY786505:JFA786505 JOU786505:JOW786505 JYQ786505:JYS786505 KIM786505:KIO786505 KSI786505:KSK786505 LCE786505:LCG786505 LMA786505:LMC786505 LVW786505:LVY786505 MFS786505:MFU786505 MPO786505:MPQ786505 MZK786505:MZM786505 NJG786505:NJI786505 NTC786505:NTE786505 OCY786505:ODA786505 OMU786505:OMW786505 OWQ786505:OWS786505 PGM786505:PGO786505 PQI786505:PQK786505 QAE786505:QAG786505 QKA786505:QKC786505 QTW786505:QTY786505 RDS786505:RDU786505 RNO786505:RNQ786505 RXK786505:RXM786505 SHG786505:SHI786505 SRC786505:SRE786505 TAY786505:TBA786505 TKU786505:TKW786505 TUQ786505:TUS786505 UEM786505:UEO786505 UOI786505:UOK786505 UYE786505:UYG786505 VIA786505:VIC786505 VRW786505:VRY786505 WBS786505:WBU786505 WLO786505:WLQ786505 WVK786505:WVM786505 C852041:E852041 IY852041:JA852041 SU852041:SW852041 ACQ852041:ACS852041 AMM852041:AMO852041 AWI852041:AWK852041 BGE852041:BGG852041 BQA852041:BQC852041 BZW852041:BZY852041 CJS852041:CJU852041 CTO852041:CTQ852041 DDK852041:DDM852041 DNG852041:DNI852041 DXC852041:DXE852041 EGY852041:EHA852041 EQU852041:EQW852041 FAQ852041:FAS852041 FKM852041:FKO852041 FUI852041:FUK852041 GEE852041:GEG852041 GOA852041:GOC852041 GXW852041:GXY852041 HHS852041:HHU852041 HRO852041:HRQ852041 IBK852041:IBM852041 ILG852041:ILI852041 IVC852041:IVE852041 JEY852041:JFA852041 JOU852041:JOW852041 JYQ852041:JYS852041 KIM852041:KIO852041 KSI852041:KSK852041 LCE852041:LCG852041 LMA852041:LMC852041 LVW852041:LVY852041 MFS852041:MFU852041 MPO852041:MPQ852041 MZK852041:MZM852041 NJG852041:NJI852041 NTC852041:NTE852041 OCY852041:ODA852041 OMU852041:OMW852041 OWQ852041:OWS852041 PGM852041:PGO852041 PQI852041:PQK852041 QAE852041:QAG852041 QKA852041:QKC852041 QTW852041:QTY852041 RDS852041:RDU852041 RNO852041:RNQ852041 RXK852041:RXM852041 SHG852041:SHI852041 SRC852041:SRE852041 TAY852041:TBA852041 TKU852041:TKW852041 TUQ852041:TUS852041 UEM852041:UEO852041 UOI852041:UOK852041 UYE852041:UYG852041 VIA852041:VIC852041 VRW852041:VRY852041 WBS852041:WBU852041 WLO852041:WLQ852041 WVK852041:WVM852041 C917577:E917577 IY917577:JA917577 SU917577:SW917577 ACQ917577:ACS917577 AMM917577:AMO917577 AWI917577:AWK917577 BGE917577:BGG917577 BQA917577:BQC917577 BZW917577:BZY917577 CJS917577:CJU917577 CTO917577:CTQ917577 DDK917577:DDM917577 DNG917577:DNI917577 DXC917577:DXE917577 EGY917577:EHA917577 EQU917577:EQW917577 FAQ917577:FAS917577 FKM917577:FKO917577 FUI917577:FUK917577 GEE917577:GEG917577 GOA917577:GOC917577 GXW917577:GXY917577 HHS917577:HHU917577 HRO917577:HRQ917577 IBK917577:IBM917577 ILG917577:ILI917577 IVC917577:IVE917577 JEY917577:JFA917577 JOU917577:JOW917577 JYQ917577:JYS917577 KIM917577:KIO917577 KSI917577:KSK917577 LCE917577:LCG917577 LMA917577:LMC917577 LVW917577:LVY917577 MFS917577:MFU917577 MPO917577:MPQ917577 MZK917577:MZM917577 NJG917577:NJI917577 NTC917577:NTE917577 OCY917577:ODA917577 OMU917577:OMW917577 OWQ917577:OWS917577 PGM917577:PGO917577 PQI917577:PQK917577 QAE917577:QAG917577 QKA917577:QKC917577 QTW917577:QTY917577 RDS917577:RDU917577 RNO917577:RNQ917577 RXK917577:RXM917577 SHG917577:SHI917577 SRC917577:SRE917577 TAY917577:TBA917577 TKU917577:TKW917577 TUQ917577:TUS917577 UEM917577:UEO917577 UOI917577:UOK917577 UYE917577:UYG917577 VIA917577:VIC917577 VRW917577:VRY917577 WBS917577:WBU917577 WLO917577:WLQ917577 WVK917577:WVM917577 C983113:E983113 IY983113:JA983113 SU983113:SW983113 ACQ983113:ACS983113 AMM983113:AMO983113 AWI983113:AWK983113 BGE983113:BGG983113 BQA983113:BQC983113 BZW983113:BZY983113 CJS983113:CJU983113 CTO983113:CTQ983113 DDK983113:DDM983113 DNG983113:DNI983113 DXC983113:DXE983113 EGY983113:EHA983113 EQU983113:EQW983113 FAQ983113:FAS983113 FKM983113:FKO983113 FUI983113:FUK983113 GEE983113:GEG983113 GOA983113:GOC983113 GXW983113:GXY983113 HHS983113:HHU983113 HRO983113:HRQ983113 IBK983113:IBM983113 ILG983113:ILI983113 IVC983113:IVE983113 JEY983113:JFA983113 JOU983113:JOW983113 JYQ983113:JYS983113 KIM983113:KIO983113 KSI983113:KSK983113 LCE983113:LCG983113 LMA983113:LMC983113 LVW983113:LVY983113 MFS983113:MFU983113 MPO983113:MPQ983113 MZK983113:MZM983113 NJG983113:NJI983113 NTC983113:NTE983113 OCY983113:ODA983113 OMU983113:OMW983113 OWQ983113:OWS983113 PGM983113:PGO983113 PQI983113:PQK983113 QAE983113:QAG983113 QKA983113:QKC983113 QTW983113:QTY983113 RDS983113:RDU983113 RNO983113:RNQ983113 RXK983113:RXM983113 SHG983113:SHI983113 SRC983113:SRE983113 TAY983113:TBA983113 TKU983113:TKW983113 TUQ983113:TUS983113 UEM983113:UEO983113 UOI983113:UOK983113 UYE983113:UYG983113 VIA983113:VIC983113 VRW983113:VRY983113 WBS983113:WBU983113 WLO983113:WLQ983113 D73:E73" xr:uid="{00000000-0002-0000-0000-000004000000}"/>
    <dataValidation errorStyle="warning" allowBlank="1" showInputMessage="1" errorTitle="Office Use Only" promptTitle="Office Use Only" prompt="Use this block for any information not included elsewhere on this invoice. Either type it right into the sheet or write it into the block after printing." sqref="I74 JE74 TA74 ACW74 AMS74 AWO74 BGK74 BQG74 CAC74 CJY74 CTU74 DDQ74 DNM74 DXI74 EHE74 ERA74 FAW74 FKS74 FUO74 GEK74 GOG74 GYC74 HHY74 HRU74 IBQ74 ILM74 IVI74 JFE74 JPA74 JYW74 KIS74 KSO74 LCK74 LMG74 LWC74 MFY74 MPU74 MZQ74 NJM74 NTI74 ODE74 ONA74 OWW74 PGS74 PQO74 QAK74 QKG74 QUC74 RDY74 RNU74 RXQ74 SHM74 SRI74 TBE74 TLA74 TUW74 UES74 UOO74 UYK74 VIG74 VSC74 WBY74 WLU74 WVQ74 I65610 JE65610 TA65610 ACW65610 AMS65610 AWO65610 BGK65610 BQG65610 CAC65610 CJY65610 CTU65610 DDQ65610 DNM65610 DXI65610 EHE65610 ERA65610 FAW65610 FKS65610 FUO65610 GEK65610 GOG65610 GYC65610 HHY65610 HRU65610 IBQ65610 ILM65610 IVI65610 JFE65610 JPA65610 JYW65610 KIS65610 KSO65610 LCK65610 LMG65610 LWC65610 MFY65610 MPU65610 MZQ65610 NJM65610 NTI65610 ODE65610 ONA65610 OWW65610 PGS65610 PQO65610 QAK65610 QKG65610 QUC65610 RDY65610 RNU65610 RXQ65610 SHM65610 SRI65610 TBE65610 TLA65610 TUW65610 UES65610 UOO65610 UYK65610 VIG65610 VSC65610 WBY65610 WLU65610 WVQ65610 I131146 JE131146 TA131146 ACW131146 AMS131146 AWO131146 BGK131146 BQG131146 CAC131146 CJY131146 CTU131146 DDQ131146 DNM131146 DXI131146 EHE131146 ERA131146 FAW131146 FKS131146 FUO131146 GEK131146 GOG131146 GYC131146 HHY131146 HRU131146 IBQ131146 ILM131146 IVI131146 JFE131146 JPA131146 JYW131146 KIS131146 KSO131146 LCK131146 LMG131146 LWC131146 MFY131146 MPU131146 MZQ131146 NJM131146 NTI131146 ODE131146 ONA131146 OWW131146 PGS131146 PQO131146 QAK131146 QKG131146 QUC131146 RDY131146 RNU131146 RXQ131146 SHM131146 SRI131146 TBE131146 TLA131146 TUW131146 UES131146 UOO131146 UYK131146 VIG131146 VSC131146 WBY131146 WLU131146 WVQ131146 I196682 JE196682 TA196682 ACW196682 AMS196682 AWO196682 BGK196682 BQG196682 CAC196682 CJY196682 CTU196682 DDQ196682 DNM196682 DXI196682 EHE196682 ERA196682 FAW196682 FKS196682 FUO196682 GEK196682 GOG196682 GYC196682 HHY196682 HRU196682 IBQ196682 ILM196682 IVI196682 JFE196682 JPA196682 JYW196682 KIS196682 KSO196682 LCK196682 LMG196682 LWC196682 MFY196682 MPU196682 MZQ196682 NJM196682 NTI196682 ODE196682 ONA196682 OWW196682 PGS196682 PQO196682 QAK196682 QKG196682 QUC196682 RDY196682 RNU196682 RXQ196682 SHM196682 SRI196682 TBE196682 TLA196682 TUW196682 UES196682 UOO196682 UYK196682 VIG196682 VSC196682 WBY196682 WLU196682 WVQ196682 I262218 JE262218 TA262218 ACW262218 AMS262218 AWO262218 BGK262218 BQG262218 CAC262218 CJY262218 CTU262218 DDQ262218 DNM262218 DXI262218 EHE262218 ERA262218 FAW262218 FKS262218 FUO262218 GEK262218 GOG262218 GYC262218 HHY262218 HRU262218 IBQ262218 ILM262218 IVI262218 JFE262218 JPA262218 JYW262218 KIS262218 KSO262218 LCK262218 LMG262218 LWC262218 MFY262218 MPU262218 MZQ262218 NJM262218 NTI262218 ODE262218 ONA262218 OWW262218 PGS262218 PQO262218 QAK262218 QKG262218 QUC262218 RDY262218 RNU262218 RXQ262218 SHM262218 SRI262218 TBE262218 TLA262218 TUW262218 UES262218 UOO262218 UYK262218 VIG262218 VSC262218 WBY262218 WLU262218 WVQ262218 I327754 JE327754 TA327754 ACW327754 AMS327754 AWO327754 BGK327754 BQG327754 CAC327754 CJY327754 CTU327754 DDQ327754 DNM327754 DXI327754 EHE327754 ERA327754 FAW327754 FKS327754 FUO327754 GEK327754 GOG327754 GYC327754 HHY327754 HRU327754 IBQ327754 ILM327754 IVI327754 JFE327754 JPA327754 JYW327754 KIS327754 KSO327754 LCK327754 LMG327754 LWC327754 MFY327754 MPU327754 MZQ327754 NJM327754 NTI327754 ODE327754 ONA327754 OWW327754 PGS327754 PQO327754 QAK327754 QKG327754 QUC327754 RDY327754 RNU327754 RXQ327754 SHM327754 SRI327754 TBE327754 TLA327754 TUW327754 UES327754 UOO327754 UYK327754 VIG327754 VSC327754 WBY327754 WLU327754 WVQ327754 I393290 JE393290 TA393290 ACW393290 AMS393290 AWO393290 BGK393290 BQG393290 CAC393290 CJY393290 CTU393290 DDQ393290 DNM393290 DXI393290 EHE393290 ERA393290 FAW393290 FKS393290 FUO393290 GEK393290 GOG393290 GYC393290 HHY393290 HRU393290 IBQ393290 ILM393290 IVI393290 JFE393290 JPA393290 JYW393290 KIS393290 KSO393290 LCK393290 LMG393290 LWC393290 MFY393290 MPU393290 MZQ393290 NJM393290 NTI393290 ODE393290 ONA393290 OWW393290 PGS393290 PQO393290 QAK393290 QKG393290 QUC393290 RDY393290 RNU393290 RXQ393290 SHM393290 SRI393290 TBE393290 TLA393290 TUW393290 UES393290 UOO393290 UYK393290 VIG393290 VSC393290 WBY393290 WLU393290 WVQ393290 I458826 JE458826 TA458826 ACW458826 AMS458826 AWO458826 BGK458826 BQG458826 CAC458826 CJY458826 CTU458826 DDQ458826 DNM458826 DXI458826 EHE458826 ERA458826 FAW458826 FKS458826 FUO458826 GEK458826 GOG458826 GYC458826 HHY458826 HRU458826 IBQ458826 ILM458826 IVI458826 JFE458826 JPA458826 JYW458826 KIS458826 KSO458826 LCK458826 LMG458826 LWC458826 MFY458826 MPU458826 MZQ458826 NJM458826 NTI458826 ODE458826 ONA458826 OWW458826 PGS458826 PQO458826 QAK458826 QKG458826 QUC458826 RDY458826 RNU458826 RXQ458826 SHM458826 SRI458826 TBE458826 TLA458826 TUW458826 UES458826 UOO458826 UYK458826 VIG458826 VSC458826 WBY458826 WLU458826 WVQ458826 I524362 JE524362 TA524362 ACW524362 AMS524362 AWO524362 BGK524362 BQG524362 CAC524362 CJY524362 CTU524362 DDQ524362 DNM524362 DXI524362 EHE524362 ERA524362 FAW524362 FKS524362 FUO524362 GEK524362 GOG524362 GYC524362 HHY524362 HRU524362 IBQ524362 ILM524362 IVI524362 JFE524362 JPA524362 JYW524362 KIS524362 KSO524362 LCK524362 LMG524362 LWC524362 MFY524362 MPU524362 MZQ524362 NJM524362 NTI524362 ODE524362 ONA524362 OWW524362 PGS524362 PQO524362 QAK524362 QKG524362 QUC524362 RDY524362 RNU524362 RXQ524362 SHM524362 SRI524362 TBE524362 TLA524362 TUW524362 UES524362 UOO524362 UYK524362 VIG524362 VSC524362 WBY524362 WLU524362 WVQ524362 I589898 JE589898 TA589898 ACW589898 AMS589898 AWO589898 BGK589898 BQG589898 CAC589898 CJY589898 CTU589898 DDQ589898 DNM589898 DXI589898 EHE589898 ERA589898 FAW589898 FKS589898 FUO589898 GEK589898 GOG589898 GYC589898 HHY589898 HRU589898 IBQ589898 ILM589898 IVI589898 JFE589898 JPA589898 JYW589898 KIS589898 KSO589898 LCK589898 LMG589898 LWC589898 MFY589898 MPU589898 MZQ589898 NJM589898 NTI589898 ODE589898 ONA589898 OWW589898 PGS589898 PQO589898 QAK589898 QKG589898 QUC589898 RDY589898 RNU589898 RXQ589898 SHM589898 SRI589898 TBE589898 TLA589898 TUW589898 UES589898 UOO589898 UYK589898 VIG589898 VSC589898 WBY589898 WLU589898 WVQ589898 I655434 JE655434 TA655434 ACW655434 AMS655434 AWO655434 BGK655434 BQG655434 CAC655434 CJY655434 CTU655434 DDQ655434 DNM655434 DXI655434 EHE655434 ERA655434 FAW655434 FKS655434 FUO655434 GEK655434 GOG655434 GYC655434 HHY655434 HRU655434 IBQ655434 ILM655434 IVI655434 JFE655434 JPA655434 JYW655434 KIS655434 KSO655434 LCK655434 LMG655434 LWC655434 MFY655434 MPU655434 MZQ655434 NJM655434 NTI655434 ODE655434 ONA655434 OWW655434 PGS655434 PQO655434 QAK655434 QKG655434 QUC655434 RDY655434 RNU655434 RXQ655434 SHM655434 SRI655434 TBE655434 TLA655434 TUW655434 UES655434 UOO655434 UYK655434 VIG655434 VSC655434 WBY655434 WLU655434 WVQ655434 I720970 JE720970 TA720970 ACW720970 AMS720970 AWO720970 BGK720970 BQG720970 CAC720970 CJY720970 CTU720970 DDQ720970 DNM720970 DXI720970 EHE720970 ERA720970 FAW720970 FKS720970 FUO720970 GEK720970 GOG720970 GYC720970 HHY720970 HRU720970 IBQ720970 ILM720970 IVI720970 JFE720970 JPA720970 JYW720970 KIS720970 KSO720970 LCK720970 LMG720970 LWC720970 MFY720970 MPU720970 MZQ720970 NJM720970 NTI720970 ODE720970 ONA720970 OWW720970 PGS720970 PQO720970 QAK720970 QKG720970 QUC720970 RDY720970 RNU720970 RXQ720970 SHM720970 SRI720970 TBE720970 TLA720970 TUW720970 UES720970 UOO720970 UYK720970 VIG720970 VSC720970 WBY720970 WLU720970 WVQ720970 I786506 JE786506 TA786506 ACW786506 AMS786506 AWO786506 BGK786506 BQG786506 CAC786506 CJY786506 CTU786506 DDQ786506 DNM786506 DXI786506 EHE786506 ERA786506 FAW786506 FKS786506 FUO786506 GEK786506 GOG786506 GYC786506 HHY786506 HRU786506 IBQ786506 ILM786506 IVI786506 JFE786506 JPA786506 JYW786506 KIS786506 KSO786506 LCK786506 LMG786506 LWC786506 MFY786506 MPU786506 MZQ786506 NJM786506 NTI786506 ODE786506 ONA786506 OWW786506 PGS786506 PQO786506 QAK786506 QKG786506 QUC786506 RDY786506 RNU786506 RXQ786506 SHM786506 SRI786506 TBE786506 TLA786506 TUW786506 UES786506 UOO786506 UYK786506 VIG786506 VSC786506 WBY786506 WLU786506 WVQ786506 I852042 JE852042 TA852042 ACW852042 AMS852042 AWO852042 BGK852042 BQG852042 CAC852042 CJY852042 CTU852042 DDQ852042 DNM852042 DXI852042 EHE852042 ERA852042 FAW852042 FKS852042 FUO852042 GEK852042 GOG852042 GYC852042 HHY852042 HRU852042 IBQ852042 ILM852042 IVI852042 JFE852042 JPA852042 JYW852042 KIS852042 KSO852042 LCK852042 LMG852042 LWC852042 MFY852042 MPU852042 MZQ852042 NJM852042 NTI852042 ODE852042 ONA852042 OWW852042 PGS852042 PQO852042 QAK852042 QKG852042 QUC852042 RDY852042 RNU852042 RXQ852042 SHM852042 SRI852042 TBE852042 TLA852042 TUW852042 UES852042 UOO852042 UYK852042 VIG852042 VSC852042 WBY852042 WLU852042 WVQ852042 I917578 JE917578 TA917578 ACW917578 AMS917578 AWO917578 BGK917578 BQG917578 CAC917578 CJY917578 CTU917578 DDQ917578 DNM917578 DXI917578 EHE917578 ERA917578 FAW917578 FKS917578 FUO917578 GEK917578 GOG917578 GYC917578 HHY917578 HRU917578 IBQ917578 ILM917578 IVI917578 JFE917578 JPA917578 JYW917578 KIS917578 KSO917578 LCK917578 LMG917578 LWC917578 MFY917578 MPU917578 MZQ917578 NJM917578 NTI917578 ODE917578 ONA917578 OWW917578 PGS917578 PQO917578 QAK917578 QKG917578 QUC917578 RDY917578 RNU917578 RXQ917578 SHM917578 SRI917578 TBE917578 TLA917578 TUW917578 UES917578 UOO917578 UYK917578 VIG917578 VSC917578 WBY917578 WLU917578 WVQ917578 I983114 JE983114 TA983114 ACW983114 AMS983114 AWO983114 BGK983114 BQG983114 CAC983114 CJY983114 CTU983114 DDQ983114 DNM983114 DXI983114 EHE983114 ERA983114 FAW983114 FKS983114 FUO983114 GEK983114 GOG983114 GYC983114 HHY983114 HRU983114 IBQ983114 ILM983114 IVI983114 JFE983114 JPA983114 JYW983114 KIS983114 KSO983114 LCK983114 LMG983114 LWC983114 MFY983114 MPU983114 MZQ983114 NJM983114 NTI983114 ODE983114 ONA983114 OWW983114 PGS983114 PQO983114 QAK983114 QKG983114 QUC983114 RDY983114 RNU983114 RXQ983114 SHM983114 SRI983114 TBE983114 TLA983114 TUW983114 UES983114 UOO983114 UYK983114 VIG983114 VSC983114 WBY983114 WLU983114 WVQ983114" xr:uid="{00000000-0002-0000-0000-000005000000}"/>
    <dataValidation errorStyle="warning" allowBlank="1" showInputMessage="1" errorTitle="Credit Card Number" promptTitle="Credit Card Number" prompt="Enter the customer's credit card number in this space." sqref="WVK983114:WVM983114 IY74:JA74 SU74:SW74 ACQ74:ACS74 AMM74:AMO74 AWI74:AWK74 BGE74:BGG74 BQA74:BQC74 BZW74:BZY74 CJS74:CJU74 CTO74:CTQ74 DDK74:DDM74 DNG74:DNI74 DXC74:DXE74 EGY74:EHA74 EQU74:EQW74 FAQ74:FAS74 FKM74:FKO74 FUI74:FUK74 GEE74:GEG74 GOA74:GOC74 GXW74:GXY74 HHS74:HHU74 HRO74:HRQ74 IBK74:IBM74 ILG74:ILI74 IVC74:IVE74 JEY74:JFA74 JOU74:JOW74 JYQ74:JYS74 KIM74:KIO74 KSI74:KSK74 LCE74:LCG74 LMA74:LMC74 LVW74:LVY74 MFS74:MFU74 MPO74:MPQ74 MZK74:MZM74 NJG74:NJI74 NTC74:NTE74 OCY74:ODA74 OMU74:OMW74 OWQ74:OWS74 PGM74:PGO74 PQI74:PQK74 QAE74:QAG74 QKA74:QKC74 QTW74:QTY74 RDS74:RDU74 RNO74:RNQ74 RXK74:RXM74 SHG74:SHI74 SRC74:SRE74 TAY74:TBA74 TKU74:TKW74 TUQ74:TUS74 UEM74:UEO74 UOI74:UOK74 UYE74:UYG74 VIA74:VIC74 VRW74:VRY74 WBS74:WBU74 WLO74:WLQ74 WVK74:WVM74 C65610:E65610 IY65610:JA65610 SU65610:SW65610 ACQ65610:ACS65610 AMM65610:AMO65610 AWI65610:AWK65610 BGE65610:BGG65610 BQA65610:BQC65610 BZW65610:BZY65610 CJS65610:CJU65610 CTO65610:CTQ65610 DDK65610:DDM65610 DNG65610:DNI65610 DXC65610:DXE65610 EGY65610:EHA65610 EQU65610:EQW65610 FAQ65610:FAS65610 FKM65610:FKO65610 FUI65610:FUK65610 GEE65610:GEG65610 GOA65610:GOC65610 GXW65610:GXY65610 HHS65610:HHU65610 HRO65610:HRQ65610 IBK65610:IBM65610 ILG65610:ILI65610 IVC65610:IVE65610 JEY65610:JFA65610 JOU65610:JOW65610 JYQ65610:JYS65610 KIM65610:KIO65610 KSI65610:KSK65610 LCE65610:LCG65610 LMA65610:LMC65610 LVW65610:LVY65610 MFS65610:MFU65610 MPO65610:MPQ65610 MZK65610:MZM65610 NJG65610:NJI65610 NTC65610:NTE65610 OCY65610:ODA65610 OMU65610:OMW65610 OWQ65610:OWS65610 PGM65610:PGO65610 PQI65610:PQK65610 QAE65610:QAG65610 QKA65610:QKC65610 QTW65610:QTY65610 RDS65610:RDU65610 RNO65610:RNQ65610 RXK65610:RXM65610 SHG65610:SHI65610 SRC65610:SRE65610 TAY65610:TBA65610 TKU65610:TKW65610 TUQ65610:TUS65610 UEM65610:UEO65610 UOI65610:UOK65610 UYE65610:UYG65610 VIA65610:VIC65610 VRW65610:VRY65610 WBS65610:WBU65610 WLO65610:WLQ65610 WVK65610:WVM65610 C131146:E131146 IY131146:JA131146 SU131146:SW131146 ACQ131146:ACS131146 AMM131146:AMO131146 AWI131146:AWK131146 BGE131146:BGG131146 BQA131146:BQC131146 BZW131146:BZY131146 CJS131146:CJU131146 CTO131146:CTQ131146 DDK131146:DDM131146 DNG131146:DNI131146 DXC131146:DXE131146 EGY131146:EHA131146 EQU131146:EQW131146 FAQ131146:FAS131146 FKM131146:FKO131146 FUI131146:FUK131146 GEE131146:GEG131146 GOA131146:GOC131146 GXW131146:GXY131146 HHS131146:HHU131146 HRO131146:HRQ131146 IBK131146:IBM131146 ILG131146:ILI131146 IVC131146:IVE131146 JEY131146:JFA131146 JOU131146:JOW131146 JYQ131146:JYS131146 KIM131146:KIO131146 KSI131146:KSK131146 LCE131146:LCG131146 LMA131146:LMC131146 LVW131146:LVY131146 MFS131146:MFU131146 MPO131146:MPQ131146 MZK131146:MZM131146 NJG131146:NJI131146 NTC131146:NTE131146 OCY131146:ODA131146 OMU131146:OMW131146 OWQ131146:OWS131146 PGM131146:PGO131146 PQI131146:PQK131146 QAE131146:QAG131146 QKA131146:QKC131146 QTW131146:QTY131146 RDS131146:RDU131146 RNO131146:RNQ131146 RXK131146:RXM131146 SHG131146:SHI131146 SRC131146:SRE131146 TAY131146:TBA131146 TKU131146:TKW131146 TUQ131146:TUS131146 UEM131146:UEO131146 UOI131146:UOK131146 UYE131146:UYG131146 VIA131146:VIC131146 VRW131146:VRY131146 WBS131146:WBU131146 WLO131146:WLQ131146 WVK131146:WVM131146 C196682:E196682 IY196682:JA196682 SU196682:SW196682 ACQ196682:ACS196682 AMM196682:AMO196682 AWI196682:AWK196682 BGE196682:BGG196682 BQA196682:BQC196682 BZW196682:BZY196682 CJS196682:CJU196682 CTO196682:CTQ196682 DDK196682:DDM196682 DNG196682:DNI196682 DXC196682:DXE196682 EGY196682:EHA196682 EQU196682:EQW196682 FAQ196682:FAS196682 FKM196682:FKO196682 FUI196682:FUK196682 GEE196682:GEG196682 GOA196682:GOC196682 GXW196682:GXY196682 HHS196682:HHU196682 HRO196682:HRQ196682 IBK196682:IBM196682 ILG196682:ILI196682 IVC196682:IVE196682 JEY196682:JFA196682 JOU196682:JOW196682 JYQ196682:JYS196682 KIM196682:KIO196682 KSI196682:KSK196682 LCE196682:LCG196682 LMA196682:LMC196682 LVW196682:LVY196682 MFS196682:MFU196682 MPO196682:MPQ196682 MZK196682:MZM196682 NJG196682:NJI196682 NTC196682:NTE196682 OCY196682:ODA196682 OMU196682:OMW196682 OWQ196682:OWS196682 PGM196682:PGO196682 PQI196682:PQK196682 QAE196682:QAG196682 QKA196682:QKC196682 QTW196682:QTY196682 RDS196682:RDU196682 RNO196682:RNQ196682 RXK196682:RXM196682 SHG196682:SHI196682 SRC196682:SRE196682 TAY196682:TBA196682 TKU196682:TKW196682 TUQ196682:TUS196682 UEM196682:UEO196682 UOI196682:UOK196682 UYE196682:UYG196682 VIA196682:VIC196682 VRW196682:VRY196682 WBS196682:WBU196682 WLO196682:WLQ196682 WVK196682:WVM196682 C262218:E262218 IY262218:JA262218 SU262218:SW262218 ACQ262218:ACS262218 AMM262218:AMO262218 AWI262218:AWK262218 BGE262218:BGG262218 BQA262218:BQC262218 BZW262218:BZY262218 CJS262218:CJU262218 CTO262218:CTQ262218 DDK262218:DDM262218 DNG262218:DNI262218 DXC262218:DXE262218 EGY262218:EHA262218 EQU262218:EQW262218 FAQ262218:FAS262218 FKM262218:FKO262218 FUI262218:FUK262218 GEE262218:GEG262218 GOA262218:GOC262218 GXW262218:GXY262218 HHS262218:HHU262218 HRO262218:HRQ262218 IBK262218:IBM262218 ILG262218:ILI262218 IVC262218:IVE262218 JEY262218:JFA262218 JOU262218:JOW262218 JYQ262218:JYS262218 KIM262218:KIO262218 KSI262218:KSK262218 LCE262218:LCG262218 LMA262218:LMC262218 LVW262218:LVY262218 MFS262218:MFU262218 MPO262218:MPQ262218 MZK262218:MZM262218 NJG262218:NJI262218 NTC262218:NTE262218 OCY262218:ODA262218 OMU262218:OMW262218 OWQ262218:OWS262218 PGM262218:PGO262218 PQI262218:PQK262218 QAE262218:QAG262218 QKA262218:QKC262218 QTW262218:QTY262218 RDS262218:RDU262218 RNO262218:RNQ262218 RXK262218:RXM262218 SHG262218:SHI262218 SRC262218:SRE262218 TAY262218:TBA262218 TKU262218:TKW262218 TUQ262218:TUS262218 UEM262218:UEO262218 UOI262218:UOK262218 UYE262218:UYG262218 VIA262218:VIC262218 VRW262218:VRY262218 WBS262218:WBU262218 WLO262218:WLQ262218 WVK262218:WVM262218 C327754:E327754 IY327754:JA327754 SU327754:SW327754 ACQ327754:ACS327754 AMM327754:AMO327754 AWI327754:AWK327754 BGE327754:BGG327754 BQA327754:BQC327754 BZW327754:BZY327754 CJS327754:CJU327754 CTO327754:CTQ327754 DDK327754:DDM327754 DNG327754:DNI327754 DXC327754:DXE327754 EGY327754:EHA327754 EQU327754:EQW327754 FAQ327754:FAS327754 FKM327754:FKO327754 FUI327754:FUK327754 GEE327754:GEG327754 GOA327754:GOC327754 GXW327754:GXY327754 HHS327754:HHU327754 HRO327754:HRQ327754 IBK327754:IBM327754 ILG327754:ILI327754 IVC327754:IVE327754 JEY327754:JFA327754 JOU327754:JOW327754 JYQ327754:JYS327754 KIM327754:KIO327754 KSI327754:KSK327754 LCE327754:LCG327754 LMA327754:LMC327754 LVW327754:LVY327754 MFS327754:MFU327754 MPO327754:MPQ327754 MZK327754:MZM327754 NJG327754:NJI327754 NTC327754:NTE327754 OCY327754:ODA327754 OMU327754:OMW327754 OWQ327754:OWS327754 PGM327754:PGO327754 PQI327754:PQK327754 QAE327754:QAG327754 QKA327754:QKC327754 QTW327754:QTY327754 RDS327754:RDU327754 RNO327754:RNQ327754 RXK327754:RXM327754 SHG327754:SHI327754 SRC327754:SRE327754 TAY327754:TBA327754 TKU327754:TKW327754 TUQ327754:TUS327754 UEM327754:UEO327754 UOI327754:UOK327754 UYE327754:UYG327754 VIA327754:VIC327754 VRW327754:VRY327754 WBS327754:WBU327754 WLO327754:WLQ327754 WVK327754:WVM327754 C393290:E393290 IY393290:JA393290 SU393290:SW393290 ACQ393290:ACS393290 AMM393290:AMO393290 AWI393290:AWK393290 BGE393290:BGG393290 BQA393290:BQC393290 BZW393290:BZY393290 CJS393290:CJU393290 CTO393290:CTQ393290 DDK393290:DDM393290 DNG393290:DNI393290 DXC393290:DXE393290 EGY393290:EHA393290 EQU393290:EQW393290 FAQ393290:FAS393290 FKM393290:FKO393290 FUI393290:FUK393290 GEE393290:GEG393290 GOA393290:GOC393290 GXW393290:GXY393290 HHS393290:HHU393290 HRO393290:HRQ393290 IBK393290:IBM393290 ILG393290:ILI393290 IVC393290:IVE393290 JEY393290:JFA393290 JOU393290:JOW393290 JYQ393290:JYS393290 KIM393290:KIO393290 KSI393290:KSK393290 LCE393290:LCG393290 LMA393290:LMC393290 LVW393290:LVY393290 MFS393290:MFU393290 MPO393290:MPQ393290 MZK393290:MZM393290 NJG393290:NJI393290 NTC393290:NTE393290 OCY393290:ODA393290 OMU393290:OMW393290 OWQ393290:OWS393290 PGM393290:PGO393290 PQI393290:PQK393290 QAE393290:QAG393290 QKA393290:QKC393290 QTW393290:QTY393290 RDS393290:RDU393290 RNO393290:RNQ393290 RXK393290:RXM393290 SHG393290:SHI393290 SRC393290:SRE393290 TAY393290:TBA393290 TKU393290:TKW393290 TUQ393290:TUS393290 UEM393290:UEO393290 UOI393290:UOK393290 UYE393290:UYG393290 VIA393290:VIC393290 VRW393290:VRY393290 WBS393290:WBU393290 WLO393290:WLQ393290 WVK393290:WVM393290 C458826:E458826 IY458826:JA458826 SU458826:SW458826 ACQ458826:ACS458826 AMM458826:AMO458826 AWI458826:AWK458826 BGE458826:BGG458826 BQA458826:BQC458826 BZW458826:BZY458826 CJS458826:CJU458826 CTO458826:CTQ458826 DDK458826:DDM458826 DNG458826:DNI458826 DXC458826:DXE458826 EGY458826:EHA458826 EQU458826:EQW458826 FAQ458826:FAS458826 FKM458826:FKO458826 FUI458826:FUK458826 GEE458826:GEG458826 GOA458826:GOC458826 GXW458826:GXY458826 HHS458826:HHU458826 HRO458826:HRQ458826 IBK458826:IBM458826 ILG458826:ILI458826 IVC458826:IVE458826 JEY458826:JFA458826 JOU458826:JOW458826 JYQ458826:JYS458826 KIM458826:KIO458826 KSI458826:KSK458826 LCE458826:LCG458826 LMA458826:LMC458826 LVW458826:LVY458826 MFS458826:MFU458826 MPO458826:MPQ458826 MZK458826:MZM458826 NJG458826:NJI458826 NTC458826:NTE458826 OCY458826:ODA458826 OMU458826:OMW458826 OWQ458826:OWS458826 PGM458826:PGO458826 PQI458826:PQK458826 QAE458826:QAG458826 QKA458826:QKC458826 QTW458826:QTY458826 RDS458826:RDU458826 RNO458826:RNQ458826 RXK458826:RXM458826 SHG458826:SHI458826 SRC458826:SRE458826 TAY458826:TBA458826 TKU458826:TKW458826 TUQ458826:TUS458826 UEM458826:UEO458826 UOI458826:UOK458826 UYE458826:UYG458826 VIA458826:VIC458826 VRW458826:VRY458826 WBS458826:WBU458826 WLO458826:WLQ458826 WVK458826:WVM458826 C524362:E524362 IY524362:JA524362 SU524362:SW524362 ACQ524362:ACS524362 AMM524362:AMO524362 AWI524362:AWK524362 BGE524362:BGG524362 BQA524362:BQC524362 BZW524362:BZY524362 CJS524362:CJU524362 CTO524362:CTQ524362 DDK524362:DDM524362 DNG524362:DNI524362 DXC524362:DXE524362 EGY524362:EHA524362 EQU524362:EQW524362 FAQ524362:FAS524362 FKM524362:FKO524362 FUI524362:FUK524362 GEE524362:GEG524362 GOA524362:GOC524362 GXW524362:GXY524362 HHS524362:HHU524362 HRO524362:HRQ524362 IBK524362:IBM524362 ILG524362:ILI524362 IVC524362:IVE524362 JEY524362:JFA524362 JOU524362:JOW524362 JYQ524362:JYS524362 KIM524362:KIO524362 KSI524362:KSK524362 LCE524362:LCG524362 LMA524362:LMC524362 LVW524362:LVY524362 MFS524362:MFU524362 MPO524362:MPQ524362 MZK524362:MZM524362 NJG524362:NJI524362 NTC524362:NTE524362 OCY524362:ODA524362 OMU524362:OMW524362 OWQ524362:OWS524362 PGM524362:PGO524362 PQI524362:PQK524362 QAE524362:QAG524362 QKA524362:QKC524362 QTW524362:QTY524362 RDS524362:RDU524362 RNO524362:RNQ524362 RXK524362:RXM524362 SHG524362:SHI524362 SRC524362:SRE524362 TAY524362:TBA524362 TKU524362:TKW524362 TUQ524362:TUS524362 UEM524362:UEO524362 UOI524362:UOK524362 UYE524362:UYG524362 VIA524362:VIC524362 VRW524362:VRY524362 WBS524362:WBU524362 WLO524362:WLQ524362 WVK524362:WVM524362 C589898:E589898 IY589898:JA589898 SU589898:SW589898 ACQ589898:ACS589898 AMM589898:AMO589898 AWI589898:AWK589898 BGE589898:BGG589898 BQA589898:BQC589898 BZW589898:BZY589898 CJS589898:CJU589898 CTO589898:CTQ589898 DDK589898:DDM589898 DNG589898:DNI589898 DXC589898:DXE589898 EGY589898:EHA589898 EQU589898:EQW589898 FAQ589898:FAS589898 FKM589898:FKO589898 FUI589898:FUK589898 GEE589898:GEG589898 GOA589898:GOC589898 GXW589898:GXY589898 HHS589898:HHU589898 HRO589898:HRQ589898 IBK589898:IBM589898 ILG589898:ILI589898 IVC589898:IVE589898 JEY589898:JFA589898 JOU589898:JOW589898 JYQ589898:JYS589898 KIM589898:KIO589898 KSI589898:KSK589898 LCE589898:LCG589898 LMA589898:LMC589898 LVW589898:LVY589898 MFS589898:MFU589898 MPO589898:MPQ589898 MZK589898:MZM589898 NJG589898:NJI589898 NTC589898:NTE589898 OCY589898:ODA589898 OMU589898:OMW589898 OWQ589898:OWS589898 PGM589898:PGO589898 PQI589898:PQK589898 QAE589898:QAG589898 QKA589898:QKC589898 QTW589898:QTY589898 RDS589898:RDU589898 RNO589898:RNQ589898 RXK589898:RXM589898 SHG589898:SHI589898 SRC589898:SRE589898 TAY589898:TBA589898 TKU589898:TKW589898 TUQ589898:TUS589898 UEM589898:UEO589898 UOI589898:UOK589898 UYE589898:UYG589898 VIA589898:VIC589898 VRW589898:VRY589898 WBS589898:WBU589898 WLO589898:WLQ589898 WVK589898:WVM589898 C655434:E655434 IY655434:JA655434 SU655434:SW655434 ACQ655434:ACS655434 AMM655434:AMO655434 AWI655434:AWK655434 BGE655434:BGG655434 BQA655434:BQC655434 BZW655434:BZY655434 CJS655434:CJU655434 CTO655434:CTQ655434 DDK655434:DDM655434 DNG655434:DNI655434 DXC655434:DXE655434 EGY655434:EHA655434 EQU655434:EQW655434 FAQ655434:FAS655434 FKM655434:FKO655434 FUI655434:FUK655434 GEE655434:GEG655434 GOA655434:GOC655434 GXW655434:GXY655434 HHS655434:HHU655434 HRO655434:HRQ655434 IBK655434:IBM655434 ILG655434:ILI655434 IVC655434:IVE655434 JEY655434:JFA655434 JOU655434:JOW655434 JYQ655434:JYS655434 KIM655434:KIO655434 KSI655434:KSK655434 LCE655434:LCG655434 LMA655434:LMC655434 LVW655434:LVY655434 MFS655434:MFU655434 MPO655434:MPQ655434 MZK655434:MZM655434 NJG655434:NJI655434 NTC655434:NTE655434 OCY655434:ODA655434 OMU655434:OMW655434 OWQ655434:OWS655434 PGM655434:PGO655434 PQI655434:PQK655434 QAE655434:QAG655434 QKA655434:QKC655434 QTW655434:QTY655434 RDS655434:RDU655434 RNO655434:RNQ655434 RXK655434:RXM655434 SHG655434:SHI655434 SRC655434:SRE655434 TAY655434:TBA655434 TKU655434:TKW655434 TUQ655434:TUS655434 UEM655434:UEO655434 UOI655434:UOK655434 UYE655434:UYG655434 VIA655434:VIC655434 VRW655434:VRY655434 WBS655434:WBU655434 WLO655434:WLQ655434 WVK655434:WVM655434 C720970:E720970 IY720970:JA720970 SU720970:SW720970 ACQ720970:ACS720970 AMM720970:AMO720970 AWI720970:AWK720970 BGE720970:BGG720970 BQA720970:BQC720970 BZW720970:BZY720970 CJS720970:CJU720970 CTO720970:CTQ720970 DDK720970:DDM720970 DNG720970:DNI720970 DXC720970:DXE720970 EGY720970:EHA720970 EQU720970:EQW720970 FAQ720970:FAS720970 FKM720970:FKO720970 FUI720970:FUK720970 GEE720970:GEG720970 GOA720970:GOC720970 GXW720970:GXY720970 HHS720970:HHU720970 HRO720970:HRQ720970 IBK720970:IBM720970 ILG720970:ILI720970 IVC720970:IVE720970 JEY720970:JFA720970 JOU720970:JOW720970 JYQ720970:JYS720970 KIM720970:KIO720970 KSI720970:KSK720970 LCE720970:LCG720970 LMA720970:LMC720970 LVW720970:LVY720970 MFS720970:MFU720970 MPO720970:MPQ720970 MZK720970:MZM720970 NJG720970:NJI720970 NTC720970:NTE720970 OCY720970:ODA720970 OMU720970:OMW720970 OWQ720970:OWS720970 PGM720970:PGO720970 PQI720970:PQK720970 QAE720970:QAG720970 QKA720970:QKC720970 QTW720970:QTY720970 RDS720970:RDU720970 RNO720970:RNQ720970 RXK720970:RXM720970 SHG720970:SHI720970 SRC720970:SRE720970 TAY720970:TBA720970 TKU720970:TKW720970 TUQ720970:TUS720970 UEM720970:UEO720970 UOI720970:UOK720970 UYE720970:UYG720970 VIA720970:VIC720970 VRW720970:VRY720970 WBS720970:WBU720970 WLO720970:WLQ720970 WVK720970:WVM720970 C786506:E786506 IY786506:JA786506 SU786506:SW786506 ACQ786506:ACS786506 AMM786506:AMO786506 AWI786506:AWK786506 BGE786506:BGG786506 BQA786506:BQC786506 BZW786506:BZY786506 CJS786506:CJU786506 CTO786506:CTQ786506 DDK786506:DDM786506 DNG786506:DNI786506 DXC786506:DXE786506 EGY786506:EHA786506 EQU786506:EQW786506 FAQ786506:FAS786506 FKM786506:FKO786506 FUI786506:FUK786506 GEE786506:GEG786506 GOA786506:GOC786506 GXW786506:GXY786506 HHS786506:HHU786506 HRO786506:HRQ786506 IBK786506:IBM786506 ILG786506:ILI786506 IVC786506:IVE786506 JEY786506:JFA786506 JOU786506:JOW786506 JYQ786506:JYS786506 KIM786506:KIO786506 KSI786506:KSK786506 LCE786506:LCG786506 LMA786506:LMC786506 LVW786506:LVY786506 MFS786506:MFU786506 MPO786506:MPQ786506 MZK786506:MZM786506 NJG786506:NJI786506 NTC786506:NTE786506 OCY786506:ODA786506 OMU786506:OMW786506 OWQ786506:OWS786506 PGM786506:PGO786506 PQI786506:PQK786506 QAE786506:QAG786506 QKA786506:QKC786506 QTW786506:QTY786506 RDS786506:RDU786506 RNO786506:RNQ786506 RXK786506:RXM786506 SHG786506:SHI786506 SRC786506:SRE786506 TAY786506:TBA786506 TKU786506:TKW786506 TUQ786506:TUS786506 UEM786506:UEO786506 UOI786506:UOK786506 UYE786506:UYG786506 VIA786506:VIC786506 VRW786506:VRY786506 WBS786506:WBU786506 WLO786506:WLQ786506 WVK786506:WVM786506 C852042:E852042 IY852042:JA852042 SU852042:SW852042 ACQ852042:ACS852042 AMM852042:AMO852042 AWI852042:AWK852042 BGE852042:BGG852042 BQA852042:BQC852042 BZW852042:BZY852042 CJS852042:CJU852042 CTO852042:CTQ852042 DDK852042:DDM852042 DNG852042:DNI852042 DXC852042:DXE852042 EGY852042:EHA852042 EQU852042:EQW852042 FAQ852042:FAS852042 FKM852042:FKO852042 FUI852042:FUK852042 GEE852042:GEG852042 GOA852042:GOC852042 GXW852042:GXY852042 HHS852042:HHU852042 HRO852042:HRQ852042 IBK852042:IBM852042 ILG852042:ILI852042 IVC852042:IVE852042 JEY852042:JFA852042 JOU852042:JOW852042 JYQ852042:JYS852042 KIM852042:KIO852042 KSI852042:KSK852042 LCE852042:LCG852042 LMA852042:LMC852042 LVW852042:LVY852042 MFS852042:MFU852042 MPO852042:MPQ852042 MZK852042:MZM852042 NJG852042:NJI852042 NTC852042:NTE852042 OCY852042:ODA852042 OMU852042:OMW852042 OWQ852042:OWS852042 PGM852042:PGO852042 PQI852042:PQK852042 QAE852042:QAG852042 QKA852042:QKC852042 QTW852042:QTY852042 RDS852042:RDU852042 RNO852042:RNQ852042 RXK852042:RXM852042 SHG852042:SHI852042 SRC852042:SRE852042 TAY852042:TBA852042 TKU852042:TKW852042 TUQ852042:TUS852042 UEM852042:UEO852042 UOI852042:UOK852042 UYE852042:UYG852042 VIA852042:VIC852042 VRW852042:VRY852042 WBS852042:WBU852042 WLO852042:WLQ852042 WVK852042:WVM852042 C917578:E917578 IY917578:JA917578 SU917578:SW917578 ACQ917578:ACS917578 AMM917578:AMO917578 AWI917578:AWK917578 BGE917578:BGG917578 BQA917578:BQC917578 BZW917578:BZY917578 CJS917578:CJU917578 CTO917578:CTQ917578 DDK917578:DDM917578 DNG917578:DNI917578 DXC917578:DXE917578 EGY917578:EHA917578 EQU917578:EQW917578 FAQ917578:FAS917578 FKM917578:FKO917578 FUI917578:FUK917578 GEE917578:GEG917578 GOA917578:GOC917578 GXW917578:GXY917578 HHS917578:HHU917578 HRO917578:HRQ917578 IBK917578:IBM917578 ILG917578:ILI917578 IVC917578:IVE917578 JEY917578:JFA917578 JOU917578:JOW917578 JYQ917578:JYS917578 KIM917578:KIO917578 KSI917578:KSK917578 LCE917578:LCG917578 LMA917578:LMC917578 LVW917578:LVY917578 MFS917578:MFU917578 MPO917578:MPQ917578 MZK917578:MZM917578 NJG917578:NJI917578 NTC917578:NTE917578 OCY917578:ODA917578 OMU917578:OMW917578 OWQ917578:OWS917578 PGM917578:PGO917578 PQI917578:PQK917578 QAE917578:QAG917578 QKA917578:QKC917578 QTW917578:QTY917578 RDS917578:RDU917578 RNO917578:RNQ917578 RXK917578:RXM917578 SHG917578:SHI917578 SRC917578:SRE917578 TAY917578:TBA917578 TKU917578:TKW917578 TUQ917578:TUS917578 UEM917578:UEO917578 UOI917578:UOK917578 UYE917578:UYG917578 VIA917578:VIC917578 VRW917578:VRY917578 WBS917578:WBU917578 WLO917578:WLQ917578 WVK917578:WVM917578 C983114:E983114 IY983114:JA983114 SU983114:SW983114 ACQ983114:ACS983114 AMM983114:AMO983114 AWI983114:AWK983114 BGE983114:BGG983114 BQA983114:BQC983114 BZW983114:BZY983114 CJS983114:CJU983114 CTO983114:CTQ983114 DDK983114:DDM983114 DNG983114:DNI983114 DXC983114:DXE983114 EGY983114:EHA983114 EQU983114:EQW983114 FAQ983114:FAS983114 FKM983114:FKO983114 FUI983114:FUK983114 GEE983114:GEG983114 GOA983114:GOC983114 GXW983114:GXY983114 HHS983114:HHU983114 HRO983114:HRQ983114 IBK983114:IBM983114 ILG983114:ILI983114 IVC983114:IVE983114 JEY983114:JFA983114 JOU983114:JOW983114 JYQ983114:JYS983114 KIM983114:KIO983114 KSI983114:KSK983114 LCE983114:LCG983114 LMA983114:LMC983114 LVW983114:LVY983114 MFS983114:MFU983114 MPO983114:MPQ983114 MZK983114:MZM983114 NJG983114:NJI983114 NTC983114:NTE983114 OCY983114:ODA983114 OMU983114:OMW983114 OWQ983114:OWS983114 PGM983114:PGO983114 PQI983114:PQK983114 QAE983114:QAG983114 QKA983114:QKC983114 QTW983114:QTY983114 RDS983114:RDU983114 RNO983114:RNQ983114 RXK983114:RXM983114 SHG983114:SHI983114 SRC983114:SRE983114 TAY983114:TBA983114 TKU983114:TKW983114 TUQ983114:TUS983114 UEM983114:UEO983114 UOI983114:UOK983114 UYE983114:UYG983114 VIA983114:VIC983114 VRW983114:VRY983114 WBS983114:WBU983114 WLO983114:WLQ983114 D74:E74" xr:uid="{00000000-0002-0000-0000-000006000000}"/>
    <dataValidation errorStyle="warning" allowBlank="1" showInputMessage="1" errorTitle="Farewell Statement" promptTitle="Farewell Statement" prompt="Enter any parting message for your customers (company slogan, mission statement, etc.) If you do not want a parting message, use Edit|Clear|Contents to remove the existing text." sqref="C81 IY81 SU81 ACQ81 AMM81 AWI81 BGE81 BQA81 BZW81 CJS81 CTO81 DDK81 DNG81 DXC81 EGY81 EQU81 FAQ81 FKM81 FUI81 GEE81 GOA81 GXW81 HHS81 HRO81 IBK81 ILG81 IVC81 JEY81 JOU81 JYQ81 KIM81 KSI81 LCE81 LMA81 LVW81 MFS81 MPO81 MZK81 NJG81 NTC81 OCY81 OMU81 OWQ81 PGM81 PQI81 QAE81 QKA81 QTW81 RDS81 RNO81 RXK81 SHG81 SRC81 TAY81 TKU81 TUQ81 UEM81 UOI81 UYE81 VIA81 VRW81 WBS81 WLO81 WVK81 C65617 IY65617 SU65617 ACQ65617 AMM65617 AWI65617 BGE65617 BQA65617 BZW65617 CJS65617 CTO65617 DDK65617 DNG65617 DXC65617 EGY65617 EQU65617 FAQ65617 FKM65617 FUI65617 GEE65617 GOA65617 GXW65617 HHS65617 HRO65617 IBK65617 ILG65617 IVC65617 JEY65617 JOU65617 JYQ65617 KIM65617 KSI65617 LCE65617 LMA65617 LVW65617 MFS65617 MPO65617 MZK65617 NJG65617 NTC65617 OCY65617 OMU65617 OWQ65617 PGM65617 PQI65617 QAE65617 QKA65617 QTW65617 RDS65617 RNO65617 RXK65617 SHG65617 SRC65617 TAY65617 TKU65617 TUQ65617 UEM65617 UOI65617 UYE65617 VIA65617 VRW65617 WBS65617 WLO65617 WVK65617 C131153 IY131153 SU131153 ACQ131153 AMM131153 AWI131153 BGE131153 BQA131153 BZW131153 CJS131153 CTO131153 DDK131153 DNG131153 DXC131153 EGY131153 EQU131153 FAQ131153 FKM131153 FUI131153 GEE131153 GOA131153 GXW131153 HHS131153 HRO131153 IBK131153 ILG131153 IVC131153 JEY131153 JOU131153 JYQ131153 KIM131153 KSI131153 LCE131153 LMA131153 LVW131153 MFS131153 MPO131153 MZK131153 NJG131153 NTC131153 OCY131153 OMU131153 OWQ131153 PGM131153 PQI131153 QAE131153 QKA131153 QTW131153 RDS131153 RNO131153 RXK131153 SHG131153 SRC131153 TAY131153 TKU131153 TUQ131153 UEM131153 UOI131153 UYE131153 VIA131153 VRW131153 WBS131153 WLO131153 WVK131153 C196689 IY196689 SU196689 ACQ196689 AMM196689 AWI196689 BGE196689 BQA196689 BZW196689 CJS196689 CTO196689 DDK196689 DNG196689 DXC196689 EGY196689 EQU196689 FAQ196689 FKM196689 FUI196689 GEE196689 GOA196689 GXW196689 HHS196689 HRO196689 IBK196689 ILG196689 IVC196689 JEY196689 JOU196689 JYQ196689 KIM196689 KSI196689 LCE196689 LMA196689 LVW196689 MFS196689 MPO196689 MZK196689 NJG196689 NTC196689 OCY196689 OMU196689 OWQ196689 PGM196689 PQI196689 QAE196689 QKA196689 QTW196689 RDS196689 RNO196689 RXK196689 SHG196689 SRC196689 TAY196689 TKU196689 TUQ196689 UEM196689 UOI196689 UYE196689 VIA196689 VRW196689 WBS196689 WLO196689 WVK196689 C262225 IY262225 SU262225 ACQ262225 AMM262225 AWI262225 BGE262225 BQA262225 BZW262225 CJS262225 CTO262225 DDK262225 DNG262225 DXC262225 EGY262225 EQU262225 FAQ262225 FKM262225 FUI262225 GEE262225 GOA262225 GXW262225 HHS262225 HRO262225 IBK262225 ILG262225 IVC262225 JEY262225 JOU262225 JYQ262225 KIM262225 KSI262225 LCE262225 LMA262225 LVW262225 MFS262225 MPO262225 MZK262225 NJG262225 NTC262225 OCY262225 OMU262225 OWQ262225 PGM262225 PQI262225 QAE262225 QKA262225 QTW262225 RDS262225 RNO262225 RXK262225 SHG262225 SRC262225 TAY262225 TKU262225 TUQ262225 UEM262225 UOI262225 UYE262225 VIA262225 VRW262225 WBS262225 WLO262225 WVK262225 C327761 IY327761 SU327761 ACQ327761 AMM327761 AWI327761 BGE327761 BQA327761 BZW327761 CJS327761 CTO327761 DDK327761 DNG327761 DXC327761 EGY327761 EQU327761 FAQ327761 FKM327761 FUI327761 GEE327761 GOA327761 GXW327761 HHS327761 HRO327761 IBK327761 ILG327761 IVC327761 JEY327761 JOU327761 JYQ327761 KIM327761 KSI327761 LCE327761 LMA327761 LVW327761 MFS327761 MPO327761 MZK327761 NJG327761 NTC327761 OCY327761 OMU327761 OWQ327761 PGM327761 PQI327761 QAE327761 QKA327761 QTW327761 RDS327761 RNO327761 RXK327761 SHG327761 SRC327761 TAY327761 TKU327761 TUQ327761 UEM327761 UOI327761 UYE327761 VIA327761 VRW327761 WBS327761 WLO327761 WVK327761 C393297 IY393297 SU393297 ACQ393297 AMM393297 AWI393297 BGE393297 BQA393297 BZW393297 CJS393297 CTO393297 DDK393297 DNG393297 DXC393297 EGY393297 EQU393297 FAQ393297 FKM393297 FUI393297 GEE393297 GOA393297 GXW393297 HHS393297 HRO393297 IBK393297 ILG393297 IVC393297 JEY393297 JOU393297 JYQ393297 KIM393297 KSI393297 LCE393297 LMA393297 LVW393297 MFS393297 MPO393297 MZK393297 NJG393297 NTC393297 OCY393297 OMU393297 OWQ393297 PGM393297 PQI393297 QAE393297 QKA393297 QTW393297 RDS393297 RNO393297 RXK393297 SHG393297 SRC393297 TAY393297 TKU393297 TUQ393297 UEM393297 UOI393297 UYE393297 VIA393297 VRW393297 WBS393297 WLO393297 WVK393297 C458833 IY458833 SU458833 ACQ458833 AMM458833 AWI458833 BGE458833 BQA458833 BZW458833 CJS458833 CTO458833 DDK458833 DNG458833 DXC458833 EGY458833 EQU458833 FAQ458833 FKM458833 FUI458833 GEE458833 GOA458833 GXW458833 HHS458833 HRO458833 IBK458833 ILG458833 IVC458833 JEY458833 JOU458833 JYQ458833 KIM458833 KSI458833 LCE458833 LMA458833 LVW458833 MFS458833 MPO458833 MZK458833 NJG458833 NTC458833 OCY458833 OMU458833 OWQ458833 PGM458833 PQI458833 QAE458833 QKA458833 QTW458833 RDS458833 RNO458833 RXK458833 SHG458833 SRC458833 TAY458833 TKU458833 TUQ458833 UEM458833 UOI458833 UYE458833 VIA458833 VRW458833 WBS458833 WLO458833 WVK458833 C524369 IY524369 SU524369 ACQ524369 AMM524369 AWI524369 BGE524369 BQA524369 BZW524369 CJS524369 CTO524369 DDK524369 DNG524369 DXC524369 EGY524369 EQU524369 FAQ524369 FKM524369 FUI524369 GEE524369 GOA524369 GXW524369 HHS524369 HRO524369 IBK524369 ILG524369 IVC524369 JEY524369 JOU524369 JYQ524369 KIM524369 KSI524369 LCE524369 LMA524369 LVW524369 MFS524369 MPO524369 MZK524369 NJG524369 NTC524369 OCY524369 OMU524369 OWQ524369 PGM524369 PQI524369 QAE524369 QKA524369 QTW524369 RDS524369 RNO524369 RXK524369 SHG524369 SRC524369 TAY524369 TKU524369 TUQ524369 UEM524369 UOI524369 UYE524369 VIA524369 VRW524369 WBS524369 WLO524369 WVK524369 C589905 IY589905 SU589905 ACQ589905 AMM589905 AWI589905 BGE589905 BQA589905 BZW589905 CJS589905 CTO589905 DDK589905 DNG589905 DXC589905 EGY589905 EQU589905 FAQ589905 FKM589905 FUI589905 GEE589905 GOA589905 GXW589905 HHS589905 HRO589905 IBK589905 ILG589905 IVC589905 JEY589905 JOU589905 JYQ589905 KIM589905 KSI589905 LCE589905 LMA589905 LVW589905 MFS589905 MPO589905 MZK589905 NJG589905 NTC589905 OCY589905 OMU589905 OWQ589905 PGM589905 PQI589905 QAE589905 QKA589905 QTW589905 RDS589905 RNO589905 RXK589905 SHG589905 SRC589905 TAY589905 TKU589905 TUQ589905 UEM589905 UOI589905 UYE589905 VIA589905 VRW589905 WBS589905 WLO589905 WVK589905 C655441 IY655441 SU655441 ACQ655441 AMM655441 AWI655441 BGE655441 BQA655441 BZW655441 CJS655441 CTO655441 DDK655441 DNG655441 DXC655441 EGY655441 EQU655441 FAQ655441 FKM655441 FUI655441 GEE655441 GOA655441 GXW655441 HHS655441 HRO655441 IBK655441 ILG655441 IVC655441 JEY655441 JOU655441 JYQ655441 KIM655441 KSI655441 LCE655441 LMA655441 LVW655441 MFS655441 MPO655441 MZK655441 NJG655441 NTC655441 OCY655441 OMU655441 OWQ655441 PGM655441 PQI655441 QAE655441 QKA655441 QTW655441 RDS655441 RNO655441 RXK655441 SHG655441 SRC655441 TAY655441 TKU655441 TUQ655441 UEM655441 UOI655441 UYE655441 VIA655441 VRW655441 WBS655441 WLO655441 WVK655441 C720977 IY720977 SU720977 ACQ720977 AMM720977 AWI720977 BGE720977 BQA720977 BZW720977 CJS720977 CTO720977 DDK720977 DNG720977 DXC720977 EGY720977 EQU720977 FAQ720977 FKM720977 FUI720977 GEE720977 GOA720977 GXW720977 HHS720977 HRO720977 IBK720977 ILG720977 IVC720977 JEY720977 JOU720977 JYQ720977 KIM720977 KSI720977 LCE720977 LMA720977 LVW720977 MFS720977 MPO720977 MZK720977 NJG720977 NTC720977 OCY720977 OMU720977 OWQ720977 PGM720977 PQI720977 QAE720977 QKA720977 QTW720977 RDS720977 RNO720977 RXK720977 SHG720977 SRC720977 TAY720977 TKU720977 TUQ720977 UEM720977 UOI720977 UYE720977 VIA720977 VRW720977 WBS720977 WLO720977 WVK720977 C786513 IY786513 SU786513 ACQ786513 AMM786513 AWI786513 BGE786513 BQA786513 BZW786513 CJS786513 CTO786513 DDK786513 DNG786513 DXC786513 EGY786513 EQU786513 FAQ786513 FKM786513 FUI786513 GEE786513 GOA786513 GXW786513 HHS786513 HRO786513 IBK786513 ILG786513 IVC786513 JEY786513 JOU786513 JYQ786513 KIM786513 KSI786513 LCE786513 LMA786513 LVW786513 MFS786513 MPO786513 MZK786513 NJG786513 NTC786513 OCY786513 OMU786513 OWQ786513 PGM786513 PQI786513 QAE786513 QKA786513 QTW786513 RDS786513 RNO786513 RXK786513 SHG786513 SRC786513 TAY786513 TKU786513 TUQ786513 UEM786513 UOI786513 UYE786513 VIA786513 VRW786513 WBS786513 WLO786513 WVK786513 C852049 IY852049 SU852049 ACQ852049 AMM852049 AWI852049 BGE852049 BQA852049 BZW852049 CJS852049 CTO852049 DDK852049 DNG852049 DXC852049 EGY852049 EQU852049 FAQ852049 FKM852049 FUI852049 GEE852049 GOA852049 GXW852049 HHS852049 HRO852049 IBK852049 ILG852049 IVC852049 JEY852049 JOU852049 JYQ852049 KIM852049 KSI852049 LCE852049 LMA852049 LVW852049 MFS852049 MPO852049 MZK852049 NJG852049 NTC852049 OCY852049 OMU852049 OWQ852049 PGM852049 PQI852049 QAE852049 QKA852049 QTW852049 RDS852049 RNO852049 RXK852049 SHG852049 SRC852049 TAY852049 TKU852049 TUQ852049 UEM852049 UOI852049 UYE852049 VIA852049 VRW852049 WBS852049 WLO852049 WVK852049 C917585 IY917585 SU917585 ACQ917585 AMM917585 AWI917585 BGE917585 BQA917585 BZW917585 CJS917585 CTO917585 DDK917585 DNG917585 DXC917585 EGY917585 EQU917585 FAQ917585 FKM917585 FUI917585 GEE917585 GOA917585 GXW917585 HHS917585 HRO917585 IBK917585 ILG917585 IVC917585 JEY917585 JOU917585 JYQ917585 KIM917585 KSI917585 LCE917585 LMA917585 LVW917585 MFS917585 MPO917585 MZK917585 NJG917585 NTC917585 OCY917585 OMU917585 OWQ917585 PGM917585 PQI917585 QAE917585 QKA917585 QTW917585 RDS917585 RNO917585 RXK917585 SHG917585 SRC917585 TAY917585 TKU917585 TUQ917585 UEM917585 UOI917585 UYE917585 VIA917585 VRW917585 WBS917585 WLO917585 WVK917585 C983121 IY983121 SU983121 ACQ983121 AMM983121 AWI983121 BGE983121 BQA983121 BZW983121 CJS983121 CTO983121 DDK983121 DNG983121 DXC983121 EGY983121 EQU983121 FAQ983121 FKM983121 FUI983121 GEE983121 GOA983121 GXW983121 HHS983121 HRO983121 IBK983121 ILG983121 IVC983121 JEY983121 JOU983121 JYQ983121 KIM983121 KSI983121 LCE983121 LMA983121 LVW983121 MFS983121 MPO983121 MZK983121 NJG983121 NTC983121 OCY983121 OMU983121 OWQ983121 PGM983121 PQI983121 QAE983121 QKA983121 QTW983121 RDS983121 RNO983121 RXK983121 SHG983121 SRC983121 TAY983121 TKU983121 TUQ983121 UEM983121 UOI983121 UYE983121 VIA983121 VRW983121 WBS983121 WLO983121 WVK983121" xr:uid="{00000000-0002-0000-0000-000007000000}"/>
    <dataValidation allowBlank="1" showErrorMessage="1" errorTitle="Unit Price" error="You must enter a number into this cell." promptTitle="Unit Price" sqref="K1 K3:K1048576" xr:uid="{00000000-0002-0000-0000-000008000000}"/>
    <dataValidation type="list" allowBlank="1" showInputMessage="1" showErrorMessage="1" sqref="N16" xr:uid="{A9AED772-979B-2F4D-9C2D-23616C60BBFE}">
      <formula1>$V$6:$V$8</formula1>
    </dataValidation>
  </dataValidations>
  <pageMargins left="0.70866141732283472" right="0.70866141732283472" top="0.74803149606299213" bottom="0.74803149606299213" header="0.31496062992125984" footer="0.31496062992125984"/>
  <pageSetup paperSize="9" scale="60" orientation="portrait" horizontalDpi="4294967295" verticalDpi="4294967295" r:id="rId1"/>
  <drawing r:id="rId2"/>
  <extLst>
    <ext xmlns:x14="http://schemas.microsoft.com/office/spreadsheetml/2009/9/main" uri="{78C0D931-6437-407d-A8EE-F0AAD7539E65}">
      <x14:conditionalFormattings>
        <x14:conditionalFormatting xmlns:xm="http://schemas.microsoft.com/office/excel/2006/main">
          <x14:cfRule type="expression" priority="1" id="{99C37DE2-D48C-604A-8D3A-944468BFE019}">
            <xm:f>$C$19&lt;&gt;'Customer Base'!$C$5:$C$5</xm:f>
            <x14:dxf>
              <font>
                <color rgb="FF9C0006"/>
              </font>
              <fill>
                <patternFill>
                  <bgColor rgb="FFFFC7CE"/>
                </patternFill>
              </fill>
            </x14:dxf>
          </x14:cfRule>
          <xm:sqref>P13</xm:sqref>
        </x14:conditionalFormatting>
      </x14:conditionalFormattings>
    </ext>
    <ext xmlns:x14="http://schemas.microsoft.com/office/spreadsheetml/2009/9/main" uri="{CCE6A557-97BC-4b89-ADB6-D9C93CAAB3DF}">
      <x14:dataValidations xmlns:xm="http://schemas.microsoft.com/office/excel/2006/main" count="12">
        <x14:dataValidation type="list" allowBlank="1" xr:uid="{C2818162-DC9A-8047-B4AE-CF0E7C12A554}">
          <x14:formula1>
            <xm:f>Items!$P$1:$P$3</xm:f>
          </x14:formula1>
          <xm:sqref>C67</xm:sqref>
        </x14:dataValidation>
        <x14:dataValidation type="list" allowBlank="1" showInputMessage="1" showErrorMessage="1" xr:uid="{7056B175-94F8-AE4C-91B5-522703E4E788}">
          <x14:formula1>
            <xm:f>Items!$J$1:$J$5</xm:f>
          </x14:formula1>
          <xm:sqref>N18</xm:sqref>
        </x14:dataValidation>
        <x14:dataValidation type="list" allowBlank="1" showInputMessage="1" showErrorMessage="1" xr:uid="{34D96EEA-9498-8545-B85D-00C54763C107}">
          <x14:formula1>
            <xm:f>Items!$K$3:$K$4</xm:f>
          </x14:formula1>
          <xm:sqref>L16</xm:sqref>
        </x14:dataValidation>
        <x14:dataValidation type="list" allowBlank="1" xr:uid="{F673930E-D195-3548-8FB9-18FE6C8E9608}">
          <x14:formula1>
            <xm:f>Items!$U$6:$U$16</xm:f>
          </x14:formula1>
          <xm:sqref>C64</xm:sqref>
        </x14:dataValidation>
        <x14:dataValidation type="list" allowBlank="1" xr:uid="{21BDB697-6973-234B-9288-242C0F037915}">
          <x14:formula1>
            <xm:f>Items!$T$6:$T$10</xm:f>
          </x14:formula1>
          <xm:sqref>C63</xm:sqref>
        </x14:dataValidation>
        <x14:dataValidation type="list" allowBlank="1" xr:uid="{922197CC-645E-4744-AB13-4D7D30E71867}">
          <x14:formula1>
            <xm:f>Items!$S$6:$S$10</xm:f>
          </x14:formula1>
          <xm:sqref>C62</xm:sqref>
        </x14:dataValidation>
        <x14:dataValidation type="list" allowBlank="1" xr:uid="{9BC70B8E-4020-0542-8CD0-2D7BD3D6DBB5}">
          <x14:formula1>
            <xm:f>Items!$R$6:$R$8</xm:f>
          </x14:formula1>
          <xm:sqref>C61</xm:sqref>
        </x14:dataValidation>
        <x14:dataValidation type="list" allowBlank="1" xr:uid="{5DC44013-9563-834F-9B3C-965967102C48}">
          <x14:formula1>
            <xm:f>Items!$Q$6:$Q$10</xm:f>
          </x14:formula1>
          <xm:sqref>C60</xm:sqref>
        </x14:dataValidation>
        <x14:dataValidation type="list" allowBlank="1" showInputMessage="1" showErrorMessage="1" xr:uid="{20AB7494-6352-5F44-BFCC-73C7DC011E3F}">
          <x14:formula1>
            <xm:f>Items!$W$6:$W$8</xm:f>
          </x14:formula1>
          <xm:sqref>N13</xm:sqref>
        </x14:dataValidation>
        <x14:dataValidation type="list" allowBlank="1" showInputMessage="1" showErrorMessage="1" xr:uid="{7BEA2EBF-424B-C04B-910C-42A0CDE66131}">
          <x14:formula1>
            <xm:f>Items!$AD$8:$AD$17</xm:f>
          </x14:formula1>
          <xm:sqref>C68</xm:sqref>
        </x14:dataValidation>
        <x14:dataValidation type="list" allowBlank="1" xr:uid="{E93D7CC0-5A81-DA45-B4C5-6087A9292917}">
          <x14:formula1>
            <xm:f>'Client List'!$B:$B</xm:f>
          </x14:formula1>
          <xm:sqref>C13</xm:sqref>
        </x14:dataValidation>
        <x14:dataValidation type="list" allowBlank="1" showInputMessage="1" showErrorMessage="1" xr:uid="{288E46F4-1770-824E-8C34-B74874D77639}">
          <x14:formula1>
            <xm:f>'Client List'!$B2:$B622</xm:f>
          </x14:formula1>
          <xm:sqref>D13:G13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B2:AA40"/>
  <sheetViews>
    <sheetView showGridLines="0" zoomScaleNormal="100" workbookViewId="0">
      <selection activeCell="D14" sqref="D14"/>
    </sheetView>
  </sheetViews>
  <sheetFormatPr baseColWidth="10" defaultColWidth="9.1640625" defaultRowHeight="14"/>
  <cols>
    <col min="1" max="1" width="9.1640625" style="51"/>
    <col min="2" max="2" width="10" style="51" bestFit="1" customWidth="1"/>
    <col min="3" max="3" width="31.83203125" style="52" bestFit="1" customWidth="1"/>
    <col min="4" max="4" width="15.1640625" style="52" customWidth="1"/>
    <col min="5" max="5" width="9.1640625" style="51"/>
    <col min="6" max="6" width="18" style="51" customWidth="1"/>
    <col min="7" max="12" width="9.1640625" style="51"/>
    <col min="13" max="13" width="11.5" style="51" bestFit="1" customWidth="1"/>
    <col min="14" max="14" width="10.6640625" style="51" customWidth="1"/>
    <col min="15" max="15" width="13" style="51" customWidth="1"/>
    <col min="16" max="16" width="14.83203125" style="51" customWidth="1"/>
    <col min="17" max="17" width="12.33203125" style="51" customWidth="1"/>
    <col min="18" max="18" width="16.83203125" style="51" bestFit="1" customWidth="1"/>
    <col min="19" max="19" width="17.5" style="51" bestFit="1" customWidth="1"/>
    <col min="20" max="21" width="11.83203125" style="51" customWidth="1"/>
    <col min="22" max="22" width="15.1640625" style="51" bestFit="1" customWidth="1"/>
    <col min="23" max="23" width="16.33203125" style="51" bestFit="1" customWidth="1"/>
    <col min="24" max="24" width="16.33203125" style="51" customWidth="1"/>
    <col min="25" max="25" width="16.6640625" style="51" customWidth="1"/>
    <col min="26" max="26" width="17.1640625" style="51" customWidth="1"/>
    <col min="27" max="27" width="17.1640625" style="51" bestFit="1" customWidth="1"/>
    <col min="28" max="16384" width="9.1640625" style="51"/>
  </cols>
  <sheetData>
    <row r="2" spans="2:27" ht="15" thickBot="1">
      <c r="B2" s="57"/>
      <c r="C2" s="58"/>
      <c r="D2" s="58"/>
      <c r="E2" s="59"/>
      <c r="F2" s="59"/>
      <c r="G2" s="60"/>
    </row>
    <row r="3" spans="2:27" ht="20" thickTop="1" thickBot="1">
      <c r="B3" s="61"/>
      <c r="C3" s="380" t="s">
        <v>2514</v>
      </c>
      <c r="D3" s="381"/>
      <c r="E3" s="381"/>
      <c r="F3" s="382"/>
      <c r="G3" s="62"/>
    </row>
    <row r="4" spans="2:27" ht="19" thickTop="1">
      <c r="B4" s="61"/>
      <c r="C4" s="67"/>
      <c r="D4" s="67"/>
      <c r="E4" s="67"/>
      <c r="F4" s="67"/>
      <c r="G4" s="62"/>
    </row>
    <row r="5" spans="2:27" ht="28" customHeight="1">
      <c r="B5" s="348"/>
      <c r="C5" s="383" t="str">
        <f>IF(OR(D$7="Hybrid",D$7="Mini-grid"),D$7&amp;" Solar System with "&amp;INVOICE!$O$8&amp;"kVA inverter, ",IF(D$7="Grid-Tied","Grid-Tied Solar System with "&amp;INVOICE!$O$8&amp;"kVA inverter, ",IF(D$7="Mini-Grid","Mini-Grid Solar System with ",IF(D$7="Backup","Backup System with "&amp;INVOICE!$O$8&amp;"kVA inverter, ",""))))&amp;IF(OR(D$7="Hybrid",D$7="Mini-grid"),INVOICE!$O$9&amp;"kWh Battery, ","")&amp;IF(D$7="Backup","and "&amp;INVOICE!$O$9&amp;"kWh Battery","")&amp;IF(AND(OR(D19="Lithium",D34="Yes"),OR(D$7="Hybrid",D$7="Mini-grid",D$7="Grid-Tied")),INVOICE!$O$10&amp;"kWp Solar Panels and Remote Monitoring","")&amp;IF(AND(D19&lt;&gt;"Lithium",D34="No",OR(D$7="Hybrid",D$7="Mini-grid",D$7="Grid-Tied")),"and "&amp;INVOICE!$O$10&amp;"kWp Solar Panels","")&amp;IF(D7="",INVOICE!C19,"")</f>
        <v>Mini-Grid Solar System with 5kVA inverter, 60kWh Battery, 22.6kWp Solar Panels and Remote Monitoring</v>
      </c>
      <c r="D5" s="384"/>
      <c r="E5" s="384"/>
      <c r="F5" s="385"/>
      <c r="G5" s="62"/>
    </row>
    <row r="6" spans="2:27" ht="14" customHeight="1">
      <c r="B6" s="61"/>
      <c r="C6" s="386"/>
      <c r="D6" s="387"/>
      <c r="E6" s="387"/>
      <c r="F6" s="388"/>
      <c r="G6" s="62"/>
    </row>
    <row r="7" spans="2:27">
      <c r="B7" s="61"/>
      <c r="C7" s="70" t="s">
        <v>2473</v>
      </c>
      <c r="D7" s="279" t="s">
        <v>2474</v>
      </c>
      <c r="F7" s="62"/>
      <c r="G7" s="62"/>
      <c r="M7" s="53" t="s">
        <v>2724</v>
      </c>
      <c r="N7" s="53" t="s">
        <v>2477</v>
      </c>
      <c r="O7" s="53" t="s">
        <v>2213</v>
      </c>
      <c r="P7" s="53" t="s">
        <v>2490</v>
      </c>
      <c r="Q7" s="53" t="s">
        <v>2478</v>
      </c>
      <c r="R7" s="53" t="s">
        <v>2679</v>
      </c>
      <c r="S7" s="53" t="s">
        <v>2678</v>
      </c>
      <c r="T7" s="53" t="s">
        <v>2482</v>
      </c>
      <c r="U7" s="53" t="s">
        <v>2479</v>
      </c>
      <c r="V7" s="53" t="s">
        <v>1219</v>
      </c>
      <c r="W7" s="53" t="s">
        <v>2485</v>
      </c>
      <c r="X7" s="53" t="s">
        <v>2676</v>
      </c>
      <c r="Y7" s="53" t="s">
        <v>2505</v>
      </c>
      <c r="Z7" s="54" t="s">
        <v>2509</v>
      </c>
      <c r="AA7" s="53"/>
    </row>
    <row r="8" spans="2:27">
      <c r="B8" s="61"/>
      <c r="C8" s="70" t="s">
        <v>2484</v>
      </c>
      <c r="D8" s="279">
        <v>48</v>
      </c>
      <c r="F8" s="62"/>
      <c r="G8" s="62"/>
      <c r="M8" s="51" t="s">
        <v>2211</v>
      </c>
      <c r="N8" s="51" t="s">
        <v>2214</v>
      </c>
      <c r="O8" s="52" cm="1">
        <f t="array" ref="O8">IF(OR(ISNUMBER(SEARCH({"Hybrid","Backup","Mini-Grid"},D$7))),48,"")</f>
        <v>48</v>
      </c>
      <c r="P8" s="52">
        <v>1</v>
      </c>
      <c r="Q8" s="51" t="str" cm="1">
        <f t="array" ref="Q8">IF(OR(ISNUMBER(SEARCH({"Mini-Grid","Hybrid","Backup"},D$7))),"Victron","")</f>
        <v>Victron</v>
      </c>
      <c r="R8" s="51" cm="1">
        <f t="array" ref="R8">IF(OR(AND(ISNUMBER(SEARCH({"Victron"},D$13)),ISNUMBER(SEARCH({"Phoenix"},E$13)),OR(ISNUMBER(SEARCH({12,24,48},D$8)))),AND(ISNUMBER(SEARCH({"Victron"},D$13)),ISNUMBER(SEARCH({"Multiplus"},E$13)),OR(ISNUMBER(SEARCH({12,24,48},D$8))))),0.25,"")</f>
        <v>0.25</v>
      </c>
      <c r="S8" s="51" t="str" cm="1">
        <f t="array" ref="S8">IF(OR(AND(ISNUMBER(SEARCH({"Victron"},F$13)),ISNUMBER(SEARCH({"Phoenix"},E$13)),OR(ISNUMBER(SEARCH({12,24,48},D$8)))),AND(ISNUMBER(SEARCH({"Victron"},F$13)),ISNUMBER(SEARCH({"Multiplus"},E$13)),OR(ISNUMBER(SEARCH({12,24,48},D$8))))),0.25,"")</f>
        <v/>
      </c>
      <c r="T8" s="51" t="str" cm="1">
        <f t="array" ref="T8">IF(AND(OR(ISNUMBER(SEARCH({"Hybrid","Backup","Mini-Grid"},D$7))),D8=48),"Lithium","")</f>
        <v>Lithium</v>
      </c>
      <c r="U8" s="51" t="str" cm="1">
        <f t="array" ref="U8">IF(AND(OR(ISNUMBER(SEARCH({"Lithium"},D$19))),D$7&lt;&gt;"Grid-Tied"),"BYD","")</f>
        <v>BYD</v>
      </c>
      <c r="V8" s="51" t="str">
        <f>IF(AND(D$19="12V Lead-Acid",D$20="Victron"),8,"")</f>
        <v/>
      </c>
      <c r="W8" s="51" t="s">
        <v>2488</v>
      </c>
      <c r="X8" s="51" t="str">
        <f>IF(D$25="Victron",115,"")</f>
        <v/>
      </c>
      <c r="Y8" s="51" t="s">
        <v>2506</v>
      </c>
      <c r="Z8" s="51" t="s">
        <v>2508</v>
      </c>
    </row>
    <row r="9" spans="2:27">
      <c r="B9" s="61"/>
      <c r="C9" s="70" t="s">
        <v>2490</v>
      </c>
      <c r="D9" s="280">
        <v>1</v>
      </c>
      <c r="F9" s="62"/>
      <c r="G9" s="62"/>
      <c r="M9" s="51" t="s">
        <v>2215</v>
      </c>
      <c r="N9" s="51" t="s">
        <v>2474</v>
      </c>
      <c r="O9" s="51" cm="1">
        <f t="array" ref="O9">IF(OR(ISNUMBER(SEARCH({"Hybrid","Backup","Mini-Grid"},D$7))),24,"")</f>
        <v>24</v>
      </c>
      <c r="P9" s="51">
        <v>3</v>
      </c>
      <c r="Q9" s="51" t="str" cm="1">
        <f t="array" ref="Q9">IF(OR(ISNUMBER(SEARCH({"Hybrid","Backup"},D$7))),"Deye","")</f>
        <v/>
      </c>
      <c r="S9" s="51" t="str" cm="1">
        <f t="array" ref="S9">IF(OR(AND(ISNUMBER(SEARCH({"Victron"},F$13)),ISNUMBER(SEARCH({"Phoenix"},E$13)),OR(ISNUMBER(SEARCH({12,24,48},D$8)))),AND(ISNUMBER(SEARCH({"Victron"},F$13)),ISNUMBER(SEARCH({"Multiplus"},E$13)),OR(ISNUMBER(SEARCH({12,24,48},D$8))))),0.375,"")</f>
        <v/>
      </c>
      <c r="T9" s="51" t="str" cm="1">
        <f t="array" ref="T9">IF(AND(OR(ISNUMBER(SEARCH({"Hybrid","Backup","Mini-Grid"},D$7)))),"12V Lead-Acid","")</f>
        <v>12V Lead-Acid</v>
      </c>
      <c r="U9" s="51" t="str" cm="1">
        <f t="array" ref="U9">IF(AND(OR(ISNUMBER(SEARCH({"Lithium"},D$19))),D$7&lt;&gt;"Grid-Tied"),"Jinko","")</f>
        <v>Jinko</v>
      </c>
      <c r="V9" s="51" t="str">
        <f>IF(AND(D$19="12V Lead-Acid",D$20="Victron"),14,"")</f>
        <v/>
      </c>
      <c r="W9" s="51" t="s">
        <v>2481</v>
      </c>
      <c r="X9" s="51" t="str">
        <f>IF(D$25="Victron",270,"")</f>
        <v/>
      </c>
      <c r="Y9" s="51" t="s">
        <v>2507</v>
      </c>
      <c r="Z9" s="51" t="s">
        <v>2510</v>
      </c>
    </row>
    <row r="10" spans="2:27">
      <c r="B10" s="61"/>
      <c r="C10" s="71"/>
      <c r="D10" s="72"/>
      <c r="E10" s="65"/>
      <c r="F10" s="66"/>
      <c r="G10" s="62"/>
      <c r="M10" s="51" t="s">
        <v>2216</v>
      </c>
      <c r="N10" s="51" t="s">
        <v>2475</v>
      </c>
      <c r="O10" s="310" cm="1">
        <f t="array" ref="O10">IF(OR(ISNUMBER(SEARCH({"Hybrid","Backup","Mini-Grid"},D$7))),12,"")</f>
        <v>12</v>
      </c>
      <c r="Q10" s="51" t="str" cm="1">
        <f t="array" ref="Q10">IF(OR(ISNUMBER(SEARCH({"Hybrid","Backup"},D$7))),"Phocos","")</f>
        <v/>
      </c>
      <c r="R10" s="51" cm="1">
        <f t="array" ref="R10">IF(OR(AND(ISNUMBER(SEARCH({"Victron"},D$13)),ISNUMBER(SEARCH({"Phoenix"},E$13)),OR(ISNUMBER(SEARCH({12,24,48},D$8)))),AND(ISNUMBER(SEARCH({"Victron"},D$13)),ISNUMBER(SEARCH({"Multiplus"},E$13)),OR(ISNUMBER(SEARCH({12,24,48},D$8))))),0.5,"")</f>
        <v>0.5</v>
      </c>
      <c r="S10" s="51" t="str" cm="1">
        <f t="array" ref="S10">IF(OR(AND(ISNUMBER(SEARCH({"Victron"},F$13)),ISNUMBER(SEARCH({"Phoenix"},E$13)),OR(ISNUMBER(SEARCH({12,24,48},D$8)))),AND(ISNUMBER(SEARCH({"Victron"},F$13)),ISNUMBER(SEARCH({"Multiplus"},E$13)),OR(ISNUMBER(SEARCH({12,24,48},D$8))))),0.5,"")</f>
        <v/>
      </c>
      <c r="T10" s="51" t="str" cm="1">
        <f t="array" ref="T10">IF(AND(OR(ISNUMBER(SEARCH({"Hybrid","Backup","Mini-Grid"},D$7)))),"2V OPzS","")</f>
        <v>2V OPzS</v>
      </c>
      <c r="U10" s="51" t="str" cm="1">
        <f t="array" ref="U10">IF(AND(OR(ISNUMBER(SEARCH({"12V Lead-Acid","2V OPzS","2V OPzV"},D$19))),D$7&lt;&gt;"Grid-Tied"),"Victron","")</f>
        <v/>
      </c>
      <c r="V10" s="51" t="str">
        <f>IF(AND(D$19="12V Lead-Acid",D$20="Victron"),22,"")</f>
        <v/>
      </c>
      <c r="W10" s="51" t="s">
        <v>2480</v>
      </c>
      <c r="X10" s="51" t="str">
        <f>IF(D$25="Victron",305,"")</f>
        <v/>
      </c>
      <c r="Z10" s="51" t="s">
        <v>2511</v>
      </c>
    </row>
    <row r="11" spans="2:27">
      <c r="B11" s="61"/>
      <c r="C11" s="55"/>
      <c r="D11" s="56"/>
      <c r="G11" s="62"/>
      <c r="N11" s="51" t="s">
        <v>2476</v>
      </c>
      <c r="O11" s="310" t="str" cm="1">
        <f t="array" ref="O11">IF(OR(ISNUMBER(SEARCH({"Grid-Tied"},D$7))),"230/400","")</f>
        <v/>
      </c>
      <c r="Q11" s="51" t="str" cm="1">
        <f t="array" ref="Q11">IF(OR(ISNUMBER(SEARCH({"Mini-Grid","Grid-Tied"},D$7))),"Fronius","")</f>
        <v>Fronius</v>
      </c>
      <c r="R11" s="51" cm="1">
        <f t="array" ref="R11">IF(OR(AND(ISNUMBER(SEARCH({"Victron"},D$13)),ISNUMBER(SEARCH({"Phoenix"},E$13)),OR(ISNUMBER(SEARCH({12,24,48},D$8)))),AND(ISNUMBER(SEARCH({"Victron"},D$13)),ISNUMBER(SEARCH({"Multiplus"},E$13)),OR(ISNUMBER(SEARCH({12,24,48},D$8))))),0.8,"")</f>
        <v>0.8</v>
      </c>
      <c r="S11" s="51" t="str" cm="1">
        <f t="array" ref="S11">IF(OR(AND(ISNUMBER(SEARCH({"Victron"},F$13)),ISNUMBER(SEARCH({"Phoenix"},E$13)),OR(ISNUMBER(SEARCH({12,24,48},D$8)))),AND(ISNUMBER(SEARCH({"Victron"},F$13)),ISNUMBER(SEARCH({"Multiplus"},E$13)),OR(ISNUMBER(SEARCH({12,24,48},D$8))))),0.8,"")</f>
        <v/>
      </c>
      <c r="T11" s="51" t="str" cm="1">
        <f t="array" ref="T11">IF(AND(OR(ISNUMBER(SEARCH({"Hybrid","Backup","Mini-Grid"},D$7)))),"2V OPzV","")</f>
        <v>2V OPzV</v>
      </c>
      <c r="U11" s="51" t="str" cm="1">
        <f t="array" ref="U11">IF(AND(OR(ISNUMBER(SEARCH({"12V Lead-Acid","2V OPzS","2V OPzV"},D$19))),D$7&lt;&gt;"Grid-Tied"),"Hoppecke","")</f>
        <v/>
      </c>
      <c r="V11" s="51" t="str">
        <f>IF(AND(D$19="12V Lead-Acid",D$20="Victron"),38,"")</f>
        <v/>
      </c>
      <c r="W11" s="51" t="s">
        <v>1840</v>
      </c>
      <c r="X11" s="51" t="str">
        <f>IF(D$25="Victron",330,"")</f>
        <v/>
      </c>
    </row>
    <row r="12" spans="2:27">
      <c r="B12" s="61"/>
      <c r="C12" s="68"/>
      <c r="D12" s="69"/>
      <c r="E12" s="59"/>
      <c r="F12" s="60"/>
      <c r="G12" s="62"/>
      <c r="Q12" s="51" t="str" cm="1">
        <f t="array" ref="Q12">IF(OR(ISNUMBER(SEARCH({"Mini-Grid","Grid-Tied"},D$7))),"Huawei","")</f>
        <v>Huawei</v>
      </c>
      <c r="R12" s="51" cm="1">
        <f t="array" ref="R12">IF(OR(AND(ISNUMBER(SEARCH({"Victron"},D$13)),ISNUMBER(SEARCH({"Phoenix"},E$13)),OR(ISNUMBER(SEARCH({12,24,48},D$8)))),AND(ISNUMBER(SEARCH({"Victron"},D$13)),ISNUMBER(SEARCH({"Multiplus"},E$13)),OR(ISNUMBER(SEARCH({12,24,48},D$8))))),1.2,"")</f>
        <v>1.2</v>
      </c>
      <c r="S12" s="51" t="str" cm="1">
        <f t="array" ref="S12">IF(OR(AND(ISNUMBER(SEARCH({"Victron"},F$13)),ISNUMBER(SEARCH({"Phoenix"},E$13)),OR(ISNUMBER(SEARCH({12,24,48},D$8)))),AND(ISNUMBER(SEARCH({"Victron"},F$13)),ISNUMBER(SEARCH({"Multiplus"},E$13)),OR(ISNUMBER(SEARCH({12,24,48},D$8))))),1.2,"")</f>
        <v/>
      </c>
      <c r="U12" s="51" t="str" cm="1">
        <f t="array" ref="U12">IF(AND(OR(ISNUMBER(SEARCH({"Lithium"},D$19))),D$7&lt;&gt;"Grid-Tied"),"Freedom Won","")</f>
        <v>Freedom Won</v>
      </c>
      <c r="V12" s="51" t="str">
        <f>IF(AND(D$19="12V Lead-Acid",D$20="Victron"),60,"")</f>
        <v/>
      </c>
      <c r="W12" s="51" t="s">
        <v>2489</v>
      </c>
      <c r="X12" s="51" t="str">
        <f>IF(D$25="Sharp",415,"")</f>
        <v/>
      </c>
    </row>
    <row r="13" spans="2:27">
      <c r="B13" s="61"/>
      <c r="C13" s="70" t="s">
        <v>2472</v>
      </c>
      <c r="D13" s="279" t="s">
        <v>1840</v>
      </c>
      <c r="E13" s="321" t="s">
        <v>2215</v>
      </c>
      <c r="F13" s="279" t="s">
        <v>2683</v>
      </c>
      <c r="G13" s="62"/>
      <c r="R13" s="51" cm="1">
        <f t="array" ref="R13">IF(OR(AND(ISNUMBER(SEARCH({"Victron"},D$13)),ISNUMBER(SEARCH({"Phoenix"},E$13)),ISNUMBER(SEARCH({48},D$8))),AND(ISNUMBER(SEARCH({"Victron"},D$13)),ISNUMBER(SEARCH({"Multiplus"},E$13)),OR(ISNUMBER(SEARCH({12,24,48},D$8))))),1.6,"")</f>
        <v>1.6</v>
      </c>
      <c r="S13" s="51" t="str" cm="1">
        <f t="array" ref="S13">IF(OR(AND(ISNUMBER(SEARCH({"Victron"},F$13)),ISNUMBER(SEARCH({"Phoenix"},E$13)),OR(ISNUMBER(SEARCH({12,24,48},D$8)))),AND(ISNUMBER(SEARCH({"Victron"},F$13)),ISNUMBER(SEARCH({"Multiplus"},E$13)),OR(ISNUMBER(SEARCH({12,24,48},D$8))))),1.6,"")</f>
        <v/>
      </c>
      <c r="V13" s="51" t="str">
        <f>IF(AND(D$19="12V Lead-Acid",D$20="Victron"),90,"")</f>
        <v/>
      </c>
      <c r="X13" s="51" t="str">
        <f>IF(D$25="BYD",530,"")</f>
        <v/>
      </c>
    </row>
    <row r="14" spans="2:27">
      <c r="B14" s="61"/>
      <c r="C14" s="70" t="str">
        <f>IF(AND(D7&lt;&gt;"Mini-Grid",D13="Victron"),"Inverter Rating (kVA):",IF(AND(D7&lt;&gt;"Mini-Grid",D13&lt;&gt;"Victron"),"Inverter Rating (kW):",IF(D7="Mini-Grid","Inverter Rating (kVA + kW):","")))</f>
        <v>Inverter Rating (kVA + kW):</v>
      </c>
      <c r="D14" s="312">
        <v>5</v>
      </c>
      <c r="E14" s="57"/>
      <c r="F14" s="322">
        <v>15</v>
      </c>
      <c r="G14" s="62"/>
      <c r="R14" s="51" cm="1">
        <f t="array" ref="R14">IF(OR(AND(ISNUMBER(SEARCH({"Victron"},D$13)),ISNUMBER(SEARCH({"Phoenix"},E$13)),ISNUMBER(SEARCH({48},D$8))),AND(ISNUMBER(SEARCH({"Victron"},D$13)),ISNUMBER(SEARCH({"Multiplus"},E$13)),OR(ISNUMBER(SEARCH({12,24,48},D$8)))),AND(OR(ISNUMBER(SEARCH({"Fronius","Huawei"},D$13))),ISNUMBER(SEARCH({"230/400"},D$8)))),2,"")</f>
        <v>2</v>
      </c>
      <c r="S14" s="51" cm="1">
        <f t="array" ref="S14">IF(OR(AND(ISNUMBER(SEARCH({"Victron"},F$13)),ISNUMBER(SEARCH({"Phoenix"},E$13)),OR(ISNUMBER(SEARCH({12,24,48},D$8)))),AND(ISNUMBER(SEARCH({"Victron"},F$13)),ISNUMBER(SEARCH({"Multiplus"},E$13)),OR(ISNUMBER(SEARCH({12,24,48},D$8)))),AND(OR(ISNUMBER(SEARCH({"Fronius","Huawei"},F$13))),ISNUMBER(SEARCH({"Mini-Grid"},D$7)))),2,"")</f>
        <v>2</v>
      </c>
      <c r="V14" s="51" t="str">
        <f>IF(AND(D$19="12V Lead-Acid",D$20="Victron"),110,"")</f>
        <v/>
      </c>
      <c r="X14" s="51" t="str">
        <f>IF(D$25="BYD",545,"")</f>
        <v/>
      </c>
    </row>
    <row r="15" spans="2:27">
      <c r="B15" s="61"/>
      <c r="C15" s="70" t="s">
        <v>2483</v>
      </c>
      <c r="D15" s="281">
        <v>1</v>
      </c>
      <c r="F15" s="323">
        <v>1</v>
      </c>
      <c r="G15" s="62"/>
      <c r="R15" s="51" cm="1">
        <f t="array" ref="R15">IF(OR(AND(ISNUMBER(SEARCH({"Victron"},D$13)),ISNUMBER(SEARCH({"Phoenix"},E$13)),ISNUMBER(SEARCH({48},D$8))),AND(ISNUMBER(SEARCH({"Victron"},D$13)),ISNUMBER(SEARCH({"Multiplus"},E$13)),OR(ISNUMBER(SEARCH({24,48},D$8)))),AND(OR(ISNUMBER(SEARCH({"Deye","Phocos"},D$13))),ISNUMBER(SEARCH({48},D$8))),AND(ISNUMBER(SEARCH({"Phocos"},D$13)),ISNUMBER(SEARCH({24},D$8))),AND(OR(ISNUMBER(SEARCH({"Fronius","Huawei"},D$13))),ISNUMBER(SEARCH({"230/400"},D$8)))),3,"")</f>
        <v>3</v>
      </c>
      <c r="S15" s="51" cm="1">
        <f t="array" ref="S15">IF(OR(AND(ISNUMBER(SEARCH({"Victron"},F$13)),ISNUMBER(SEARCH({"Phoenix"},E$13)),OR(ISNUMBER(SEARCH({12,24,48},D$8)))),AND(ISNUMBER(SEARCH({"Victron"},F$13)),ISNUMBER(SEARCH({"Multiplus"},E$13)),OR(ISNUMBER(SEARCH({12,24,48},D$8)))),AND(OR(ISNUMBER(SEARCH({"Deye","Phocos"},F$13))),ISNUMBER(SEARCH({48},D$8))),AND(ISNUMBER(SEARCH({"Phocos"},F$13)),ISNUMBER(SEARCH({24},D$8))),AND(OR(ISNUMBER(SEARCH({"Fronius","Huawei"},F$13))),ISNUMBER(SEARCH({"Mini-Grid"},D$7)))),3,"")</f>
        <v>3</v>
      </c>
      <c r="V15" s="51" t="str">
        <f>IF(AND(D$19="12V Lead-Acid",D$20="Victron"),200,"")</f>
        <v/>
      </c>
      <c r="X15" s="51" t="str">
        <f>IF(D$25="Jinko",555,"")</f>
        <v/>
      </c>
    </row>
    <row r="16" spans="2:27">
      <c r="B16" s="61"/>
      <c r="C16" s="71"/>
      <c r="D16" s="73"/>
      <c r="E16" s="65"/>
      <c r="F16" s="66"/>
      <c r="G16" s="62"/>
      <c r="R16" s="51" cm="1">
        <f t="array" ref="R16">IF(OR(AND(ISNUMBER(SEARCH({"Victron"},D$13)),ISNUMBER(SEARCH({"Phoenix"},E$13)),ISNUMBER(SEARCH({48},D$8))),AND(ISNUMBER(SEARCH({"Victron"},D$13)),ISNUMBER(SEARCH({"Multiplus"},E$13)),ISNUMBER(SEARCH({48},D$8))),AND(ISNUMBER(SEARCH({"Victron"},D$13)),ISNUMBER(SEARCH({"Quattro"},E$13)),ISNUMBER(SEARCH({48},D$8))),AND(OR(ISNUMBER(SEARCH({"Deye","Phocos"},D$13))),ISNUMBER(SEARCH({48},D$8))),AND(OR(ISNUMBER(SEARCH({"Fronius","Huawei"},D$13))),ISNUMBER(SEARCH({"230/400"},D$8)))),5,"")</f>
        <v>5</v>
      </c>
      <c r="S16" s="51" cm="1">
        <f t="array" ref="S16">IF(OR(AND(ISNUMBER(SEARCH({"Victron"},F$13)),ISNUMBER(SEARCH({"Phoenix"},E$13)),OR(ISNUMBER(SEARCH({24,48},D$8)))),AND(ISNUMBER(SEARCH({"Victron"},F$13)),ISNUMBER(SEARCH({"Multiplus"},E$13)),OR(ISNUMBER(SEARCH({24,48},D$8)))),AND(OR(ISNUMBER(SEARCH({"Deye","Phocos"},F$13))),ISNUMBER(SEARCH({48},D$8))),AND(OR(ISNUMBER(SEARCH({"Fronius","Huawei"},F$13))),ISNUMBER(SEARCH({"Mini-Grid"},D$7)))),5,"")</f>
        <v>5</v>
      </c>
      <c r="V16" s="51" t="str">
        <f>IF(AND(D$19="12V Lead-Acid",D$20="Victron"),220,"")</f>
        <v/>
      </c>
      <c r="X16" s="51">
        <f>IF(D$25="JA Solar",565,"")</f>
        <v>565</v>
      </c>
    </row>
    <row r="17" spans="2:22">
      <c r="B17" s="61"/>
      <c r="C17" s="55"/>
      <c r="D17" s="55"/>
      <c r="G17" s="62"/>
      <c r="R17" s="51" cm="1">
        <f t="array" ref="R17">IF(OR(AND(ISNUMBER(SEARCH({"Victron"},D$13)),ISNUMBER(SEARCH({"Multiplus"},E$13)),ISNUMBER(SEARCH({48},D$8))),AND(ISNUMBER(SEARCH({"Deye"},D$13)),ISNUMBER(SEARCH({48},D$8))),AND(ISNUMBER(SEARCH({"Fronius"},D$13)),ISNUMBER(SEARCH({"230/400"},D$8)))),6,"")</f>
        <v>6</v>
      </c>
      <c r="S17" s="51" cm="1">
        <f t="array" ref="S17">IF(OR(AND(ISNUMBER(SEARCH({"Victron"},F$13)),ISNUMBER(SEARCH({"Multiplus"},E$13)),ISNUMBER(SEARCH({48},D$8))),AND(ISNUMBER(SEARCH({"Deye"},F$13)),ISNUMBER(SEARCH({48},D$8))),AND(ISNUMBER(SEARCH({"Fronius"},F$13)),ISNUMBER(SEARCH({"Mini-Grid"},D$7)))),6,"")</f>
        <v>6</v>
      </c>
      <c r="V17" s="51" t="str">
        <f>IF(AND(D$19="12V Lead-Acid",D$20="Hoppecke"),150,"")</f>
        <v/>
      </c>
    </row>
    <row r="18" spans="2:22">
      <c r="B18" s="61"/>
      <c r="C18" s="68"/>
      <c r="D18" s="69"/>
      <c r="E18" s="59"/>
      <c r="F18" s="60"/>
      <c r="G18" s="62"/>
      <c r="R18" s="51" cm="1">
        <f t="array" ref="R18">IF(OR(AND(ISNUMBER(SEARCH({"Victron"},D$13)),ISNUMBER(SEARCH({"Multiplus"},E$13)),ISNUMBER(SEARCH({48},D$8))),AND(ISNUMBER(SEARCH({"Victron"},D$13)),ISNUMBER(SEARCH({"Quattro"},E$13)),ISNUMBER(SEARCH({48},D$8))),AND(ISNUMBER(SEARCH({"Deye"},D$13)),ISNUMBER(SEARCH({48},D$8))),AND(ISNUMBER(SEARCH({"Phocos"},D$13)),ISNUMBER(SEARCH({48},D$8))),AND(ISNUMBER(SEARCH({"Fronius"},D$13)),ISNUMBER(SEARCH({"230/400"},D$8)))),8,"")</f>
        <v>8</v>
      </c>
      <c r="S18" s="51" cm="1">
        <f t="array" ref="S18">IF(OR(AND(ISNUMBER(SEARCH({"Victron"},F$13)),ISNUMBER(SEARCH({"Multiplus"},E$13)),ISNUMBER(SEARCH({48},D$8))),AND(ISNUMBER(SEARCH({"Victron"},F$13)),ISNUMBER(SEARCH({"Quattro"},E$13)),ISNUMBER(SEARCH({48},D$8))),AND(ISNUMBER(SEARCH({"Deye"},F$13)),ISNUMBER(SEARCH({48},D$8))),AND(ISNUMBER(SEARCH({"Phocos"},F$13)),ISNUMBER(SEARCH({48},D$8))),AND(ISNUMBER(SEARCH({"Fronius"},F$13)),ISNUMBER(SEARCH({"Mini-Grid"},D$7)))),8,"")</f>
        <v>8</v>
      </c>
      <c r="V18" s="51" t="str">
        <f>IF(AND(D$19="12V Lead-Acid",D$20="Hoppecke"),250,"")</f>
        <v/>
      </c>
    </row>
    <row r="19" spans="2:22">
      <c r="B19" s="61"/>
      <c r="C19" s="70" t="s">
        <v>2482</v>
      </c>
      <c r="D19" s="279" t="s">
        <v>1838</v>
      </c>
      <c r="F19" s="62"/>
      <c r="G19" s="62"/>
      <c r="R19" s="51" cm="1">
        <f t="array" ref="R19">IF(OR(AND(ISNUMBER(SEARCH({"Victron"},D$13)),ISNUMBER(SEARCH({"Multiplus"},E$13)),ISNUMBER(SEARCH({48},D$8))),AND(ISNUMBER(SEARCH({"Victron"},D$13)),ISNUMBER(SEARCH({"Quattro"},E$13)),ISNUMBER(SEARCH({48},D$8))),AND(ISNUMBER(SEARCH({"Deye"},D$13)),ISNUMBER(SEARCH({48},D$8))),AND(OR(ISNUMBER(SEARCH({"Fronius","Huawei"},D$13))),ISNUMBER(SEARCH({"230/400"},D$8)))),10,"")</f>
        <v>10</v>
      </c>
      <c r="S19" s="51" cm="1">
        <f t="array" ref="S19">IF(OR(AND(ISNUMBER(SEARCH({"Victron"},F$13)),ISNUMBER(SEARCH({"Multiplus"},E$13)),ISNUMBER(SEARCH({48},D$8))),AND(ISNUMBER(SEARCH({"Victron"},F$13)),ISNUMBER(SEARCH({"Quattro"},E$13)),ISNUMBER(SEARCH({48},D$8))),AND(ISNUMBER(SEARCH({"Deye"},F$13)),ISNUMBER(SEARCH({48},D$8))),AND(OR(ISNUMBER(SEARCH({"Fronius","Huawei"},F$13))),ISNUMBER(SEARCH({"Mini-Grid"},D$7)))),10,"")</f>
        <v>10</v>
      </c>
      <c r="V19" s="51" t="str">
        <f>IF(AND(D$19="2V OPzV",D$20="Hoppecke"),1250,"")</f>
        <v/>
      </c>
    </row>
    <row r="20" spans="2:22">
      <c r="B20" s="61"/>
      <c r="C20" s="70" t="s">
        <v>2684</v>
      </c>
      <c r="D20" s="279" t="s">
        <v>2480</v>
      </c>
      <c r="E20" s="311">
        <v>5</v>
      </c>
      <c r="F20" s="319" t="str">
        <f>IF(OR(D20="Jinko",D20="BYD"),"kWh",IF(OR(D20="Victron",D20="Hoppecke"),"Ah",""))</f>
        <v>kWh</v>
      </c>
      <c r="G20" s="62"/>
      <c r="R20" s="51" t="str" cm="1">
        <f t="array" ref="R20">IF(AND(ISNUMBER(SEARCH({"Deye"},D$13)),ISNUMBER(SEARCH({48},D$8))),12,"")</f>
        <v/>
      </c>
      <c r="S20" s="51" t="str" cm="1">
        <f t="array" ref="S20">IF(AND(ISNUMBER(SEARCH({"Deye"},F$13)),ISNUMBER(SEARCH({48},D$8))),12,"")</f>
        <v/>
      </c>
      <c r="V20" s="51" t="str">
        <f>IF(AND(D$19="2V OPzS",D$20="Hoppecke"),1520,"")</f>
        <v/>
      </c>
    </row>
    <row r="21" spans="2:22">
      <c r="B21" s="61"/>
      <c r="C21" s="70" t="s">
        <v>2685</v>
      </c>
      <c r="D21" s="281">
        <v>12</v>
      </c>
      <c r="F21" s="62"/>
      <c r="G21" s="62"/>
      <c r="R21" s="51" cm="1">
        <f t="array" ref="R21">IF(OR(AND(ISNUMBER(SEARCH({"Victron"},D$13)),ISNUMBER(SEARCH({"Multiplus"},E$13)),ISNUMBER(SEARCH({48},D$8))),AND(ISNUMBER(SEARCH({"Victron"},D$13)),ISNUMBER(SEARCH({"Quattro"},E$13)),ISNUMBER(SEARCH({48},D$8))),AND(ISNUMBER(SEARCH({"Fronius"},D$13)),ISNUMBER(SEARCH({"230/400"},D$8)))),15,"")</f>
        <v>15</v>
      </c>
      <c r="S21" s="51" cm="1">
        <f t="array" ref="S21">IF(OR(AND(ISNUMBER(SEARCH({"Victron"},F$13)),ISNUMBER(SEARCH({"Multiplus"},E$13)),ISNUMBER(SEARCH({48},D$8))),AND(ISNUMBER(SEARCH({"Victron"},F$13)),ISNUMBER(SEARCH({"Quattro"},E$13)),ISNUMBER(SEARCH({48},D$8))),AND(ISNUMBER(SEARCH({"Fronius"},F$13)),ISNUMBER(SEARCH({"Mini-Grid"},D$7)))),15,"")</f>
        <v>15</v>
      </c>
      <c r="V21" s="51" t="str">
        <f>IF(AND(D$19="2V OPzS",D$20="Victron"),900,"")</f>
        <v/>
      </c>
    </row>
    <row r="22" spans="2:22">
      <c r="B22" s="61"/>
      <c r="C22" s="71"/>
      <c r="D22" s="75"/>
      <c r="E22" s="65"/>
      <c r="F22" s="66"/>
      <c r="G22" s="62"/>
      <c r="R22" s="51" t="str" cm="1">
        <f t="array" ref="R22">IF(AND(ISNUMBER(SEARCH({"Deye"},D$13)),ISNUMBER(SEARCH({48},D$8))),16,"")</f>
        <v/>
      </c>
      <c r="S22" s="51" t="str" cm="1">
        <f t="array" ref="S22">IF(AND(ISNUMBER(SEARCH({"Deye"},F$13)),ISNUMBER(SEARCH({48},D$8))),16,"")</f>
        <v/>
      </c>
      <c r="V22" s="51" t="str">
        <f>IF(AND(D$19="2V OPzV",D$20="Victron"),1200,"")</f>
        <v/>
      </c>
    </row>
    <row r="23" spans="2:22">
      <c r="B23" s="61"/>
      <c r="C23" s="55"/>
      <c r="D23" s="55"/>
      <c r="G23" s="62"/>
      <c r="R23" s="51" t="str" cm="1">
        <f t="array" ref="R23">IF(AND(ISNUMBER(SEARCH({"Fronius"},D$13)),ISNUMBER(SEARCH({"230/400"},D$8))),17.5,"")</f>
        <v/>
      </c>
      <c r="S23" s="51" cm="1">
        <f t="array" ref="S23">IF(AND(ISNUMBER(SEARCH({"Fronius"},F$13)),ISNUMBER(SEARCH({"Mini-Grid"},D$7))),17.5,"")</f>
        <v>17.5</v>
      </c>
      <c r="V23" s="51">
        <f>IF(AND(D$19="Lithium",D$20="BYD"),5,"")</f>
        <v>5</v>
      </c>
    </row>
    <row r="24" spans="2:22">
      <c r="B24" s="61"/>
      <c r="C24" s="68"/>
      <c r="D24" s="69"/>
      <c r="E24" s="59"/>
      <c r="F24" s="60"/>
      <c r="G24" s="62"/>
      <c r="R24" s="51" t="str" cm="1">
        <f t="array" ref="R24">IF(AND(OR(ISNUMBER(SEARCH({"Fronius","Huawei"},D$13))),ISNUMBER(SEARCH({"230/400"},D$8))),20,"")</f>
        <v/>
      </c>
      <c r="S24" s="51" cm="1">
        <f t="array" ref="S24">IF(AND(OR(ISNUMBER(SEARCH({"Fronius","Huawei"},F$13))),ISNUMBER(SEARCH({"Mini-Grid"},D$7))),20,"")</f>
        <v>20</v>
      </c>
      <c r="V24" s="51">
        <f>IF(AND(D$19="Lithium",D$20="BYD"),15,"")</f>
        <v>15</v>
      </c>
    </row>
    <row r="25" spans="2:22">
      <c r="B25" s="61"/>
      <c r="C25" s="70" t="s">
        <v>2486</v>
      </c>
      <c r="D25" s="282" t="s">
        <v>2488</v>
      </c>
      <c r="E25" s="278">
        <f ca="1">IF(D13="Victron",SUM(Items!A242:A254)-IF('Client List'!IL474="",0,'Client List'!IL474),SUM(Items!A242:A254))</f>
        <v>40</v>
      </c>
      <c r="F25" s="62" t="s">
        <v>2524</v>
      </c>
      <c r="G25" s="62"/>
      <c r="R25" s="51" t="str" cm="1">
        <f t="array" ref="R25">IF(AND(ISNUMBER(SEARCH({"Fronius"},D$13)),ISNUMBER(SEARCH({"230/400"},D$8))),25,"")</f>
        <v/>
      </c>
      <c r="S25" s="51" cm="1">
        <f t="array" ref="S25">IF(AND(ISNUMBER(SEARCH({"Fronius"},F$13)),ISNUMBER(SEARCH({"Mini-Grid"},D$7))),25,"")</f>
        <v>25</v>
      </c>
      <c r="V25" s="51" t="str">
        <f>IF(AND(D$19="Lithium",D$20="Jinko"),4.8,"")</f>
        <v/>
      </c>
    </row>
    <row r="26" spans="2:22">
      <c r="B26" s="61"/>
      <c r="C26" s="70" t="s">
        <v>2677</v>
      </c>
      <c r="D26" s="282">
        <v>565</v>
      </c>
      <c r="E26" s="310"/>
      <c r="F26" s="62"/>
      <c r="G26" s="62"/>
      <c r="R26" s="51" t="str" cm="1">
        <f t="array" ref="R26">IF(AND(ISNUMBER(SEARCH({"Fronius"},D$13)),ISNUMBER(SEARCH({"230/400"},D$8))),27,"")</f>
        <v/>
      </c>
      <c r="S26" s="51" cm="1">
        <f t="array" ref="S26">IF(AND(ISNUMBER(SEARCH({"Fronius"},F$13)),ISNUMBER(SEARCH({"Mini-Grid"},D$7))),27,"")</f>
        <v>27</v>
      </c>
    </row>
    <row r="27" spans="2:22">
      <c r="B27" s="61"/>
      <c r="C27" s="70" t="s">
        <v>2487</v>
      </c>
      <c r="D27" s="281">
        <v>22.5</v>
      </c>
      <c r="E27" s="313">
        <f>IF(D7="Grid-Tied",ROUNDUP(1.2*((D14*D15)),0),(D21*IF(D19="Lithium",E20,IF(OR(D19="2V OPzV",D19="2V OPzS"),E20*2/1000,IF(D19="12V Lead-Acid",E20*12/1000,0)))/4)+(0.5*((D14*D15))))</f>
        <v>17.5</v>
      </c>
      <c r="F27" s="62" t="s">
        <v>2523</v>
      </c>
      <c r="G27" s="62"/>
      <c r="R27" s="51" t="str" cm="1">
        <f t="array" ref="R27">IF(AND(OR(ISNUMBER(SEARCH({"Fronius","Huawei"},D$13))),ISNUMBER(SEARCH({"230/400"},D$8))),30,"")</f>
        <v/>
      </c>
      <c r="S27" s="51" t="str" cm="1">
        <f t="array" ref="S27">IF(AND(ISNUMBER(SEARCH({"Huawei"},F$13)),ISNUMBER(SEARCH({"Mini-Grid"},D$7))),30,"")</f>
        <v/>
      </c>
    </row>
    <row r="28" spans="2:22">
      <c r="B28" s="61"/>
      <c r="C28" s="71"/>
      <c r="D28" s="73"/>
      <c r="E28" s="65"/>
      <c r="F28" s="66"/>
      <c r="G28" s="62"/>
      <c r="R28" s="51" t="str" cm="1">
        <f t="array" ref="R28">IF(AND(ISNUMBER(SEARCH({"Fronius"},D$13)),ISNUMBER(SEARCH({"230/400"},D$8))),33.3,"")</f>
        <v/>
      </c>
      <c r="S28" s="51" t="str" cm="1">
        <f t="array" ref="S28">IF(AND(ISNUMBER(SEARCH({"Huawei"},F$13)),ISNUMBER(SEARCH({"Mini-Grid"},D$7))),40,"")</f>
        <v/>
      </c>
    </row>
    <row r="29" spans="2:22">
      <c r="B29" s="61"/>
      <c r="C29" s="55"/>
      <c r="D29" s="55"/>
      <c r="G29" s="62"/>
      <c r="R29" s="51" t="str" cm="1">
        <f t="array" ref="R29">IF(AND(ISNUMBER(SEARCH({"Huawei"},D$13)),ISNUMBER(SEARCH({"230/400"},D$8))),40,"")</f>
        <v/>
      </c>
      <c r="S29" s="51" cm="1">
        <f t="array" ref="S29">IF(AND(OR(ISNUMBER(SEARCH({"Fronius","Huawei"},F$13))),ISNUMBER(SEARCH({"Mini-Grid"},D$7))),50,"")</f>
        <v>50</v>
      </c>
    </row>
    <row r="30" spans="2:22">
      <c r="B30" s="61"/>
      <c r="C30" s="68"/>
      <c r="D30" s="69"/>
      <c r="E30" s="59"/>
      <c r="F30" s="60"/>
      <c r="G30" s="62"/>
      <c r="R30" s="51" t="str" cm="1">
        <f t="array" ref="R30">IF(AND(OR(ISNUMBER(SEARCH({"Fronius","Huawei"},D$13))),ISNUMBER(SEARCH({"230/400"},D$8))),50,"")</f>
        <v/>
      </c>
      <c r="S30" s="51" cm="1">
        <f t="array" ref="S30">IF(AND(ISNUMBER(SEARCH({"Fronius"},F$13)),ISNUMBER(SEARCH({"Mini-Grid"},D$7))),100,"")</f>
        <v>100</v>
      </c>
    </row>
    <row r="31" spans="2:22">
      <c r="B31" s="61"/>
      <c r="C31" s="70" t="s">
        <v>2492</v>
      </c>
      <c r="D31" s="281">
        <v>18</v>
      </c>
      <c r="F31" s="62"/>
      <c r="G31" s="62"/>
      <c r="R31" s="51" t="str" cm="1">
        <f t="array" ref="R31">IF(AND(ISNUMBER(SEARCH({"Fronius"},D$13)),ISNUMBER(SEARCH({"230/400"},D$8))),100,"")</f>
        <v/>
      </c>
    </row>
    <row r="32" spans="2:22">
      <c r="B32" s="61"/>
      <c r="C32" s="70" t="s">
        <v>2493</v>
      </c>
      <c r="D32" s="281">
        <v>10</v>
      </c>
      <c r="F32" s="62"/>
      <c r="G32" s="62"/>
    </row>
    <row r="33" spans="2:7">
      <c r="B33" s="61"/>
      <c r="C33" s="70"/>
      <c r="D33" s="55"/>
      <c r="F33" s="62"/>
      <c r="G33" s="62"/>
    </row>
    <row r="34" spans="2:7">
      <c r="B34" s="61"/>
      <c r="C34" s="70" t="str">
        <f>IF(D7="Grid-Tied","Hybrid Controller:","Remote Monitoring:")</f>
        <v>Remote Monitoring:</v>
      </c>
      <c r="D34" s="279" t="s">
        <v>2506</v>
      </c>
      <c r="E34" s="320">
        <v>1</v>
      </c>
      <c r="F34" s="62" t="s">
        <v>2665</v>
      </c>
      <c r="G34" s="62"/>
    </row>
    <row r="35" spans="2:7">
      <c r="B35" s="61"/>
      <c r="C35" s="70"/>
      <c r="D35" s="55"/>
      <c r="F35" s="62"/>
      <c r="G35" s="62"/>
    </row>
    <row r="36" spans="2:7">
      <c r="B36" s="61"/>
      <c r="C36" s="70" t="s">
        <v>2509</v>
      </c>
      <c r="D36" s="279" t="s">
        <v>2508</v>
      </c>
      <c r="F36" s="62"/>
      <c r="G36" s="62"/>
    </row>
    <row r="37" spans="2:7">
      <c r="B37" s="61"/>
      <c r="C37" s="74"/>
      <c r="D37" s="64"/>
      <c r="E37" s="65"/>
      <c r="F37" s="66"/>
      <c r="G37" s="62"/>
    </row>
    <row r="38" spans="2:7">
      <c r="B38" s="61"/>
      <c r="G38" s="62"/>
    </row>
    <row r="39" spans="2:7">
      <c r="B39" s="61"/>
      <c r="C39" s="55" t="s">
        <v>2515</v>
      </c>
      <c r="D39" s="277" t="str">
        <f ca="1">INVOICE!L72</f>
        <v>GH₵ 429,950.32</v>
      </c>
      <c r="G39" s="62"/>
    </row>
    <row r="40" spans="2:7">
      <c r="B40" s="63"/>
      <c r="C40" s="64"/>
      <c r="D40" s="64"/>
      <c r="E40" s="65"/>
      <c r="F40" s="65"/>
      <c r="G40" s="66"/>
    </row>
  </sheetData>
  <mergeCells count="3">
    <mergeCell ref="C3:F3"/>
    <mergeCell ref="C5:F5"/>
    <mergeCell ref="C6:F6"/>
  </mergeCells>
  <conditionalFormatting sqref="C31">
    <cfRule type="expression" dxfId="43" priority="14">
      <formula>ISERROR(MATCH($D$7,$N$8:$N$10,0))</formula>
    </cfRule>
  </conditionalFormatting>
  <conditionalFormatting sqref="D8">
    <cfRule type="expression" dxfId="41" priority="23">
      <formula>ISERROR(MATCH($D$8,$O$8:$O$11,0))</formula>
    </cfRule>
  </conditionalFormatting>
  <conditionalFormatting sqref="D13">
    <cfRule type="expression" dxfId="40" priority="8">
      <formula>ISERROR(MATCH($D$13,$Q$8:$Q$12,0))</formula>
    </cfRule>
  </conditionalFormatting>
  <conditionalFormatting sqref="D14">
    <cfRule type="expression" dxfId="39" priority="7">
      <formula>ISERROR(MATCH($D$14,$R$8:$R$31,0))</formula>
    </cfRule>
  </conditionalFormatting>
  <conditionalFormatting sqref="D19">
    <cfRule type="expression" dxfId="38" priority="27">
      <formula>ISERROR(MATCH($D$19,$T$8:$T$11,0))</formula>
    </cfRule>
  </conditionalFormatting>
  <conditionalFormatting sqref="D19:D20">
    <cfRule type="expression" dxfId="37" priority="11">
      <formula>ISERROR(MATCH($D$7,$N$9:$N$11,0))</formula>
    </cfRule>
  </conditionalFormatting>
  <conditionalFormatting sqref="D20">
    <cfRule type="expression" dxfId="36" priority="28">
      <formula>ISERROR(MATCH($D$20,$U$8:$U$12,0))</formula>
    </cfRule>
  </conditionalFormatting>
  <conditionalFormatting sqref="D21">
    <cfRule type="expression" dxfId="35" priority="19">
      <formula>ISERROR(MATCH($D$19,$T$8:$T$11,0))</formula>
    </cfRule>
    <cfRule type="expression" dxfId="34" priority="26">
      <formula>ISERROR(MATCH($D$7,$N$9:$N$11,0))</formula>
    </cfRule>
  </conditionalFormatting>
  <conditionalFormatting sqref="D25">
    <cfRule type="expression" dxfId="32" priority="3">
      <formula>ISERROR(MATCH($D$7,$N$8:$N$10,0))</formula>
    </cfRule>
  </conditionalFormatting>
  <conditionalFormatting sqref="D26">
    <cfRule type="expression" dxfId="31" priority="30" stopIfTrue="1">
      <formula>ISERROR(MATCH($D$26,$X$8:$X$18,0))</formula>
    </cfRule>
    <cfRule type="expression" dxfId="30" priority="33">
      <formula>ISERROR(MATCH($D$7,$N$8:$N$10,0))</formula>
    </cfRule>
  </conditionalFormatting>
  <conditionalFormatting sqref="D27">
    <cfRule type="expression" dxfId="29" priority="31">
      <formula>ISERROR(MATCH($D$7,$N$8:$N$10,0))</formula>
    </cfRule>
  </conditionalFormatting>
  <conditionalFormatting sqref="D31">
    <cfRule type="expression" dxfId="26" priority="13">
      <formula>ISERROR(MATCH($D$7,$N$8:$N$10,0))</formula>
    </cfRule>
  </conditionalFormatting>
  <conditionalFormatting sqref="E13">
    <cfRule type="expression" dxfId="25" priority="2">
      <formula>$D$13&lt;&gt;"Victron"</formula>
    </cfRule>
  </conditionalFormatting>
  <conditionalFormatting sqref="E20">
    <cfRule type="expression" dxfId="24" priority="29">
      <formula>ISERROR(MATCH($E$20,$V$8:$V$25,0))</formula>
    </cfRule>
  </conditionalFormatting>
  <conditionalFormatting sqref="E27">
    <cfRule type="expression" dxfId="21" priority="18">
      <formula>ISERROR(MATCH($D$7,$N$8:$N$10,0))</formula>
    </cfRule>
  </conditionalFormatting>
  <conditionalFormatting sqref="E34">
    <cfRule type="expression" dxfId="20" priority="10">
      <formula>OR($C$34="Remote Monitoring:",AND($D$34="No",$C$34="Hybrid Controller:"))</formula>
    </cfRule>
  </conditionalFormatting>
  <conditionalFormatting sqref="E20:F20">
    <cfRule type="expression" dxfId="19" priority="24">
      <formula>$D$7="Grid-Tied"</formula>
    </cfRule>
  </conditionalFormatting>
  <conditionalFormatting sqref="E25:F25">
    <cfRule type="expression" dxfId="18" priority="15">
      <formula>ISERROR(MATCH($D$7,$N$8:$N$10,0))</formula>
    </cfRule>
  </conditionalFormatting>
  <conditionalFormatting sqref="F13">
    <cfRule type="expression" dxfId="17" priority="21">
      <formula>ISERROR(MATCH($F$13,$Q$8:$Q$12,0))</formula>
    </cfRule>
    <cfRule type="expression" dxfId="16" priority="6" stopIfTrue="1">
      <formula>OR($D$7="Hybrid",$D$7="Grid-Tied",$D$7="Backup")</formula>
    </cfRule>
  </conditionalFormatting>
  <conditionalFormatting sqref="F14">
    <cfRule type="expression" dxfId="15" priority="5">
      <formula>OR($D$7="Hybrid",$D$7="Grid-Tied",$D$7="Backup")</formula>
    </cfRule>
    <cfRule type="expression" dxfId="14" priority="22" stopIfTrue="1">
      <formula>ISERROR(MATCH($F$14,$S$8:$S$30,0))</formula>
    </cfRule>
  </conditionalFormatting>
  <conditionalFormatting sqref="F15">
    <cfRule type="expression" dxfId="13" priority="4" stopIfTrue="1">
      <formula>OR($D$7="Hybrid",$D$7="Grid-Tied",$D$7="Backup")</formula>
    </cfRule>
  </conditionalFormatting>
  <conditionalFormatting sqref="F27">
    <cfRule type="expression" dxfId="12" priority="17">
      <formula>ISERROR(MATCH($D$7,$N$8:$N$10,0))</formula>
    </cfRule>
  </conditionalFormatting>
  <conditionalFormatting sqref="F34">
    <cfRule type="expression" dxfId="11" priority="9">
      <formula>OR($C$34="Remote Monitoring:",AND($D$34="No",$C$34="Hybrid Controller:"))</formula>
    </cfRule>
  </conditionalFormatting>
  <dataValidations count="14">
    <dataValidation type="list" allowBlank="1" showInputMessage="1" showErrorMessage="1" sqref="D7" xr:uid="{A74FF90B-596A-7241-92DA-02BC80A8E7FC}">
      <formula1>$N$8:$N$12</formula1>
    </dataValidation>
    <dataValidation type="list" allowBlank="1" showInputMessage="1" showErrorMessage="1" sqref="D19" xr:uid="{25A587C7-7316-3448-B9DB-0D7D964937DE}">
      <formula1>$T$8:$T$12</formula1>
    </dataValidation>
    <dataValidation type="list" allowBlank="1" showInputMessage="1" showErrorMessage="1" sqref="D20" xr:uid="{926091E8-ABC8-D641-B967-9F3878BE06AC}">
      <formula1>$U$8:$U$13</formula1>
    </dataValidation>
    <dataValidation type="list" allowBlank="1" showInputMessage="1" showErrorMessage="1" sqref="D8" xr:uid="{6CCFB66E-701B-DD48-8972-CE9FE61E788C}">
      <formula1>$O$8:$O$12</formula1>
    </dataValidation>
    <dataValidation type="list" allowBlank="1" showInputMessage="1" showErrorMessage="1" sqref="D25" xr:uid="{903EE527-8F35-1D4B-831B-DAED7E47E0CD}">
      <formula1>$W$8:$W$13</formula1>
    </dataValidation>
    <dataValidation type="list" allowBlank="1" showInputMessage="1" showErrorMessage="1" sqref="D9 D11" xr:uid="{17AD6FDE-9D64-CC4C-9707-1390A8144D08}">
      <formula1>$P$8:$P$10</formula1>
    </dataValidation>
    <dataValidation type="list" allowBlank="1" showInputMessage="1" showErrorMessage="1" sqref="D34" xr:uid="{22A66072-E262-4A49-9B65-290900EA719C}">
      <formula1>$Y$8:$Y$10</formula1>
    </dataValidation>
    <dataValidation type="list" allowBlank="1" showInputMessage="1" showErrorMessage="1" sqref="D36" xr:uid="{C635EEBA-6DD3-3344-B282-EA141A542ACA}">
      <formula1>$Z$8:$Z$11</formula1>
    </dataValidation>
    <dataValidation type="list" allowBlank="1" showInputMessage="1" showErrorMessage="1" sqref="E20" xr:uid="{3D4497B3-7B20-1A48-854C-F0A86B38C2F5}">
      <formula1>$V$8:$V$25</formula1>
    </dataValidation>
    <dataValidation type="list" allowBlank="1" showInputMessage="1" showErrorMessage="1" sqref="D26" xr:uid="{0324D087-DBFF-D64E-A398-3E259BF7DAF0}">
      <formula1>$X$8:$X$19</formula1>
    </dataValidation>
    <dataValidation type="list" allowBlank="1" showInputMessage="1" showErrorMessage="1" sqref="D14" xr:uid="{7D457672-3670-E843-A5EF-C5945E59CFD3}">
      <formula1>$R$8:$R$31</formula1>
    </dataValidation>
    <dataValidation type="list" allowBlank="1" showInputMessage="1" showErrorMessage="1" sqref="F14" xr:uid="{115F70E0-7099-7E4B-AFD7-70465CD8EC68}">
      <formula1>$S$8:$S$31</formula1>
    </dataValidation>
    <dataValidation type="list" allowBlank="1" showInputMessage="1" showErrorMessage="1" sqref="E13" xr:uid="{FFD1FE1C-1F6B-F446-B933-B529875AB8DD}">
      <formula1>$M$8:$M$11</formula1>
    </dataValidation>
    <dataValidation type="list" allowBlank="1" showInputMessage="1" showErrorMessage="1" sqref="D13 F13" xr:uid="{330FB31E-CFC1-7743-AD4B-674E28279E01}">
      <formula1>$Q$8:$Q$13</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1" id="{4B8A505F-7521-4E4F-A5F7-F847AEA9B8CC}">
            <xm:f>$C$5&lt;&gt;INVOICE!$C$19</xm:f>
            <x14:dxf>
              <font>
                <color rgb="FF9C0006"/>
              </font>
              <fill>
                <patternFill>
                  <bgColor rgb="FFFFC7CE"/>
                </patternFill>
              </fill>
            </x14:dxf>
          </x14:cfRule>
          <xm:sqref>C5:F5</xm:sqref>
        </x14:conditionalFormatting>
        <x14:conditionalFormatting xmlns:xm="http://schemas.microsoft.com/office/excel/2006/main">
          <x14:cfRule type="expression" priority="32" id="{F3C5D0A2-5E36-0641-9C04-4EE98B28DB62}">
            <xm:f>COUNTIF(INVOICE!$B$20:$B$58,0)&gt;0</xm:f>
            <x14:dxf>
              <font>
                <color rgb="FF9C0006"/>
              </font>
              <fill>
                <patternFill>
                  <bgColor rgb="FFFFC7CE"/>
                </patternFill>
              </fill>
            </x14:dxf>
          </x14:cfRule>
          <xm:sqref>D25</xm:sqref>
        </x14:conditionalFormatting>
        <x14:conditionalFormatting xmlns:xm="http://schemas.microsoft.com/office/excel/2006/main">
          <x14:cfRule type="expression" priority="36" id="{959F3578-A66A-8846-B7A8-B2C96C8D8A5E}">
            <xm:f>'CABLE SIZING TOOL'!$H$104&gt;=3%</xm:f>
            <x14:dxf>
              <font>
                <color rgb="FF9C0006"/>
              </font>
              <fill>
                <patternFill>
                  <bgColor rgb="FFFFC7CE"/>
                </patternFill>
              </fill>
            </x14:dxf>
          </x14:cfRule>
          <x14:cfRule type="expression" priority="35" stopIfTrue="1" id="{28AB3B5B-41FF-EF47-AA7A-79B56525FC41}">
            <xm:f>AND('CABLE SIZING TOOL'!$H$104&lt;=3%,3%&lt;'CABLE SIZING TOOL'!$G$104)</xm:f>
            <x14:dxf>
              <font>
                <color rgb="FF9C5700"/>
              </font>
              <fill>
                <patternFill>
                  <bgColor rgb="FFFFEB9C"/>
                </patternFill>
              </fill>
            </x14:dxf>
          </x14:cfRule>
          <xm:sqref>D31</xm:sqref>
        </x14:conditionalFormatting>
        <x14:conditionalFormatting xmlns:xm="http://schemas.microsoft.com/office/excel/2006/main">
          <x14:cfRule type="expression" priority="9942" stopIfTrue="1" id="{278B350F-99A4-2245-80E8-F663818AB25B}">
            <xm:f>$E$25&lt;SUM(Items!$A$242:$A$254)</xm:f>
            <x14:dxf>
              <font>
                <color rgb="FF9C0006"/>
              </font>
              <fill>
                <patternFill>
                  <bgColor rgb="FFFFC7CE"/>
                </patternFill>
              </fill>
            </x14:dxf>
          </x14:cfRule>
          <x14:cfRule type="expression" priority="9941" id="{6E760702-88E6-F242-A506-1F9C98051E08}">
            <xm:f>$E$25&gt;SUM(Items!$A$242:$A$254)</xm:f>
            <x14:dxf>
              <font>
                <color rgb="FF9C5700"/>
              </font>
              <fill>
                <patternFill>
                  <bgColor rgb="FFFFEB9C"/>
                </patternFill>
              </fill>
            </x14:dxf>
          </x14:cfRule>
          <xm:sqref>E25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67943-853A-F143-80A3-318BF27F3636}">
  <sheetPr codeName="Sheet10"/>
  <dimension ref="B3:AC442"/>
  <sheetViews>
    <sheetView showGridLines="0" showRowColHeaders="0" topLeftCell="A70" zoomScale="130" zoomScaleNormal="130" workbookViewId="0">
      <selection activeCell="O51" sqref="O51"/>
    </sheetView>
  </sheetViews>
  <sheetFormatPr baseColWidth="10" defaultColWidth="9.1640625" defaultRowHeight="16"/>
  <cols>
    <col min="1" max="1" width="9.1640625" style="110"/>
    <col min="2" max="2" width="10" style="110" customWidth="1"/>
    <col min="3" max="3" width="10.1640625" style="110" customWidth="1"/>
    <col min="4" max="5" width="10" style="110" customWidth="1"/>
    <col min="6" max="6" width="10.1640625" style="110" customWidth="1"/>
    <col min="7" max="7" width="11.33203125" style="110" customWidth="1"/>
    <col min="8" max="8" width="10.6640625" style="110" customWidth="1"/>
    <col min="9" max="9" width="11.5" style="110" customWidth="1"/>
    <col min="10" max="10" width="10" style="110" customWidth="1"/>
    <col min="11" max="11" width="11.83203125" style="110" customWidth="1"/>
    <col min="12" max="12" width="11.5" style="110" customWidth="1"/>
    <col min="13" max="14" width="9.1640625" style="110"/>
    <col min="15" max="15" width="13" style="110" customWidth="1"/>
    <col min="16" max="16" width="12.6640625" style="110" customWidth="1"/>
    <col min="17" max="17" width="9.83203125" style="110" customWidth="1"/>
    <col min="18" max="16384" width="9.1640625" style="110"/>
  </cols>
  <sheetData>
    <row r="3" spans="2:29">
      <c r="B3" s="110" t="s">
        <v>1961</v>
      </c>
      <c r="P3" s="111" t="s">
        <v>1962</v>
      </c>
      <c r="U3" s="110" t="s">
        <v>1963</v>
      </c>
    </row>
    <row r="4" spans="2:29">
      <c r="I4" s="112"/>
      <c r="AB4" s="112"/>
    </row>
    <row r="5" spans="2:29" ht="68">
      <c r="B5" s="113" t="s">
        <v>1964</v>
      </c>
      <c r="C5" s="113" t="s">
        <v>1965</v>
      </c>
      <c r="D5" s="113" t="s">
        <v>1966</v>
      </c>
      <c r="E5" s="113" t="s">
        <v>1967</v>
      </c>
      <c r="F5" s="113" t="s">
        <v>1968</v>
      </c>
      <c r="G5" s="113" t="s">
        <v>1969</v>
      </c>
      <c r="H5" s="113" t="s">
        <v>1970</v>
      </c>
      <c r="I5" s="113" t="s">
        <v>1971</v>
      </c>
      <c r="J5" s="113" t="s">
        <v>1972</v>
      </c>
      <c r="K5" s="113" t="s">
        <v>1973</v>
      </c>
      <c r="L5" s="113" t="s">
        <v>1974</v>
      </c>
      <c r="M5" s="114" t="s">
        <v>1975</v>
      </c>
      <c r="P5" s="110" t="s">
        <v>1976</v>
      </c>
      <c r="Q5" s="110" t="s">
        <v>1977</v>
      </c>
      <c r="U5" s="113" t="s">
        <v>1964</v>
      </c>
      <c r="V5" s="113" t="s">
        <v>1965</v>
      </c>
      <c r="W5" s="113" t="s">
        <v>1966</v>
      </c>
      <c r="X5" s="113" t="s">
        <v>1967</v>
      </c>
      <c r="Y5" s="113" t="s">
        <v>1978</v>
      </c>
      <c r="Z5" s="113" t="s">
        <v>1979</v>
      </c>
      <c r="AA5" s="113" t="s">
        <v>1980</v>
      </c>
      <c r="AB5" s="113" t="s">
        <v>1981</v>
      </c>
      <c r="AC5" s="113" t="s">
        <v>1975</v>
      </c>
    </row>
    <row r="6" spans="2:29">
      <c r="B6" s="110">
        <v>11</v>
      </c>
      <c r="C6" s="110">
        <v>10.5</v>
      </c>
      <c r="D6" s="110">
        <v>13.5</v>
      </c>
      <c r="E6" s="110">
        <v>12</v>
      </c>
      <c r="F6" s="110">
        <v>15.5</v>
      </c>
      <c r="G6" s="110">
        <v>14</v>
      </c>
      <c r="M6" s="115">
        <v>1</v>
      </c>
      <c r="P6" s="110">
        <v>0.5</v>
      </c>
      <c r="Q6" s="110">
        <v>36</v>
      </c>
      <c r="U6" s="110">
        <v>44</v>
      </c>
      <c r="V6" s="110">
        <v>44</v>
      </c>
      <c r="W6" s="110">
        <v>44</v>
      </c>
      <c r="X6" s="110">
        <v>44</v>
      </c>
      <c r="Y6" s="110">
        <v>38</v>
      </c>
      <c r="Z6" s="110">
        <v>38</v>
      </c>
      <c r="AA6" s="110">
        <v>38</v>
      </c>
      <c r="AB6" s="110">
        <v>38</v>
      </c>
      <c r="AC6" s="110">
        <v>1</v>
      </c>
    </row>
    <row r="7" spans="2:29">
      <c r="B7" s="110">
        <v>14.5</v>
      </c>
      <c r="C7" s="110">
        <v>13.5</v>
      </c>
      <c r="D7" s="110">
        <v>17.5</v>
      </c>
      <c r="E7" s="110">
        <v>15.5</v>
      </c>
      <c r="F7" s="110">
        <v>20</v>
      </c>
      <c r="G7" s="110">
        <v>18</v>
      </c>
      <c r="M7" s="110">
        <v>1.5</v>
      </c>
      <c r="P7" s="110">
        <v>0.75</v>
      </c>
      <c r="Q7" s="110">
        <v>24.5</v>
      </c>
      <c r="U7" s="110">
        <v>29</v>
      </c>
      <c r="V7" s="110">
        <v>29</v>
      </c>
      <c r="W7" s="110">
        <v>29</v>
      </c>
      <c r="X7" s="110">
        <v>29</v>
      </c>
      <c r="Y7" s="110">
        <v>25</v>
      </c>
      <c r="Z7" s="110">
        <v>25</v>
      </c>
      <c r="AA7" s="110">
        <v>25</v>
      </c>
      <c r="AB7" s="110">
        <v>25</v>
      </c>
      <c r="AC7" s="110">
        <v>1.5</v>
      </c>
    </row>
    <row r="8" spans="2:29">
      <c r="B8" s="110">
        <v>20</v>
      </c>
      <c r="C8" s="110">
        <v>18</v>
      </c>
      <c r="D8" s="110">
        <v>24</v>
      </c>
      <c r="E8" s="110">
        <v>21</v>
      </c>
      <c r="F8" s="110">
        <v>27</v>
      </c>
      <c r="G8" s="110">
        <v>25</v>
      </c>
      <c r="M8" s="115">
        <v>2.5</v>
      </c>
      <c r="P8" s="110">
        <v>1</v>
      </c>
      <c r="Q8" s="110">
        <v>18.100000000000001</v>
      </c>
      <c r="U8" s="110">
        <v>18</v>
      </c>
      <c r="V8" s="110">
        <v>18</v>
      </c>
      <c r="W8" s="110">
        <v>18</v>
      </c>
      <c r="X8" s="110">
        <v>18</v>
      </c>
      <c r="Y8" s="110">
        <v>15</v>
      </c>
      <c r="Z8" s="110">
        <v>15</v>
      </c>
      <c r="AA8" s="110">
        <v>15</v>
      </c>
      <c r="AB8" s="110">
        <v>15</v>
      </c>
      <c r="AC8" s="110">
        <v>2.5</v>
      </c>
    </row>
    <row r="9" spans="2:29">
      <c r="B9" s="110">
        <v>26</v>
      </c>
      <c r="C9" s="110">
        <v>24</v>
      </c>
      <c r="D9" s="110">
        <v>32</v>
      </c>
      <c r="E9" s="110">
        <v>28</v>
      </c>
      <c r="F9" s="110">
        <v>37</v>
      </c>
      <c r="G9" s="110">
        <v>33</v>
      </c>
      <c r="M9" s="110">
        <v>4</v>
      </c>
      <c r="P9" s="110">
        <v>1.5</v>
      </c>
      <c r="Q9" s="110">
        <v>12.1</v>
      </c>
      <c r="U9" s="110">
        <v>11</v>
      </c>
      <c r="V9" s="110">
        <v>11</v>
      </c>
      <c r="W9" s="110">
        <v>11</v>
      </c>
      <c r="X9" s="110">
        <v>11</v>
      </c>
      <c r="Y9" s="110">
        <v>9.5</v>
      </c>
      <c r="Z9" s="110">
        <v>9.5</v>
      </c>
      <c r="AA9" s="110">
        <v>9.5</v>
      </c>
      <c r="AB9" s="110">
        <v>9.5</v>
      </c>
      <c r="AC9" s="110">
        <v>4</v>
      </c>
    </row>
    <row r="10" spans="2:29">
      <c r="B10" s="110">
        <v>34</v>
      </c>
      <c r="C10" s="110">
        <v>31</v>
      </c>
      <c r="D10" s="110">
        <v>41</v>
      </c>
      <c r="E10" s="110">
        <v>36</v>
      </c>
      <c r="F10" s="110">
        <v>47</v>
      </c>
      <c r="G10" s="110">
        <v>43</v>
      </c>
      <c r="M10" s="115">
        <v>6</v>
      </c>
      <c r="P10" s="110">
        <v>2.5</v>
      </c>
      <c r="Q10" s="110">
        <v>7.41</v>
      </c>
      <c r="U10" s="110">
        <v>7.3</v>
      </c>
      <c r="V10" s="110">
        <v>7.3</v>
      </c>
      <c r="W10" s="110">
        <v>7.3</v>
      </c>
      <c r="X10" s="110">
        <v>7.3</v>
      </c>
      <c r="Y10" s="110">
        <v>6.4</v>
      </c>
      <c r="Z10" s="110">
        <v>6.4</v>
      </c>
      <c r="AA10" s="110">
        <v>6.4</v>
      </c>
      <c r="AB10" s="110">
        <v>6.4</v>
      </c>
      <c r="AC10" s="110">
        <v>6</v>
      </c>
    </row>
    <row r="11" spans="2:29">
      <c r="B11" s="110">
        <v>46</v>
      </c>
      <c r="C11" s="110">
        <v>42</v>
      </c>
      <c r="D11" s="110">
        <v>57</v>
      </c>
      <c r="E11" s="110">
        <v>50</v>
      </c>
      <c r="F11" s="110">
        <v>65</v>
      </c>
      <c r="G11" s="110">
        <v>59</v>
      </c>
      <c r="M11" s="110">
        <v>10</v>
      </c>
      <c r="P11" s="110">
        <v>4</v>
      </c>
      <c r="Q11" s="110">
        <v>4.6100000000000003</v>
      </c>
      <c r="U11" s="110">
        <v>4.4000000000000004</v>
      </c>
      <c r="V11" s="110">
        <v>4.4000000000000004</v>
      </c>
      <c r="W11" s="110">
        <v>4.4000000000000004</v>
      </c>
      <c r="X11" s="110">
        <v>4.4000000000000004</v>
      </c>
      <c r="Y11" s="110">
        <v>3.8</v>
      </c>
      <c r="Z11" s="110">
        <v>3.8</v>
      </c>
      <c r="AA11" s="110">
        <v>3.8</v>
      </c>
      <c r="AB11" s="110">
        <v>3.8</v>
      </c>
      <c r="AC11" s="110">
        <v>10</v>
      </c>
    </row>
    <row r="12" spans="2:29">
      <c r="B12" s="110">
        <v>61</v>
      </c>
      <c r="C12" s="110">
        <v>56</v>
      </c>
      <c r="D12" s="110">
        <v>76</v>
      </c>
      <c r="E12" s="110">
        <v>68</v>
      </c>
      <c r="F12" s="110">
        <v>87</v>
      </c>
      <c r="G12" s="110">
        <v>79</v>
      </c>
      <c r="M12" s="115">
        <v>16</v>
      </c>
      <c r="P12" s="110">
        <v>6</v>
      </c>
      <c r="Q12" s="110">
        <v>3.08</v>
      </c>
      <c r="U12" s="110">
        <v>2.8</v>
      </c>
      <c r="V12" s="110">
        <v>2.8</v>
      </c>
      <c r="W12" s="110">
        <v>2.8</v>
      </c>
      <c r="X12" s="110">
        <v>2.8</v>
      </c>
      <c r="Y12" s="110">
        <v>2.4</v>
      </c>
      <c r="Z12" s="110">
        <v>2.4</v>
      </c>
      <c r="AA12" s="110">
        <v>2.4</v>
      </c>
      <c r="AB12" s="110">
        <v>2.4</v>
      </c>
      <c r="AC12" s="110">
        <v>16</v>
      </c>
    </row>
    <row r="13" spans="2:29">
      <c r="B13" s="110">
        <v>80</v>
      </c>
      <c r="C13" s="110">
        <v>73</v>
      </c>
      <c r="D13" s="110">
        <v>101</v>
      </c>
      <c r="E13" s="110">
        <v>89</v>
      </c>
      <c r="F13" s="110">
        <v>114</v>
      </c>
      <c r="G13" s="110">
        <v>104</v>
      </c>
      <c r="H13" s="110">
        <v>131</v>
      </c>
      <c r="I13" s="110">
        <v>114</v>
      </c>
      <c r="J13" s="110">
        <v>110</v>
      </c>
      <c r="K13" s="110">
        <v>146</v>
      </c>
      <c r="L13" s="110">
        <v>130</v>
      </c>
      <c r="M13" s="110">
        <v>25</v>
      </c>
      <c r="P13" s="110">
        <v>10</v>
      </c>
      <c r="Q13" s="110">
        <v>1.83</v>
      </c>
      <c r="U13" s="110">
        <v>1.75</v>
      </c>
      <c r="V13" s="110">
        <v>1.8</v>
      </c>
      <c r="W13" s="110">
        <v>1.75</v>
      </c>
      <c r="X13" s="110">
        <v>1.75</v>
      </c>
      <c r="Y13" s="110">
        <v>1.5</v>
      </c>
      <c r="Z13" s="110">
        <v>1.5</v>
      </c>
      <c r="AA13" s="110">
        <v>1.5</v>
      </c>
      <c r="AB13" s="110">
        <v>1.5</v>
      </c>
      <c r="AC13" s="110">
        <v>25</v>
      </c>
    </row>
    <row r="14" spans="2:29">
      <c r="B14" s="110">
        <v>99</v>
      </c>
      <c r="C14" s="110">
        <v>89</v>
      </c>
      <c r="D14" s="110">
        <v>125</v>
      </c>
      <c r="E14" s="110">
        <v>110</v>
      </c>
      <c r="F14" s="110">
        <v>141</v>
      </c>
      <c r="G14" s="110">
        <v>129</v>
      </c>
      <c r="H14" s="110">
        <v>162</v>
      </c>
      <c r="I14" s="110">
        <v>143</v>
      </c>
      <c r="J14" s="110">
        <v>137</v>
      </c>
      <c r="K14" s="110">
        <v>181</v>
      </c>
      <c r="L14" s="110">
        <v>162</v>
      </c>
      <c r="M14" s="115">
        <v>35</v>
      </c>
      <c r="P14" s="110">
        <v>16</v>
      </c>
      <c r="Q14" s="110">
        <v>1.1499999999999999</v>
      </c>
      <c r="U14" s="110">
        <v>1.25</v>
      </c>
      <c r="V14" s="110">
        <v>1.3</v>
      </c>
      <c r="W14" s="110">
        <v>1.25</v>
      </c>
      <c r="X14" s="110">
        <v>1.25</v>
      </c>
      <c r="Y14" s="110">
        <v>1.1000000000000001</v>
      </c>
      <c r="Z14" s="110">
        <v>1.1000000000000001</v>
      </c>
      <c r="AA14" s="110">
        <v>1.1000000000000001</v>
      </c>
      <c r="AB14" s="110">
        <v>1.1000000000000001</v>
      </c>
      <c r="AC14" s="110">
        <v>35</v>
      </c>
    </row>
    <row r="15" spans="2:29">
      <c r="B15" s="110">
        <v>119</v>
      </c>
      <c r="C15" s="110">
        <v>108</v>
      </c>
      <c r="D15" s="110">
        <v>151</v>
      </c>
      <c r="E15" s="110">
        <v>134</v>
      </c>
      <c r="F15" s="110">
        <v>182</v>
      </c>
      <c r="G15" s="110">
        <v>167</v>
      </c>
      <c r="H15" s="110">
        <v>196</v>
      </c>
      <c r="I15" s="110">
        <v>174</v>
      </c>
      <c r="J15" s="110">
        <v>167</v>
      </c>
      <c r="K15" s="110">
        <v>219</v>
      </c>
      <c r="L15" s="110">
        <v>197</v>
      </c>
      <c r="M15" s="110">
        <v>50</v>
      </c>
      <c r="P15" s="110">
        <v>25</v>
      </c>
      <c r="Q15" s="110">
        <v>0.72699999999999998</v>
      </c>
      <c r="U15" s="110">
        <v>0.93</v>
      </c>
      <c r="V15" s="110">
        <v>0.95</v>
      </c>
      <c r="W15" s="110">
        <v>0.93</v>
      </c>
      <c r="X15" s="110">
        <v>0.93</v>
      </c>
      <c r="Y15" s="110">
        <v>0.81</v>
      </c>
      <c r="Z15" s="110">
        <v>0.8</v>
      </c>
      <c r="AA15" s="110">
        <v>0.8</v>
      </c>
      <c r="AB15" s="110">
        <v>0.8</v>
      </c>
      <c r="AC15" s="110">
        <v>50</v>
      </c>
    </row>
    <row r="16" spans="2:29">
      <c r="B16" s="110">
        <v>151</v>
      </c>
      <c r="C16" s="110">
        <v>136</v>
      </c>
      <c r="D16" s="110">
        <v>192</v>
      </c>
      <c r="E16" s="110">
        <v>171</v>
      </c>
      <c r="F16" s="110">
        <v>234</v>
      </c>
      <c r="G16" s="110">
        <v>214</v>
      </c>
      <c r="H16" s="110">
        <v>251</v>
      </c>
      <c r="I16" s="110">
        <v>225</v>
      </c>
      <c r="J16" s="110">
        <v>216</v>
      </c>
      <c r="K16" s="110">
        <v>281</v>
      </c>
      <c r="L16" s="110">
        <v>254</v>
      </c>
      <c r="M16" s="115">
        <v>70</v>
      </c>
      <c r="P16" s="110">
        <v>35</v>
      </c>
      <c r="Q16" s="110">
        <v>0.52400000000000002</v>
      </c>
      <c r="U16" s="110">
        <v>0.63</v>
      </c>
      <c r="V16" s="110">
        <v>0.65</v>
      </c>
      <c r="W16" s="110">
        <v>0.63</v>
      </c>
      <c r="X16" s="110">
        <v>0.63</v>
      </c>
      <c r="Y16" s="110">
        <v>0.56000000000000005</v>
      </c>
      <c r="Z16" s="110">
        <v>0.55000000000000004</v>
      </c>
      <c r="AA16" s="110">
        <v>0.55000000000000004</v>
      </c>
      <c r="AB16" s="110">
        <v>0.55000000000000004</v>
      </c>
      <c r="AC16" s="110">
        <v>70</v>
      </c>
    </row>
    <row r="17" spans="2:29">
      <c r="B17" s="110">
        <v>182</v>
      </c>
      <c r="C17" s="110">
        <v>164</v>
      </c>
      <c r="D17" s="110">
        <v>232</v>
      </c>
      <c r="E17" s="110">
        <v>207</v>
      </c>
      <c r="F17" s="110">
        <v>284</v>
      </c>
      <c r="G17" s="110">
        <v>261</v>
      </c>
      <c r="H17" s="110">
        <v>304</v>
      </c>
      <c r="I17" s="110">
        <v>275</v>
      </c>
      <c r="J17" s="110">
        <v>264</v>
      </c>
      <c r="K17" s="110">
        <v>341</v>
      </c>
      <c r="L17" s="110">
        <v>311</v>
      </c>
      <c r="M17" s="110">
        <v>95</v>
      </c>
      <c r="P17" s="110">
        <v>50</v>
      </c>
      <c r="Q17" s="110">
        <v>0.38700000000000001</v>
      </c>
      <c r="U17" s="110">
        <v>0.46</v>
      </c>
      <c r="V17" s="110">
        <v>0.49</v>
      </c>
      <c r="W17" s="110">
        <v>0.47</v>
      </c>
      <c r="X17" s="110">
        <v>0.47</v>
      </c>
      <c r="Y17" s="110">
        <v>0.42</v>
      </c>
      <c r="Z17" s="110">
        <v>0.41</v>
      </c>
      <c r="AA17" s="110">
        <v>0.41</v>
      </c>
      <c r="AB17" s="110">
        <v>0.4</v>
      </c>
      <c r="AC17" s="110">
        <v>95</v>
      </c>
    </row>
    <row r="18" spans="2:29">
      <c r="B18" s="110">
        <v>210</v>
      </c>
      <c r="C18" s="110">
        <v>188</v>
      </c>
      <c r="D18" s="110">
        <v>269</v>
      </c>
      <c r="E18" s="110">
        <v>239</v>
      </c>
      <c r="F18" s="110">
        <v>330</v>
      </c>
      <c r="G18" s="110">
        <v>303</v>
      </c>
      <c r="H18" s="110">
        <v>352</v>
      </c>
      <c r="I18" s="110">
        <v>321</v>
      </c>
      <c r="J18" s="110">
        <v>308</v>
      </c>
      <c r="K18" s="110">
        <v>396</v>
      </c>
      <c r="L18" s="110">
        <v>362</v>
      </c>
      <c r="M18" s="115">
        <v>120</v>
      </c>
      <c r="P18" s="110">
        <v>70</v>
      </c>
      <c r="Q18" s="110">
        <v>0.26800000000000002</v>
      </c>
      <c r="U18" s="110">
        <v>0.36</v>
      </c>
      <c r="V18" s="110">
        <v>0.39</v>
      </c>
      <c r="W18" s="110">
        <v>0.37</v>
      </c>
      <c r="X18" s="110">
        <v>0.37</v>
      </c>
      <c r="Y18" s="110">
        <v>0.33</v>
      </c>
      <c r="Z18" s="110">
        <v>0.32</v>
      </c>
      <c r="AA18" s="110">
        <v>0.32</v>
      </c>
      <c r="AB18" s="110">
        <v>0.32</v>
      </c>
      <c r="AC18" s="110">
        <v>120</v>
      </c>
    </row>
    <row r="19" spans="2:29">
      <c r="B19" s="110">
        <v>240</v>
      </c>
      <c r="C19" s="110">
        <v>216</v>
      </c>
      <c r="D19" s="110">
        <v>300</v>
      </c>
      <c r="E19" s="110">
        <v>262</v>
      </c>
      <c r="F19" s="110">
        <v>381</v>
      </c>
      <c r="G19" s="110">
        <v>349</v>
      </c>
      <c r="H19" s="110">
        <v>406</v>
      </c>
      <c r="I19" s="110">
        <v>372</v>
      </c>
      <c r="J19" s="110">
        <v>356</v>
      </c>
      <c r="K19" s="110">
        <v>456</v>
      </c>
      <c r="L19" s="110">
        <v>419</v>
      </c>
      <c r="M19" s="110">
        <v>150</v>
      </c>
      <c r="P19" s="110">
        <v>95</v>
      </c>
      <c r="Q19" s="110">
        <v>0.19500000000000001</v>
      </c>
      <c r="U19" s="110">
        <v>0.28999999999999998</v>
      </c>
      <c r="V19" s="110">
        <v>0.31</v>
      </c>
      <c r="W19" s="110">
        <v>0.3</v>
      </c>
      <c r="X19" s="110">
        <v>0.28999999999999998</v>
      </c>
      <c r="Y19" s="110">
        <v>0.27</v>
      </c>
      <c r="Z19" s="110">
        <v>0.26</v>
      </c>
      <c r="AA19" s="110">
        <v>0.26</v>
      </c>
      <c r="AB19" s="110">
        <v>0.26</v>
      </c>
      <c r="AC19" s="110">
        <v>150</v>
      </c>
    </row>
    <row r="20" spans="2:29">
      <c r="B20" s="110">
        <v>273</v>
      </c>
      <c r="C20" s="110">
        <v>245</v>
      </c>
      <c r="D20" s="110">
        <v>341</v>
      </c>
      <c r="E20" s="110">
        <v>296</v>
      </c>
      <c r="F20" s="110">
        <v>436</v>
      </c>
      <c r="G20" s="110">
        <v>400</v>
      </c>
      <c r="H20" s="110">
        <v>463</v>
      </c>
      <c r="I20" s="110">
        <v>427</v>
      </c>
      <c r="J20" s="110">
        <v>409</v>
      </c>
      <c r="K20" s="110">
        <v>521</v>
      </c>
      <c r="L20" s="110">
        <v>480</v>
      </c>
      <c r="M20" s="115">
        <v>185</v>
      </c>
      <c r="P20" s="110">
        <v>120</v>
      </c>
      <c r="Q20" s="110">
        <v>0.153</v>
      </c>
      <c r="U20" s="110">
        <v>0.23</v>
      </c>
      <c r="V20" s="110">
        <v>0.25</v>
      </c>
      <c r="W20" s="110">
        <v>0.24</v>
      </c>
      <c r="X20" s="110">
        <v>0.24</v>
      </c>
      <c r="Y20" s="110">
        <v>0.22</v>
      </c>
      <c r="Z20" s="110">
        <v>0.21</v>
      </c>
      <c r="AA20" s="110">
        <v>0.21</v>
      </c>
      <c r="AB20" s="110">
        <v>0.21</v>
      </c>
      <c r="AC20" s="110">
        <v>185</v>
      </c>
    </row>
    <row r="21" spans="2:29">
      <c r="B21" s="110">
        <v>321</v>
      </c>
      <c r="C21" s="110">
        <v>286</v>
      </c>
      <c r="D21" s="110">
        <v>400</v>
      </c>
      <c r="E21" s="110">
        <v>346</v>
      </c>
      <c r="F21" s="110">
        <v>515</v>
      </c>
      <c r="G21" s="110">
        <v>472</v>
      </c>
      <c r="H21" s="110">
        <v>546</v>
      </c>
      <c r="I21" s="110">
        <v>507</v>
      </c>
      <c r="J21" s="110">
        <v>485</v>
      </c>
      <c r="K21" s="110">
        <v>615</v>
      </c>
      <c r="L21" s="110">
        <v>569</v>
      </c>
      <c r="M21" s="110">
        <v>240</v>
      </c>
      <c r="P21" s="110">
        <v>150</v>
      </c>
      <c r="Q21" s="110">
        <v>0.124</v>
      </c>
      <c r="U21" s="110">
        <v>0.18</v>
      </c>
      <c r="V21" s="110">
        <v>0.19500000000000001</v>
      </c>
      <c r="W21" s="110">
        <v>0.185</v>
      </c>
      <c r="X21" s="110">
        <v>0.185</v>
      </c>
      <c r="Y21" s="110">
        <v>0.17</v>
      </c>
      <c r="Z21" s="110">
        <v>0.16</v>
      </c>
      <c r="AA21" s="110">
        <v>0.16</v>
      </c>
      <c r="AB21" s="110">
        <v>0.16</v>
      </c>
      <c r="AC21" s="110">
        <v>240</v>
      </c>
    </row>
    <row r="22" spans="2:29">
      <c r="B22" s="110">
        <v>367</v>
      </c>
      <c r="C22" s="110">
        <v>328</v>
      </c>
      <c r="D22" s="110">
        <v>458</v>
      </c>
      <c r="E22" s="110">
        <v>394</v>
      </c>
      <c r="F22" s="110">
        <v>594</v>
      </c>
      <c r="G22" s="110">
        <v>545</v>
      </c>
      <c r="H22" s="110">
        <v>629</v>
      </c>
      <c r="I22" s="110">
        <v>587</v>
      </c>
      <c r="J22" s="110">
        <v>561</v>
      </c>
      <c r="K22" s="110">
        <v>709</v>
      </c>
      <c r="L22" s="110">
        <v>659</v>
      </c>
      <c r="M22" s="115">
        <v>300</v>
      </c>
      <c r="P22" s="110">
        <v>185</v>
      </c>
      <c r="Q22" s="110">
        <v>9.9099999999999994E-2</v>
      </c>
      <c r="U22" s="110">
        <v>0.14499999999999999</v>
      </c>
      <c r="V22" s="110">
        <v>0.16</v>
      </c>
      <c r="W22" s="110">
        <v>0.15</v>
      </c>
      <c r="X22" s="110">
        <v>0.15</v>
      </c>
      <c r="Y22" s="110">
        <v>0.14000000000000001</v>
      </c>
      <c r="Z22" s="110">
        <v>0.13</v>
      </c>
      <c r="AA22" s="110">
        <v>0.13</v>
      </c>
      <c r="AB22" s="110">
        <v>0.13</v>
      </c>
      <c r="AC22" s="110">
        <v>300</v>
      </c>
    </row>
    <row r="23" spans="2:29">
      <c r="D23" s="110">
        <v>546</v>
      </c>
      <c r="E23" s="110">
        <v>467</v>
      </c>
      <c r="F23" s="110">
        <v>694</v>
      </c>
      <c r="G23" s="110">
        <v>634</v>
      </c>
      <c r="H23" s="110">
        <v>754</v>
      </c>
      <c r="I23" s="110">
        <v>689</v>
      </c>
      <c r="J23" s="110">
        <v>656</v>
      </c>
      <c r="K23" s="110">
        <v>852</v>
      </c>
      <c r="L23" s="110">
        <v>795</v>
      </c>
      <c r="M23" s="110">
        <v>400</v>
      </c>
      <c r="P23" s="110">
        <v>240</v>
      </c>
      <c r="Q23" s="110">
        <v>7.5399999999999995E-2</v>
      </c>
      <c r="U23" s="110">
        <v>0.105</v>
      </c>
      <c r="V23" s="110">
        <v>0.13</v>
      </c>
      <c r="W23" s="110">
        <v>0.12</v>
      </c>
      <c r="X23" s="110">
        <v>0.115</v>
      </c>
      <c r="Y23" s="110">
        <v>0.12</v>
      </c>
      <c r="Z23" s="110">
        <v>0.105</v>
      </c>
      <c r="AA23" s="110">
        <v>0.105</v>
      </c>
      <c r="AB23" s="110">
        <v>0.1</v>
      </c>
      <c r="AC23" s="110">
        <v>400</v>
      </c>
    </row>
    <row r="24" spans="2:29">
      <c r="D24" s="110">
        <v>626</v>
      </c>
      <c r="E24" s="110">
        <v>533</v>
      </c>
      <c r="F24" s="110">
        <v>792</v>
      </c>
      <c r="G24" s="110">
        <v>723</v>
      </c>
      <c r="H24" s="110">
        <v>868</v>
      </c>
      <c r="I24" s="110">
        <v>789</v>
      </c>
      <c r="J24" s="110">
        <v>749</v>
      </c>
      <c r="K24" s="110">
        <v>982</v>
      </c>
      <c r="L24" s="110">
        <v>920</v>
      </c>
      <c r="M24" s="110">
        <v>500</v>
      </c>
      <c r="P24" s="110">
        <v>300</v>
      </c>
      <c r="Q24" s="110">
        <v>6.0100000000000001E-2</v>
      </c>
      <c r="U24" s="110">
        <v>8.5999999999999993E-2</v>
      </c>
      <c r="V24" s="110">
        <v>0.11</v>
      </c>
      <c r="W24" s="110">
        <v>9.8000000000000004E-2</v>
      </c>
      <c r="X24" s="110">
        <v>9.2999999999999999E-2</v>
      </c>
      <c r="Y24" s="110">
        <v>0.1</v>
      </c>
      <c r="Z24" s="110">
        <v>8.5999999999999993E-2</v>
      </c>
      <c r="AA24" s="110">
        <v>8.5999999999999993E-2</v>
      </c>
      <c r="AB24" s="110">
        <v>8.1000000000000003E-2</v>
      </c>
      <c r="AC24" s="110">
        <v>500</v>
      </c>
    </row>
    <row r="25" spans="2:29">
      <c r="D25" s="110">
        <v>720</v>
      </c>
      <c r="E25" s="110">
        <v>611</v>
      </c>
      <c r="F25" s="110">
        <v>904</v>
      </c>
      <c r="G25" s="110">
        <v>826</v>
      </c>
      <c r="H25" s="110">
        <v>1005</v>
      </c>
      <c r="I25" s="110">
        <v>905</v>
      </c>
      <c r="J25" s="110">
        <v>855</v>
      </c>
      <c r="K25" s="110">
        <v>1138</v>
      </c>
      <c r="L25" s="110">
        <v>1070</v>
      </c>
      <c r="M25" s="110">
        <v>630</v>
      </c>
      <c r="P25" s="110">
        <v>400</v>
      </c>
      <c r="Q25" s="110">
        <v>4.7E-2</v>
      </c>
      <c r="U25" s="110">
        <v>6.8000000000000005E-2</v>
      </c>
      <c r="V25" s="110">
        <v>9.4E-2</v>
      </c>
      <c r="W25" s="110">
        <v>8.1000000000000003E-2</v>
      </c>
      <c r="X25" s="110">
        <v>7.5999999999999998E-2</v>
      </c>
      <c r="Y25" s="110">
        <v>0.08</v>
      </c>
      <c r="Z25" s="110">
        <v>7.1999999999999995E-2</v>
      </c>
      <c r="AA25" s="110">
        <v>7.1999999999999995E-2</v>
      </c>
      <c r="AB25" s="110">
        <v>6.6000000000000003E-2</v>
      </c>
      <c r="AC25" s="110">
        <v>630</v>
      </c>
    </row>
    <row r="26" spans="2:29">
      <c r="F26" s="110">
        <v>1030</v>
      </c>
      <c r="G26" s="110">
        <v>943</v>
      </c>
      <c r="H26" s="110">
        <v>1086</v>
      </c>
      <c r="I26" s="110">
        <v>1020</v>
      </c>
      <c r="J26" s="110">
        <v>971</v>
      </c>
      <c r="K26" s="110">
        <v>1265</v>
      </c>
      <c r="L26" s="110">
        <v>1188</v>
      </c>
      <c r="M26" s="110">
        <v>800</v>
      </c>
      <c r="P26" s="110">
        <v>500</v>
      </c>
      <c r="Q26" s="110">
        <v>3.6600000000000001E-2</v>
      </c>
      <c r="U26" s="110">
        <v>5.2999999999999999E-2</v>
      </c>
      <c r="W26" s="110">
        <v>6.8000000000000005E-2</v>
      </c>
      <c r="X26" s="110">
        <v>6.0999999999999999E-2</v>
      </c>
      <c r="Z26" s="110">
        <v>0.06</v>
      </c>
      <c r="AA26" s="110">
        <v>0.06</v>
      </c>
      <c r="AB26" s="110">
        <v>5.2999999999999999E-2</v>
      </c>
      <c r="AC26" s="110">
        <v>800</v>
      </c>
    </row>
    <row r="27" spans="2:29">
      <c r="F27" s="110">
        <v>1154</v>
      </c>
      <c r="G27" s="110">
        <v>1058</v>
      </c>
      <c r="H27" s="110">
        <v>1216</v>
      </c>
      <c r="I27" s="110">
        <v>1149</v>
      </c>
      <c r="J27" s="110">
        <v>1079</v>
      </c>
      <c r="K27" s="110">
        <v>1420</v>
      </c>
      <c r="L27" s="110">
        <v>1337</v>
      </c>
      <c r="M27" s="110">
        <v>1000</v>
      </c>
      <c r="P27" s="110">
        <v>630</v>
      </c>
      <c r="Q27" s="110">
        <v>2.2100000000000002E-2</v>
      </c>
      <c r="U27" s="110">
        <v>4.2000000000000003E-2</v>
      </c>
      <c r="W27" s="110">
        <v>5.8999999999999997E-2</v>
      </c>
      <c r="X27" s="110">
        <v>0.05</v>
      </c>
      <c r="Z27" s="110">
        <v>5.1999999999999998E-2</v>
      </c>
      <c r="AA27" s="110">
        <v>5.1999999999999998E-2</v>
      </c>
      <c r="AB27" s="110">
        <v>4.3999999999999997E-2</v>
      </c>
      <c r="AC27" s="110">
        <v>1000</v>
      </c>
    </row>
    <row r="28" spans="2:29">
      <c r="P28" s="110">
        <v>1000</v>
      </c>
      <c r="Q28" s="110">
        <v>1.7600000000000001E-2</v>
      </c>
    </row>
    <row r="29" spans="2:29">
      <c r="P29" s="110">
        <v>2000</v>
      </c>
      <c r="Q29" s="110">
        <v>8.9999999999999993E-3</v>
      </c>
    </row>
    <row r="30" spans="2:29">
      <c r="B30" s="110" t="s">
        <v>1982</v>
      </c>
      <c r="U30" s="110" t="s">
        <v>1983</v>
      </c>
    </row>
    <row r="31" spans="2:29">
      <c r="I31" s="112"/>
    </row>
    <row r="32" spans="2:29" ht="51">
      <c r="B32" s="113" t="s">
        <v>1964</v>
      </c>
      <c r="C32" s="113" t="s">
        <v>1965</v>
      </c>
      <c r="D32" s="113" t="s">
        <v>1966</v>
      </c>
      <c r="E32" s="113" t="s">
        <v>1967</v>
      </c>
      <c r="F32" s="113" t="s">
        <v>1978</v>
      </c>
      <c r="G32" s="113" t="s">
        <v>1979</v>
      </c>
      <c r="H32" s="113" t="s">
        <v>1980</v>
      </c>
      <c r="I32" s="113" t="s">
        <v>1981</v>
      </c>
      <c r="J32" s="113" t="s">
        <v>1975</v>
      </c>
      <c r="U32" s="113" t="s">
        <v>1984</v>
      </c>
      <c r="V32" s="113" t="s">
        <v>1985</v>
      </c>
      <c r="W32" s="113" t="s">
        <v>1986</v>
      </c>
      <c r="X32" s="113" t="s">
        <v>1975</v>
      </c>
    </row>
    <row r="33" spans="2:24">
      <c r="B33" s="110">
        <v>11</v>
      </c>
      <c r="C33" s="110">
        <v>10</v>
      </c>
      <c r="D33" s="110">
        <v>13</v>
      </c>
      <c r="E33" s="110">
        <v>11.5</v>
      </c>
      <c r="F33" s="110">
        <v>15</v>
      </c>
      <c r="G33" s="110">
        <v>13.5</v>
      </c>
      <c r="H33" s="110">
        <v>17</v>
      </c>
      <c r="I33" s="110">
        <v>14.5</v>
      </c>
      <c r="J33" s="110">
        <v>1</v>
      </c>
      <c r="U33" s="110">
        <v>44</v>
      </c>
      <c r="V33" s="110">
        <v>44</v>
      </c>
      <c r="W33" s="110">
        <v>38</v>
      </c>
      <c r="X33" s="110">
        <v>1</v>
      </c>
    </row>
    <row r="34" spans="2:24">
      <c r="B34" s="110">
        <v>14</v>
      </c>
      <c r="C34" s="110">
        <v>13</v>
      </c>
      <c r="D34" s="110">
        <v>16.5</v>
      </c>
      <c r="E34" s="110">
        <v>15</v>
      </c>
      <c r="F34" s="110">
        <v>19.5</v>
      </c>
      <c r="G34" s="110">
        <v>17.5</v>
      </c>
      <c r="H34" s="110">
        <v>22</v>
      </c>
      <c r="I34" s="110">
        <v>18.5</v>
      </c>
      <c r="J34" s="110">
        <v>1.5</v>
      </c>
      <c r="U34" s="110">
        <v>29</v>
      </c>
      <c r="V34" s="110">
        <v>29</v>
      </c>
      <c r="W34" s="110">
        <v>25</v>
      </c>
      <c r="X34" s="110">
        <v>1.5</v>
      </c>
    </row>
    <row r="35" spans="2:24">
      <c r="B35" s="110">
        <v>18.5</v>
      </c>
      <c r="C35" s="110">
        <v>17.5</v>
      </c>
      <c r="D35" s="110">
        <v>23</v>
      </c>
      <c r="E35" s="110">
        <v>20</v>
      </c>
      <c r="F35" s="110">
        <v>27</v>
      </c>
      <c r="G35" s="110">
        <v>24</v>
      </c>
      <c r="H35" s="110">
        <v>30</v>
      </c>
      <c r="I35" s="110">
        <v>25</v>
      </c>
      <c r="J35" s="110">
        <v>2.5</v>
      </c>
      <c r="U35" s="110">
        <v>18</v>
      </c>
      <c r="V35" s="110">
        <v>18</v>
      </c>
      <c r="W35" s="110">
        <v>15</v>
      </c>
      <c r="X35" s="110">
        <v>2.5</v>
      </c>
    </row>
    <row r="36" spans="2:24">
      <c r="B36" s="110">
        <v>25</v>
      </c>
      <c r="C36" s="110">
        <v>23</v>
      </c>
      <c r="D36" s="110">
        <v>30</v>
      </c>
      <c r="E36" s="110">
        <v>27</v>
      </c>
      <c r="F36" s="110">
        <v>36</v>
      </c>
      <c r="G36" s="110">
        <v>32</v>
      </c>
      <c r="H36" s="110">
        <v>40</v>
      </c>
      <c r="I36" s="110">
        <v>34</v>
      </c>
      <c r="J36" s="110">
        <v>4</v>
      </c>
      <c r="U36" s="110">
        <v>11</v>
      </c>
      <c r="V36" s="110">
        <v>11</v>
      </c>
      <c r="W36" s="110">
        <v>9.5</v>
      </c>
      <c r="X36" s="110">
        <v>4</v>
      </c>
    </row>
    <row r="37" spans="2:24">
      <c r="B37" s="110">
        <v>32</v>
      </c>
      <c r="C37" s="110">
        <v>29</v>
      </c>
      <c r="D37" s="110">
        <v>38</v>
      </c>
      <c r="E37" s="110">
        <v>34</v>
      </c>
      <c r="F37" s="110">
        <v>46</v>
      </c>
      <c r="G37" s="110">
        <v>41</v>
      </c>
      <c r="H37" s="110">
        <v>51</v>
      </c>
      <c r="I37" s="110">
        <v>43</v>
      </c>
      <c r="J37" s="110">
        <v>6</v>
      </c>
      <c r="U37" s="110">
        <v>7.3</v>
      </c>
      <c r="V37" s="110">
        <v>7.3</v>
      </c>
      <c r="W37" s="110">
        <v>6.4</v>
      </c>
      <c r="X37" s="110">
        <v>6</v>
      </c>
    </row>
    <row r="38" spans="2:24">
      <c r="B38" s="110">
        <v>43</v>
      </c>
      <c r="C38" s="110">
        <v>39</v>
      </c>
      <c r="D38" s="110">
        <v>52</v>
      </c>
      <c r="E38" s="110">
        <v>46</v>
      </c>
      <c r="F38" s="110">
        <v>63</v>
      </c>
      <c r="G38" s="110">
        <v>57</v>
      </c>
      <c r="H38" s="110">
        <v>70</v>
      </c>
      <c r="I38" s="110">
        <v>60</v>
      </c>
      <c r="J38" s="110">
        <v>10</v>
      </c>
      <c r="U38" s="110">
        <v>4.4000000000000004</v>
      </c>
      <c r="V38" s="110">
        <v>4.4000000000000004</v>
      </c>
      <c r="W38" s="110">
        <v>3.8</v>
      </c>
      <c r="X38" s="110">
        <v>10</v>
      </c>
    </row>
    <row r="39" spans="2:24">
      <c r="B39" s="110">
        <v>57</v>
      </c>
      <c r="C39" s="110">
        <v>52</v>
      </c>
      <c r="D39" s="110">
        <v>69</v>
      </c>
      <c r="E39" s="110">
        <v>62</v>
      </c>
      <c r="F39" s="110">
        <v>85</v>
      </c>
      <c r="G39" s="110">
        <v>76</v>
      </c>
      <c r="H39" s="110">
        <v>94</v>
      </c>
      <c r="I39" s="110">
        <v>80</v>
      </c>
      <c r="J39" s="110">
        <v>16</v>
      </c>
      <c r="U39" s="110">
        <v>2.8</v>
      </c>
      <c r="V39" s="110">
        <v>2.8</v>
      </c>
      <c r="W39" s="110">
        <v>2.4</v>
      </c>
      <c r="X39" s="110">
        <v>16</v>
      </c>
    </row>
    <row r="40" spans="2:24">
      <c r="B40" s="110">
        <v>75</v>
      </c>
      <c r="C40" s="110">
        <v>68</v>
      </c>
      <c r="D40" s="110">
        <v>90</v>
      </c>
      <c r="E40" s="110">
        <v>80</v>
      </c>
      <c r="F40" s="110">
        <v>112</v>
      </c>
      <c r="G40" s="110">
        <v>96</v>
      </c>
      <c r="H40" s="110">
        <v>119</v>
      </c>
      <c r="I40" s="110">
        <v>101</v>
      </c>
      <c r="J40" s="110">
        <v>25</v>
      </c>
      <c r="U40" s="110">
        <v>1.75</v>
      </c>
      <c r="V40" s="110">
        <v>1.75</v>
      </c>
      <c r="W40" s="110">
        <v>1.5</v>
      </c>
      <c r="X40" s="110">
        <v>25</v>
      </c>
    </row>
    <row r="41" spans="2:24">
      <c r="B41" s="110">
        <v>92</v>
      </c>
      <c r="C41" s="110">
        <v>83</v>
      </c>
      <c r="D41" s="110">
        <v>111</v>
      </c>
      <c r="E41" s="110">
        <v>118</v>
      </c>
      <c r="F41" s="110">
        <v>138</v>
      </c>
      <c r="G41" s="110">
        <v>119</v>
      </c>
      <c r="H41" s="110">
        <v>148</v>
      </c>
      <c r="I41" s="110">
        <v>126</v>
      </c>
      <c r="J41" s="110">
        <v>35</v>
      </c>
      <c r="U41" s="110">
        <v>1.25</v>
      </c>
      <c r="V41" s="110">
        <v>1.25</v>
      </c>
      <c r="W41" s="110">
        <v>1.1000000000000001</v>
      </c>
      <c r="X41" s="110">
        <v>35</v>
      </c>
    </row>
    <row r="42" spans="2:24">
      <c r="B42" s="110">
        <v>110</v>
      </c>
      <c r="C42" s="110">
        <v>99</v>
      </c>
      <c r="D42" s="110">
        <v>133</v>
      </c>
      <c r="E42" s="110">
        <v>149</v>
      </c>
      <c r="F42" s="110">
        <v>168</v>
      </c>
      <c r="G42" s="110">
        <v>144</v>
      </c>
      <c r="H42" s="110">
        <v>180</v>
      </c>
      <c r="I42" s="110">
        <v>153</v>
      </c>
      <c r="J42" s="110">
        <v>50</v>
      </c>
      <c r="U42" s="110">
        <v>0.93</v>
      </c>
      <c r="V42" s="110">
        <v>0.93</v>
      </c>
      <c r="W42" s="110">
        <v>0.8</v>
      </c>
      <c r="X42" s="110">
        <v>50</v>
      </c>
    </row>
    <row r="43" spans="2:24">
      <c r="B43" s="110">
        <v>139</v>
      </c>
      <c r="C43" s="110">
        <v>125</v>
      </c>
      <c r="D43" s="110">
        <v>168</v>
      </c>
      <c r="E43" s="110">
        <v>179</v>
      </c>
      <c r="F43" s="110">
        <v>213</v>
      </c>
      <c r="G43" s="110">
        <v>184</v>
      </c>
      <c r="H43" s="110">
        <v>232</v>
      </c>
      <c r="I43" s="110">
        <v>196</v>
      </c>
      <c r="J43" s="110">
        <v>70</v>
      </c>
      <c r="U43" s="110">
        <v>0.63</v>
      </c>
      <c r="V43" s="110">
        <v>0.63</v>
      </c>
      <c r="W43" s="110">
        <v>0.55000000000000004</v>
      </c>
      <c r="X43" s="110">
        <v>70</v>
      </c>
    </row>
    <row r="44" spans="2:24">
      <c r="B44" s="110">
        <v>167</v>
      </c>
      <c r="C44" s="110">
        <v>150</v>
      </c>
      <c r="D44" s="110">
        <v>201</v>
      </c>
      <c r="E44" s="110">
        <v>206</v>
      </c>
      <c r="F44" s="110">
        <v>258</v>
      </c>
      <c r="G44" s="110">
        <v>223</v>
      </c>
      <c r="H44" s="110">
        <v>282</v>
      </c>
      <c r="I44" s="110">
        <v>238</v>
      </c>
      <c r="J44" s="110">
        <v>95</v>
      </c>
      <c r="U44" s="110">
        <v>0.46</v>
      </c>
      <c r="V44" s="110">
        <v>0.47</v>
      </c>
      <c r="W44" s="110">
        <v>0.41</v>
      </c>
      <c r="X44" s="110">
        <v>95</v>
      </c>
    </row>
    <row r="45" spans="2:24">
      <c r="B45" s="110">
        <v>192</v>
      </c>
      <c r="C45" s="110">
        <v>172</v>
      </c>
      <c r="D45" s="110">
        <v>232</v>
      </c>
      <c r="E45" s="110">
        <v>225</v>
      </c>
      <c r="F45" s="110">
        <v>299</v>
      </c>
      <c r="G45" s="110">
        <v>259</v>
      </c>
      <c r="H45" s="110">
        <v>328</v>
      </c>
      <c r="I45" s="110">
        <v>276</v>
      </c>
      <c r="J45" s="110">
        <v>120</v>
      </c>
      <c r="U45" s="110">
        <v>0.36</v>
      </c>
      <c r="V45" s="110">
        <v>0.38</v>
      </c>
      <c r="W45" s="110">
        <v>0.33</v>
      </c>
      <c r="X45" s="110">
        <v>120</v>
      </c>
    </row>
    <row r="46" spans="2:24">
      <c r="B46" s="110">
        <v>219</v>
      </c>
      <c r="C46" s="110">
        <v>196</v>
      </c>
      <c r="D46" s="110">
        <v>258</v>
      </c>
      <c r="E46" s="110">
        <v>255</v>
      </c>
      <c r="F46" s="110">
        <v>344</v>
      </c>
      <c r="G46" s="110">
        <v>299</v>
      </c>
      <c r="H46" s="110">
        <v>379</v>
      </c>
      <c r="I46" s="110">
        <v>319</v>
      </c>
      <c r="J46" s="110">
        <v>150</v>
      </c>
      <c r="U46" s="110">
        <v>0.28999999999999998</v>
      </c>
      <c r="V46" s="110">
        <v>0.3</v>
      </c>
      <c r="W46" s="110">
        <v>0.26</v>
      </c>
      <c r="X46" s="110">
        <v>150</v>
      </c>
    </row>
    <row r="47" spans="2:24">
      <c r="B47" s="110">
        <v>248</v>
      </c>
      <c r="C47" s="110">
        <v>223</v>
      </c>
      <c r="D47" s="110">
        <v>294</v>
      </c>
      <c r="E47" s="110">
        <v>297</v>
      </c>
      <c r="F47" s="110">
        <v>392</v>
      </c>
      <c r="G47" s="110">
        <v>341</v>
      </c>
      <c r="H47" s="110">
        <v>434</v>
      </c>
      <c r="I47" s="110">
        <v>364</v>
      </c>
      <c r="J47" s="110">
        <v>185</v>
      </c>
      <c r="U47" s="110">
        <v>0.23</v>
      </c>
      <c r="V47" s="110">
        <v>0.25</v>
      </c>
      <c r="W47" s="110">
        <v>0.21</v>
      </c>
      <c r="X47" s="110">
        <v>185</v>
      </c>
    </row>
    <row r="48" spans="2:24">
      <c r="B48" s="110">
        <v>291</v>
      </c>
      <c r="C48" s="110">
        <v>261</v>
      </c>
      <c r="D48" s="110">
        <v>344</v>
      </c>
      <c r="E48" s="110">
        <v>339</v>
      </c>
      <c r="F48" s="110">
        <v>461</v>
      </c>
      <c r="G48" s="110">
        <v>403</v>
      </c>
      <c r="H48" s="110">
        <v>514</v>
      </c>
      <c r="I48" s="110">
        <v>430</v>
      </c>
      <c r="J48" s="110">
        <v>240</v>
      </c>
      <c r="U48" s="110">
        <v>0.18</v>
      </c>
      <c r="V48" s="110">
        <v>0.19</v>
      </c>
      <c r="W48" s="110">
        <v>0.16500000000000001</v>
      </c>
      <c r="X48" s="110">
        <v>240</v>
      </c>
    </row>
    <row r="49" spans="2:28">
      <c r="B49" s="110">
        <v>334</v>
      </c>
      <c r="C49" s="110">
        <v>298</v>
      </c>
      <c r="D49" s="110">
        <v>394</v>
      </c>
      <c r="E49" s="110">
        <v>402</v>
      </c>
      <c r="F49" s="110">
        <v>530</v>
      </c>
      <c r="G49" s="110">
        <v>464</v>
      </c>
      <c r="H49" s="110">
        <v>593</v>
      </c>
      <c r="I49" s="110">
        <v>497</v>
      </c>
      <c r="J49" s="110">
        <v>300</v>
      </c>
      <c r="U49" s="110">
        <v>0.14499999999999999</v>
      </c>
      <c r="V49" s="110">
        <v>0.155</v>
      </c>
      <c r="W49" s="110">
        <v>0.13500000000000001</v>
      </c>
      <c r="X49" s="110">
        <v>300</v>
      </c>
    </row>
    <row r="50" spans="2:28">
      <c r="D50" s="110">
        <v>470</v>
      </c>
      <c r="E50" s="110">
        <v>402</v>
      </c>
      <c r="F50" s="110">
        <v>634</v>
      </c>
      <c r="G50" s="110">
        <v>557</v>
      </c>
      <c r="H50" s="110">
        <v>715</v>
      </c>
      <c r="I50" s="110">
        <v>597</v>
      </c>
      <c r="J50" s="110">
        <v>400</v>
      </c>
      <c r="U50" s="110">
        <v>0.105</v>
      </c>
      <c r="V50" s="110">
        <v>0.115</v>
      </c>
      <c r="W50" s="110">
        <v>0.1</v>
      </c>
      <c r="X50" s="110">
        <v>400</v>
      </c>
    </row>
    <row r="53" spans="2:28">
      <c r="B53" s="110" t="s">
        <v>1987</v>
      </c>
      <c r="P53" s="111" t="s">
        <v>1988</v>
      </c>
      <c r="U53" s="110" t="s">
        <v>1989</v>
      </c>
    </row>
    <row r="54" spans="2:28">
      <c r="I54" s="112"/>
      <c r="AB54" s="112"/>
    </row>
    <row r="55" spans="2:28" ht="68">
      <c r="B55" s="113" t="s">
        <v>1968</v>
      </c>
      <c r="C55" s="113" t="s">
        <v>1990</v>
      </c>
      <c r="D55" s="113" t="s">
        <v>1970</v>
      </c>
      <c r="E55" s="113" t="s">
        <v>1971</v>
      </c>
      <c r="F55" s="113" t="s">
        <v>1972</v>
      </c>
      <c r="G55" s="113" t="s">
        <v>1991</v>
      </c>
      <c r="H55" s="113" t="s">
        <v>1992</v>
      </c>
      <c r="I55" s="113" t="s">
        <v>1993</v>
      </c>
      <c r="J55" s="113" t="s">
        <v>1994</v>
      </c>
      <c r="K55" s="113" t="s">
        <v>1995</v>
      </c>
      <c r="L55" s="113" t="s">
        <v>1996</v>
      </c>
      <c r="M55" s="114" t="s">
        <v>1975</v>
      </c>
      <c r="P55" s="110" t="s">
        <v>1976</v>
      </c>
      <c r="Q55" s="110" t="s">
        <v>1977</v>
      </c>
      <c r="U55" s="113" t="s">
        <v>1964</v>
      </c>
      <c r="V55" s="113" t="s">
        <v>1965</v>
      </c>
      <c r="W55" s="113" t="s">
        <v>1966</v>
      </c>
      <c r="X55" s="113" t="s">
        <v>1967</v>
      </c>
      <c r="Y55" s="113" t="s">
        <v>1978</v>
      </c>
      <c r="Z55" s="113" t="s">
        <v>1979</v>
      </c>
      <c r="AA55" s="113" t="s">
        <v>1975</v>
      </c>
    </row>
    <row r="56" spans="2:28">
      <c r="B56" s="110">
        <v>193</v>
      </c>
      <c r="C56" s="110">
        <v>179</v>
      </c>
      <c r="D56" s="110">
        <v>205</v>
      </c>
      <c r="E56" s="110">
        <v>189</v>
      </c>
      <c r="F56" s="110">
        <v>181</v>
      </c>
      <c r="G56" s="110">
        <v>229</v>
      </c>
      <c r="H56" s="110">
        <v>216</v>
      </c>
      <c r="I56" s="110">
        <v>229</v>
      </c>
      <c r="J56" s="110">
        <v>217</v>
      </c>
      <c r="K56" s="110">
        <v>230</v>
      </c>
      <c r="L56" s="110">
        <v>212</v>
      </c>
      <c r="M56" s="115">
        <v>50</v>
      </c>
      <c r="P56" s="110">
        <v>16</v>
      </c>
      <c r="U56" s="110">
        <v>0.93</v>
      </c>
      <c r="V56" s="110">
        <v>0.93</v>
      </c>
      <c r="W56" s="110">
        <v>0.92</v>
      </c>
      <c r="X56" s="110">
        <v>0.8</v>
      </c>
      <c r="Y56" s="110">
        <v>0.79</v>
      </c>
      <c r="Z56" s="110">
        <v>0.79</v>
      </c>
      <c r="AA56" s="110">
        <v>50</v>
      </c>
    </row>
    <row r="57" spans="2:28">
      <c r="B57" s="110">
        <v>245</v>
      </c>
      <c r="C57" s="110">
        <v>225</v>
      </c>
      <c r="D57" s="110">
        <v>259</v>
      </c>
      <c r="E57" s="110">
        <v>238</v>
      </c>
      <c r="F57" s="110">
        <v>231</v>
      </c>
      <c r="G57" s="110">
        <v>294</v>
      </c>
      <c r="H57" s="110">
        <v>279</v>
      </c>
      <c r="I57" s="110">
        <v>287</v>
      </c>
      <c r="J57" s="110">
        <v>272</v>
      </c>
      <c r="K57" s="110">
        <v>286</v>
      </c>
      <c r="L57" s="110">
        <v>263</v>
      </c>
      <c r="M57" s="110">
        <v>70</v>
      </c>
      <c r="P57" s="110">
        <v>25</v>
      </c>
      <c r="U57" s="110">
        <v>0.63</v>
      </c>
      <c r="V57" s="110">
        <v>0.64</v>
      </c>
      <c r="W57" s="110">
        <v>0.66</v>
      </c>
      <c r="X57" s="110">
        <v>0.56000000000000005</v>
      </c>
      <c r="Y57" s="110">
        <v>0.56999999999999995</v>
      </c>
      <c r="Z57" s="110">
        <v>0.59</v>
      </c>
      <c r="AA57" s="110">
        <v>70</v>
      </c>
    </row>
    <row r="58" spans="2:28">
      <c r="B58" s="110">
        <v>296</v>
      </c>
      <c r="C58" s="110">
        <v>269</v>
      </c>
      <c r="D58" s="110">
        <v>313</v>
      </c>
      <c r="E58" s="110">
        <v>285</v>
      </c>
      <c r="F58" s="110">
        <v>280</v>
      </c>
      <c r="G58" s="110">
        <v>357</v>
      </c>
      <c r="H58" s="110">
        <v>340</v>
      </c>
      <c r="I58" s="110">
        <v>349</v>
      </c>
      <c r="J58" s="110">
        <v>332</v>
      </c>
      <c r="K58" s="110">
        <v>338</v>
      </c>
      <c r="L58" s="110">
        <v>313</v>
      </c>
      <c r="M58" s="115">
        <v>95</v>
      </c>
      <c r="P58" s="110">
        <v>35</v>
      </c>
      <c r="U58" s="110">
        <v>0.46</v>
      </c>
      <c r="V58" s="110">
        <v>0.48</v>
      </c>
      <c r="W58" s="110">
        <v>0.51</v>
      </c>
      <c r="X58" s="110">
        <v>0.42</v>
      </c>
      <c r="Y58" s="110">
        <v>0.44</v>
      </c>
      <c r="Z58" s="110">
        <v>0.47</v>
      </c>
      <c r="AA58" s="110">
        <v>95</v>
      </c>
    </row>
    <row r="59" spans="2:28">
      <c r="B59" s="110">
        <v>342</v>
      </c>
      <c r="C59" s="110">
        <v>309</v>
      </c>
      <c r="D59" s="110">
        <v>360</v>
      </c>
      <c r="E59" s="110">
        <v>327</v>
      </c>
      <c r="F59" s="110">
        <v>324</v>
      </c>
      <c r="G59" s="110">
        <v>415</v>
      </c>
      <c r="H59" s="110">
        <v>396</v>
      </c>
      <c r="I59" s="110">
        <v>401</v>
      </c>
      <c r="J59" s="110">
        <v>383</v>
      </c>
      <c r="K59" s="110">
        <v>385</v>
      </c>
      <c r="L59" s="110">
        <v>357</v>
      </c>
      <c r="M59" s="110">
        <v>120</v>
      </c>
      <c r="P59" s="110">
        <v>50</v>
      </c>
      <c r="U59" s="110">
        <v>0.36</v>
      </c>
      <c r="V59" s="110">
        <v>0.39</v>
      </c>
      <c r="W59" s="110">
        <v>0.42</v>
      </c>
      <c r="X59" s="110">
        <v>0.33</v>
      </c>
      <c r="Y59" s="110">
        <v>0.36</v>
      </c>
      <c r="Z59" s="110">
        <v>0.4</v>
      </c>
      <c r="AA59" s="110">
        <v>120</v>
      </c>
    </row>
    <row r="60" spans="2:28">
      <c r="B60" s="110">
        <v>393</v>
      </c>
      <c r="C60" s="110">
        <v>352</v>
      </c>
      <c r="D60" s="110">
        <v>413</v>
      </c>
      <c r="E60" s="110">
        <v>373</v>
      </c>
      <c r="F60" s="110">
        <v>373</v>
      </c>
      <c r="G60" s="110">
        <v>479</v>
      </c>
      <c r="H60" s="110">
        <v>458</v>
      </c>
      <c r="I60" s="110">
        <v>449</v>
      </c>
      <c r="J60" s="110">
        <v>429</v>
      </c>
      <c r="K60" s="110">
        <v>436</v>
      </c>
      <c r="L60" s="110">
        <v>405</v>
      </c>
      <c r="M60" s="115">
        <v>150</v>
      </c>
      <c r="P60" s="110">
        <v>70</v>
      </c>
      <c r="U60" s="110">
        <v>0.28999999999999998</v>
      </c>
      <c r="V60" s="110">
        <v>0.31</v>
      </c>
      <c r="W60" s="110">
        <v>0.34</v>
      </c>
      <c r="X60" s="110">
        <v>0.27</v>
      </c>
      <c r="Y60" s="110">
        <v>0.3</v>
      </c>
      <c r="Z60" s="110">
        <v>0.34</v>
      </c>
      <c r="AA60" s="110">
        <v>150</v>
      </c>
    </row>
    <row r="61" spans="2:28">
      <c r="B61" s="110">
        <v>447</v>
      </c>
      <c r="C61" s="110">
        <v>399</v>
      </c>
      <c r="D61" s="110">
        <v>469</v>
      </c>
      <c r="E61" s="110">
        <v>422</v>
      </c>
      <c r="F61" s="110">
        <v>425</v>
      </c>
      <c r="G61" s="110">
        <v>548</v>
      </c>
      <c r="H61" s="110">
        <v>525</v>
      </c>
      <c r="I61" s="110">
        <v>511</v>
      </c>
      <c r="J61" s="110">
        <v>489</v>
      </c>
      <c r="K61" s="110">
        <v>490</v>
      </c>
      <c r="L61" s="110">
        <v>456</v>
      </c>
      <c r="M61" s="110">
        <v>185</v>
      </c>
      <c r="P61" s="110">
        <v>95</v>
      </c>
      <c r="U61" s="110">
        <v>0.23</v>
      </c>
      <c r="V61" s="110">
        <v>0.26</v>
      </c>
      <c r="W61" s="110">
        <v>0.28999999999999998</v>
      </c>
      <c r="X61" s="110">
        <v>0.22</v>
      </c>
      <c r="Y61" s="110">
        <v>0.25</v>
      </c>
      <c r="Z61" s="110">
        <v>0.28999999999999998</v>
      </c>
      <c r="AA61" s="110">
        <v>185</v>
      </c>
    </row>
    <row r="62" spans="2:28">
      <c r="B62" s="110">
        <v>525</v>
      </c>
      <c r="C62" s="110">
        <v>465</v>
      </c>
      <c r="D62" s="110">
        <v>550</v>
      </c>
      <c r="E62" s="110">
        <v>492</v>
      </c>
      <c r="F62" s="110">
        <v>501</v>
      </c>
      <c r="G62" s="110">
        <v>648</v>
      </c>
      <c r="H62" s="110">
        <v>622</v>
      </c>
      <c r="I62" s="110">
        <v>593</v>
      </c>
      <c r="J62" s="110">
        <v>568</v>
      </c>
      <c r="K62" s="110">
        <v>566</v>
      </c>
      <c r="L62" s="110">
        <v>528</v>
      </c>
      <c r="M62" s="115">
        <v>240</v>
      </c>
      <c r="P62" s="110">
        <v>120</v>
      </c>
      <c r="U62" s="110">
        <v>0.18</v>
      </c>
      <c r="V62" s="110">
        <v>0.2</v>
      </c>
      <c r="W62" s="110">
        <v>0.23</v>
      </c>
      <c r="X62" s="110">
        <v>0.17499999999999999</v>
      </c>
      <c r="Y62" s="110">
        <v>0.2</v>
      </c>
      <c r="Z62" s="110">
        <v>0.24</v>
      </c>
      <c r="AA62" s="110">
        <v>240</v>
      </c>
    </row>
    <row r="63" spans="2:28">
      <c r="B63" s="110">
        <v>594</v>
      </c>
      <c r="C63" s="110">
        <v>515</v>
      </c>
      <c r="D63" s="110">
        <v>624</v>
      </c>
      <c r="E63" s="110">
        <v>547</v>
      </c>
      <c r="F63" s="110">
        <v>567</v>
      </c>
      <c r="G63" s="110">
        <v>748</v>
      </c>
      <c r="H63" s="110">
        <v>719</v>
      </c>
      <c r="I63" s="110">
        <v>668</v>
      </c>
      <c r="J63" s="110">
        <v>640</v>
      </c>
      <c r="K63" s="110">
        <v>616</v>
      </c>
      <c r="L63" s="110">
        <v>578</v>
      </c>
      <c r="M63" s="110">
        <v>300</v>
      </c>
      <c r="P63" s="110">
        <v>150</v>
      </c>
      <c r="U63" s="110">
        <v>0.14499999999999999</v>
      </c>
      <c r="V63" s="110">
        <v>0.16</v>
      </c>
      <c r="W63" s="110">
        <v>0.19</v>
      </c>
      <c r="X63" s="110">
        <v>0.14000000000000001</v>
      </c>
      <c r="Y63" s="110">
        <v>0.16500000000000001</v>
      </c>
      <c r="Z63" s="110">
        <v>0.2</v>
      </c>
      <c r="AA63" s="110">
        <v>300</v>
      </c>
    </row>
    <row r="64" spans="2:28">
      <c r="B64" s="110">
        <v>687</v>
      </c>
      <c r="C64" s="110">
        <v>575</v>
      </c>
      <c r="D64" s="110">
        <v>723</v>
      </c>
      <c r="E64" s="110">
        <v>618</v>
      </c>
      <c r="F64" s="110">
        <v>657</v>
      </c>
      <c r="G64" s="110">
        <v>885</v>
      </c>
      <c r="H64" s="110">
        <v>851</v>
      </c>
      <c r="I64" s="110">
        <v>737</v>
      </c>
      <c r="J64" s="110">
        <v>707</v>
      </c>
      <c r="K64" s="110">
        <v>674</v>
      </c>
      <c r="L64" s="110">
        <v>632</v>
      </c>
      <c r="M64" s="115">
        <v>400</v>
      </c>
      <c r="P64" s="110">
        <v>185</v>
      </c>
      <c r="U64" s="110">
        <v>0.105</v>
      </c>
      <c r="V64" s="110">
        <v>0.14000000000000001</v>
      </c>
      <c r="W64" s="110">
        <v>0.18</v>
      </c>
      <c r="X64" s="110">
        <v>0.12</v>
      </c>
      <c r="Y64" s="110">
        <v>0.16</v>
      </c>
      <c r="Z64" s="110">
        <v>0.21</v>
      </c>
      <c r="AA64" s="110">
        <v>400</v>
      </c>
    </row>
    <row r="65" spans="2:27">
      <c r="B65" s="110">
        <v>763</v>
      </c>
      <c r="C65" s="110">
        <v>622</v>
      </c>
      <c r="D65" s="110">
        <v>805</v>
      </c>
      <c r="E65" s="110">
        <v>673</v>
      </c>
      <c r="F65" s="110">
        <v>731</v>
      </c>
      <c r="G65" s="110">
        <v>1035</v>
      </c>
      <c r="H65" s="110">
        <v>997</v>
      </c>
      <c r="I65" s="110">
        <v>810</v>
      </c>
      <c r="J65" s="110">
        <v>777</v>
      </c>
      <c r="K65" s="110">
        <v>721</v>
      </c>
      <c r="L65" s="110">
        <v>676</v>
      </c>
      <c r="M65" s="110">
        <v>500</v>
      </c>
      <c r="P65" s="110">
        <v>240</v>
      </c>
      <c r="U65" s="110">
        <v>8.5999999999999993E-2</v>
      </c>
      <c r="V65" s="110">
        <v>0.12</v>
      </c>
      <c r="W65" s="110">
        <v>0.16500000000000001</v>
      </c>
      <c r="X65" s="110">
        <v>0.105</v>
      </c>
      <c r="Y65" s="110">
        <v>0.14499999999999999</v>
      </c>
      <c r="Z65" s="110">
        <v>0.19</v>
      </c>
      <c r="AA65" s="110">
        <v>500</v>
      </c>
    </row>
    <row r="66" spans="2:27">
      <c r="B66" s="110">
        <v>843</v>
      </c>
      <c r="C66" s="110">
        <v>669</v>
      </c>
      <c r="D66" s="110">
        <v>891</v>
      </c>
      <c r="E66" s="110">
        <v>728</v>
      </c>
      <c r="F66" s="110">
        <v>809</v>
      </c>
      <c r="G66" s="110">
        <v>1218</v>
      </c>
      <c r="H66" s="110">
        <v>1174</v>
      </c>
      <c r="I66" s="110">
        <v>893</v>
      </c>
      <c r="J66" s="110">
        <v>856</v>
      </c>
      <c r="K66" s="110">
        <v>771</v>
      </c>
      <c r="L66" s="110">
        <v>723</v>
      </c>
      <c r="M66" s="115">
        <v>630</v>
      </c>
      <c r="P66" s="110">
        <v>300</v>
      </c>
      <c r="U66" s="110">
        <v>6.8000000000000005E-2</v>
      </c>
      <c r="V66" s="110">
        <v>0.105</v>
      </c>
      <c r="W66" s="110">
        <v>0.15</v>
      </c>
      <c r="X66" s="110">
        <v>9.0999999999999998E-2</v>
      </c>
      <c r="Y66" s="110">
        <v>0.13500000000000001</v>
      </c>
      <c r="Z66" s="110">
        <v>0.17499999999999999</v>
      </c>
      <c r="AA66" s="110">
        <v>630</v>
      </c>
    </row>
    <row r="67" spans="2:27">
      <c r="B67" s="110">
        <v>919</v>
      </c>
      <c r="C67" s="110">
        <v>710</v>
      </c>
      <c r="D67" s="110">
        <v>976</v>
      </c>
      <c r="E67" s="110">
        <v>777</v>
      </c>
      <c r="F67" s="110">
        <v>886</v>
      </c>
      <c r="G67" s="110">
        <v>1441</v>
      </c>
      <c r="H67" s="110">
        <v>1390</v>
      </c>
      <c r="I67" s="110">
        <v>943</v>
      </c>
      <c r="J67" s="110">
        <v>905</v>
      </c>
      <c r="K67" s="110">
        <v>824</v>
      </c>
      <c r="L67" s="110">
        <v>772</v>
      </c>
      <c r="M67" s="110">
        <v>800</v>
      </c>
      <c r="P67" s="110">
        <v>380</v>
      </c>
      <c r="U67" s="110">
        <v>5.2999999999999999E-2</v>
      </c>
      <c r="V67" s="110">
        <v>9.5000000000000001E-2</v>
      </c>
      <c r="W67" s="110">
        <v>0.14499999999999999</v>
      </c>
      <c r="X67" s="110">
        <v>8.2000000000000003E-2</v>
      </c>
      <c r="Y67" s="110">
        <v>0.125</v>
      </c>
      <c r="Z67" s="110">
        <v>0.17</v>
      </c>
      <c r="AA67" s="110">
        <v>800</v>
      </c>
    </row>
    <row r="68" spans="2:27">
      <c r="B68" s="110">
        <v>975</v>
      </c>
      <c r="C68" s="110">
        <v>737</v>
      </c>
      <c r="D68" s="110">
        <v>1041</v>
      </c>
      <c r="E68" s="110">
        <v>808</v>
      </c>
      <c r="F68" s="110">
        <v>945</v>
      </c>
      <c r="G68" s="110">
        <v>1685</v>
      </c>
      <c r="H68" s="110">
        <v>1627</v>
      </c>
      <c r="I68" s="110">
        <v>1008</v>
      </c>
      <c r="J68" s="110">
        <v>967</v>
      </c>
      <c r="K68" s="110">
        <v>872</v>
      </c>
      <c r="L68" s="110">
        <v>816</v>
      </c>
      <c r="M68" s="115">
        <v>1000</v>
      </c>
      <c r="P68" s="110">
        <v>480</v>
      </c>
      <c r="U68" s="110">
        <v>4.2000000000000003E-2</v>
      </c>
      <c r="V68" s="110">
        <v>9.0999999999999998E-2</v>
      </c>
      <c r="W68" s="110">
        <v>0.14000000000000001</v>
      </c>
      <c r="X68" s="110">
        <v>7.9000000000000001E-2</v>
      </c>
      <c r="Y68" s="110">
        <v>0.125</v>
      </c>
      <c r="Z68" s="110">
        <v>0.16500000000000001</v>
      </c>
      <c r="AA68" s="110">
        <v>1000</v>
      </c>
    </row>
    <row r="69" spans="2:27">
      <c r="P69" s="110">
        <v>600</v>
      </c>
    </row>
    <row r="70" spans="2:27">
      <c r="P70" s="110">
        <v>740</v>
      </c>
    </row>
    <row r="71" spans="2:27">
      <c r="B71" s="110" t="s">
        <v>1997</v>
      </c>
      <c r="P71" s="110">
        <v>960</v>
      </c>
      <c r="U71" s="110" t="s">
        <v>1998</v>
      </c>
    </row>
    <row r="72" spans="2:27">
      <c r="I72" s="112"/>
      <c r="P72" s="110">
        <v>1200</v>
      </c>
    </row>
    <row r="73" spans="2:27" ht="51">
      <c r="B73" s="113" t="s">
        <v>1978</v>
      </c>
      <c r="C73" s="113" t="s">
        <v>1999</v>
      </c>
      <c r="D73" s="113" t="s">
        <v>1980</v>
      </c>
      <c r="E73" s="113" t="s">
        <v>2000</v>
      </c>
      <c r="F73" s="113" t="s">
        <v>2001</v>
      </c>
      <c r="G73" s="113" t="s">
        <v>2002</v>
      </c>
      <c r="H73" s="113" t="s">
        <v>1975</v>
      </c>
      <c r="U73" s="113" t="s">
        <v>1984</v>
      </c>
      <c r="V73" s="113" t="s">
        <v>1985</v>
      </c>
      <c r="W73" s="113" t="s">
        <v>1986</v>
      </c>
      <c r="X73" s="113" t="s">
        <v>1975</v>
      </c>
    </row>
    <row r="74" spans="2:27">
      <c r="B74" s="110">
        <v>21</v>
      </c>
      <c r="C74" s="110">
        <v>18</v>
      </c>
      <c r="D74" s="110">
        <v>22</v>
      </c>
      <c r="E74" s="110">
        <v>19</v>
      </c>
      <c r="F74" s="110">
        <v>22</v>
      </c>
      <c r="G74" s="110">
        <v>18</v>
      </c>
      <c r="H74" s="110">
        <v>1.5</v>
      </c>
      <c r="U74" s="110">
        <v>29</v>
      </c>
      <c r="V74" s="110">
        <v>29</v>
      </c>
      <c r="W74" s="110">
        <v>25</v>
      </c>
      <c r="X74" s="110">
        <v>1.5</v>
      </c>
    </row>
    <row r="75" spans="2:27">
      <c r="B75" s="110">
        <v>28</v>
      </c>
      <c r="C75" s="110">
        <v>25</v>
      </c>
      <c r="D75" s="110">
        <v>31</v>
      </c>
      <c r="E75" s="110">
        <v>26</v>
      </c>
      <c r="F75" s="110">
        <v>29</v>
      </c>
      <c r="G75" s="110">
        <v>24</v>
      </c>
      <c r="H75" s="110">
        <v>2.5</v>
      </c>
      <c r="U75" s="110">
        <v>18</v>
      </c>
      <c r="V75" s="110">
        <v>18</v>
      </c>
      <c r="W75" s="110">
        <v>15</v>
      </c>
      <c r="X75" s="110">
        <v>2.5</v>
      </c>
    </row>
    <row r="76" spans="2:27">
      <c r="B76" s="110">
        <v>38</v>
      </c>
      <c r="C76" s="110">
        <v>33</v>
      </c>
      <c r="D76" s="110">
        <v>41</v>
      </c>
      <c r="E76" s="110">
        <v>35</v>
      </c>
      <c r="F76" s="110">
        <v>37</v>
      </c>
      <c r="G76" s="110">
        <v>30</v>
      </c>
      <c r="H76" s="110">
        <v>4</v>
      </c>
      <c r="U76" s="110">
        <v>11</v>
      </c>
      <c r="V76" s="110">
        <v>11</v>
      </c>
      <c r="W76" s="110">
        <v>9.5</v>
      </c>
      <c r="X76" s="110">
        <v>4</v>
      </c>
    </row>
    <row r="77" spans="2:27">
      <c r="B77" s="110">
        <v>49</v>
      </c>
      <c r="C77" s="110">
        <v>42</v>
      </c>
      <c r="D77" s="110">
        <v>53</v>
      </c>
      <c r="E77" s="110">
        <v>45</v>
      </c>
      <c r="F77" s="110">
        <v>46</v>
      </c>
      <c r="G77" s="110">
        <v>38</v>
      </c>
      <c r="H77" s="110">
        <v>6</v>
      </c>
      <c r="U77" s="110">
        <v>7.3</v>
      </c>
      <c r="V77" s="110">
        <v>7.3</v>
      </c>
      <c r="W77" s="110">
        <v>6.4</v>
      </c>
      <c r="X77" s="110">
        <v>6</v>
      </c>
    </row>
    <row r="78" spans="2:27">
      <c r="B78" s="110">
        <v>67</v>
      </c>
      <c r="C78" s="110">
        <v>58</v>
      </c>
      <c r="D78" s="110">
        <v>72</v>
      </c>
      <c r="E78" s="110">
        <v>62</v>
      </c>
      <c r="F78" s="110">
        <v>60</v>
      </c>
      <c r="G78" s="110">
        <v>50</v>
      </c>
      <c r="H78" s="110">
        <v>10</v>
      </c>
      <c r="U78" s="110">
        <v>4.4000000000000004</v>
      </c>
      <c r="V78" s="110">
        <v>4.4000000000000004</v>
      </c>
      <c r="W78" s="110">
        <v>3.8</v>
      </c>
      <c r="X78" s="110">
        <v>10</v>
      </c>
    </row>
    <row r="79" spans="2:27">
      <c r="B79" s="110">
        <v>89</v>
      </c>
      <c r="C79" s="110">
        <v>77</v>
      </c>
      <c r="D79" s="110">
        <v>97</v>
      </c>
      <c r="E79" s="110">
        <v>83</v>
      </c>
      <c r="F79" s="110">
        <v>78</v>
      </c>
      <c r="G79" s="110">
        <v>64</v>
      </c>
      <c r="H79" s="110">
        <v>16</v>
      </c>
      <c r="U79" s="110">
        <v>2.8</v>
      </c>
      <c r="V79" s="110">
        <v>2.8</v>
      </c>
      <c r="W79" s="110">
        <v>2.4</v>
      </c>
      <c r="X79" s="110">
        <v>16</v>
      </c>
    </row>
    <row r="80" spans="2:27">
      <c r="B80" s="110">
        <v>118</v>
      </c>
      <c r="C80" s="110">
        <v>102</v>
      </c>
      <c r="D80" s="110">
        <v>128</v>
      </c>
      <c r="E80" s="110">
        <v>110</v>
      </c>
      <c r="F80" s="110">
        <v>99</v>
      </c>
      <c r="G80" s="110">
        <v>82</v>
      </c>
      <c r="H80" s="110">
        <v>25</v>
      </c>
      <c r="U80" s="110">
        <v>1.75</v>
      </c>
      <c r="V80" s="110">
        <v>1.75</v>
      </c>
      <c r="W80" s="110">
        <v>1.5</v>
      </c>
      <c r="X80" s="110">
        <v>25</v>
      </c>
    </row>
    <row r="81" spans="2:24">
      <c r="B81" s="110">
        <v>145</v>
      </c>
      <c r="C81" s="110">
        <v>125</v>
      </c>
      <c r="D81" s="110">
        <v>157</v>
      </c>
      <c r="E81" s="110">
        <v>135</v>
      </c>
      <c r="F81" s="110">
        <v>119</v>
      </c>
      <c r="G81" s="110">
        <v>98</v>
      </c>
      <c r="H81" s="110">
        <v>35</v>
      </c>
      <c r="U81" s="110">
        <v>1.25</v>
      </c>
      <c r="V81" s="110">
        <v>1.25</v>
      </c>
      <c r="W81" s="110">
        <v>1.1000000000000001</v>
      </c>
      <c r="X81" s="110">
        <v>35</v>
      </c>
    </row>
    <row r="82" spans="2:24">
      <c r="B82" s="110">
        <v>175</v>
      </c>
      <c r="C82" s="110">
        <v>151</v>
      </c>
      <c r="D82" s="110">
        <v>190</v>
      </c>
      <c r="E82" s="110">
        <v>163</v>
      </c>
      <c r="F82" s="110">
        <v>140</v>
      </c>
      <c r="G82" s="110">
        <v>116</v>
      </c>
      <c r="H82" s="110">
        <v>50</v>
      </c>
      <c r="U82" s="110">
        <v>0.93</v>
      </c>
      <c r="V82" s="110">
        <v>0.93</v>
      </c>
      <c r="W82" s="110">
        <v>0.8</v>
      </c>
      <c r="X82" s="110">
        <v>50</v>
      </c>
    </row>
    <row r="83" spans="2:24">
      <c r="B83" s="110">
        <v>222</v>
      </c>
      <c r="C83" s="110">
        <v>192</v>
      </c>
      <c r="D83" s="110">
        <v>241</v>
      </c>
      <c r="E83" s="110">
        <v>207</v>
      </c>
      <c r="F83" s="110">
        <v>173</v>
      </c>
      <c r="G83" s="110">
        <v>143</v>
      </c>
      <c r="H83" s="110">
        <v>70</v>
      </c>
      <c r="U83" s="110">
        <v>0.63</v>
      </c>
      <c r="V83" s="110">
        <v>0.63</v>
      </c>
      <c r="W83" s="110">
        <v>0.55000000000000004</v>
      </c>
      <c r="X83" s="110">
        <v>70</v>
      </c>
    </row>
    <row r="84" spans="2:24">
      <c r="B84" s="110">
        <v>269</v>
      </c>
      <c r="C84" s="110">
        <v>231</v>
      </c>
      <c r="D84" s="110">
        <v>291</v>
      </c>
      <c r="E84" s="110">
        <v>251</v>
      </c>
      <c r="F84" s="110">
        <v>204</v>
      </c>
      <c r="G84" s="110">
        <v>169</v>
      </c>
      <c r="H84" s="110">
        <v>95</v>
      </c>
      <c r="U84" s="110">
        <v>0.46</v>
      </c>
      <c r="V84" s="110">
        <v>0.47</v>
      </c>
      <c r="W84" s="110">
        <v>0.41</v>
      </c>
      <c r="X84" s="110">
        <v>95</v>
      </c>
    </row>
    <row r="85" spans="2:24">
      <c r="B85" s="110">
        <v>310</v>
      </c>
      <c r="C85" s="110">
        <v>267</v>
      </c>
      <c r="D85" s="110">
        <v>336</v>
      </c>
      <c r="E85" s="110">
        <v>290</v>
      </c>
      <c r="F85" s="110">
        <v>231</v>
      </c>
      <c r="G85" s="110">
        <v>192</v>
      </c>
      <c r="H85" s="110">
        <v>120</v>
      </c>
      <c r="U85" s="110">
        <v>0.36</v>
      </c>
      <c r="V85" s="110">
        <v>0.38</v>
      </c>
      <c r="W85" s="110">
        <v>0.33</v>
      </c>
      <c r="X85" s="110">
        <v>120</v>
      </c>
    </row>
    <row r="86" spans="2:24">
      <c r="B86" s="110">
        <v>356</v>
      </c>
      <c r="C86" s="110">
        <v>306</v>
      </c>
      <c r="D86" s="110">
        <v>386</v>
      </c>
      <c r="E86" s="110">
        <v>332</v>
      </c>
      <c r="F86" s="110">
        <v>261</v>
      </c>
      <c r="G86" s="110">
        <v>217</v>
      </c>
      <c r="H86" s="110">
        <v>150</v>
      </c>
      <c r="U86" s="110">
        <v>0.28999999999999998</v>
      </c>
      <c r="V86" s="110">
        <v>0.3</v>
      </c>
      <c r="W86" s="110">
        <v>0.26</v>
      </c>
      <c r="X86" s="110">
        <v>150</v>
      </c>
    </row>
    <row r="87" spans="2:24">
      <c r="B87" s="110">
        <v>405</v>
      </c>
      <c r="C87" s="110">
        <v>348</v>
      </c>
      <c r="D87" s="110">
        <v>439</v>
      </c>
      <c r="E87" s="110">
        <v>378</v>
      </c>
      <c r="F87" s="110">
        <v>292</v>
      </c>
      <c r="G87" s="110">
        <v>243</v>
      </c>
      <c r="H87" s="110">
        <v>185</v>
      </c>
      <c r="U87" s="110">
        <v>0.23</v>
      </c>
      <c r="V87" s="110">
        <v>0.25</v>
      </c>
      <c r="W87" s="110">
        <v>0.21</v>
      </c>
      <c r="X87" s="110">
        <v>185</v>
      </c>
    </row>
    <row r="88" spans="2:24">
      <c r="B88" s="110">
        <v>476</v>
      </c>
      <c r="C88" s="110">
        <v>409</v>
      </c>
      <c r="D88" s="110">
        <v>516</v>
      </c>
      <c r="E88" s="110">
        <v>445</v>
      </c>
      <c r="F88" s="110">
        <v>336</v>
      </c>
      <c r="G88" s="110">
        <v>280</v>
      </c>
      <c r="H88" s="110">
        <v>240</v>
      </c>
      <c r="U88" s="110">
        <v>0.18</v>
      </c>
      <c r="V88" s="110">
        <v>0.19</v>
      </c>
      <c r="W88" s="110">
        <v>0.16500000000000001</v>
      </c>
      <c r="X88" s="110">
        <v>240</v>
      </c>
    </row>
    <row r="89" spans="2:24">
      <c r="B89" s="110">
        <v>547</v>
      </c>
      <c r="C89" s="110">
        <v>469</v>
      </c>
      <c r="D89" s="110">
        <v>592</v>
      </c>
      <c r="E89" s="110">
        <v>510</v>
      </c>
      <c r="F89" s="110">
        <v>379</v>
      </c>
      <c r="G89" s="110">
        <v>316</v>
      </c>
      <c r="H89" s="110">
        <v>300</v>
      </c>
      <c r="U89" s="110">
        <v>0.14499999999999999</v>
      </c>
      <c r="V89" s="110">
        <v>0.155</v>
      </c>
      <c r="W89" s="110">
        <v>0.13500000000000001</v>
      </c>
      <c r="X89" s="110">
        <v>300</v>
      </c>
    </row>
    <row r="90" spans="2:24">
      <c r="B90" s="110">
        <v>621</v>
      </c>
      <c r="C90" s="110">
        <v>540</v>
      </c>
      <c r="D90" s="110">
        <v>683</v>
      </c>
      <c r="E90" s="110">
        <v>590</v>
      </c>
      <c r="H90" s="110">
        <v>400</v>
      </c>
      <c r="U90" s="110">
        <v>0.105</v>
      </c>
      <c r="V90" s="110">
        <v>0.115</v>
      </c>
      <c r="W90" s="110">
        <v>0.1</v>
      </c>
      <c r="X90" s="110">
        <v>400</v>
      </c>
    </row>
    <row r="93" spans="2:24">
      <c r="B93" s="110" t="s">
        <v>2003</v>
      </c>
    </row>
    <row r="94" spans="2:24">
      <c r="I94" s="112"/>
    </row>
    <row r="95" spans="2:24" ht="34">
      <c r="B95" s="113" t="s">
        <v>2004</v>
      </c>
      <c r="C95" s="113" t="s">
        <v>2005</v>
      </c>
      <c r="D95" s="113" t="s">
        <v>2006</v>
      </c>
      <c r="E95" s="113" t="s">
        <v>2007</v>
      </c>
      <c r="F95" s="113" t="s">
        <v>2008</v>
      </c>
      <c r="G95" s="113" t="s">
        <v>2009</v>
      </c>
      <c r="H95" s="113" t="s">
        <v>2010</v>
      </c>
      <c r="I95" s="114" t="s">
        <v>1975</v>
      </c>
    </row>
    <row r="96" spans="2:24">
      <c r="B96" s="110">
        <v>13</v>
      </c>
      <c r="C96" s="110">
        <v>10.5</v>
      </c>
      <c r="D96" s="110">
        <v>13</v>
      </c>
      <c r="E96" s="110">
        <v>8</v>
      </c>
      <c r="F96" s="110">
        <v>16</v>
      </c>
      <c r="G96" s="110">
        <v>11.5</v>
      </c>
      <c r="H96" s="110">
        <v>44</v>
      </c>
      <c r="I96" s="115">
        <v>1</v>
      </c>
    </row>
    <row r="97" spans="2:29">
      <c r="B97" s="110">
        <v>16</v>
      </c>
      <c r="C97" s="110">
        <v>13</v>
      </c>
      <c r="D97" s="110">
        <v>16</v>
      </c>
      <c r="E97" s="110">
        <v>10</v>
      </c>
      <c r="F97" s="110">
        <v>20</v>
      </c>
      <c r="G97" s="110">
        <v>14.5</v>
      </c>
      <c r="H97" s="110">
        <v>29</v>
      </c>
      <c r="I97" s="110">
        <v>1.5</v>
      </c>
    </row>
    <row r="98" spans="2:29">
      <c r="B98" s="110">
        <v>21</v>
      </c>
      <c r="C98" s="110">
        <v>17</v>
      </c>
      <c r="D98" s="110">
        <v>21</v>
      </c>
      <c r="E98" s="110">
        <v>13.5</v>
      </c>
      <c r="F98" s="110">
        <v>27</v>
      </c>
      <c r="G98" s="110">
        <v>20</v>
      </c>
      <c r="H98" s="110">
        <v>18</v>
      </c>
      <c r="I98" s="115">
        <v>2.5</v>
      </c>
    </row>
    <row r="99" spans="2:29">
      <c r="B99" s="110">
        <v>27</v>
      </c>
      <c r="C99" s="110">
        <v>22</v>
      </c>
      <c r="D99" s="110">
        <v>27</v>
      </c>
      <c r="E99" s="110">
        <v>17.5</v>
      </c>
      <c r="F99" s="110">
        <v>37</v>
      </c>
      <c r="G99" s="110">
        <v>26</v>
      </c>
      <c r="H99" s="110">
        <v>11</v>
      </c>
      <c r="I99" s="110">
        <v>4</v>
      </c>
    </row>
    <row r="100" spans="2:29">
      <c r="B100" s="110">
        <v>34</v>
      </c>
      <c r="C100" s="110">
        <v>27</v>
      </c>
      <c r="D100" s="110">
        <v>35</v>
      </c>
      <c r="E100" s="110">
        <v>23.5</v>
      </c>
      <c r="F100" s="110">
        <v>47</v>
      </c>
      <c r="G100" s="110">
        <v>32</v>
      </c>
      <c r="H100" s="110">
        <v>7.3</v>
      </c>
      <c r="I100" s="115">
        <v>6</v>
      </c>
    </row>
    <row r="101" spans="2:29">
      <c r="B101" s="110">
        <v>45</v>
      </c>
      <c r="C101" s="110">
        <v>36</v>
      </c>
      <c r="D101" s="110">
        <v>47</v>
      </c>
      <c r="E101" s="110">
        <v>32</v>
      </c>
      <c r="F101" s="110">
        <v>64</v>
      </c>
      <c r="G101" s="110">
        <v>44</v>
      </c>
      <c r="H101" s="110">
        <v>4.4000000000000004</v>
      </c>
      <c r="I101" s="110">
        <v>10</v>
      </c>
    </row>
    <row r="102" spans="2:29">
      <c r="B102" s="110">
        <v>57</v>
      </c>
      <c r="C102" s="110">
        <v>46</v>
      </c>
      <c r="D102" s="110">
        <v>63</v>
      </c>
      <c r="E102" s="110">
        <v>42.5</v>
      </c>
      <c r="F102" s="110">
        <v>85</v>
      </c>
      <c r="G102" s="110">
        <v>57</v>
      </c>
      <c r="H102" s="110">
        <v>2.8</v>
      </c>
      <c r="I102" s="115">
        <v>16</v>
      </c>
    </row>
    <row r="105" spans="2:29">
      <c r="B105" s="110" t="s">
        <v>2011</v>
      </c>
      <c r="U105" s="110" t="s">
        <v>2012</v>
      </c>
    </row>
    <row r="106" spans="2:29">
      <c r="I106" s="112"/>
      <c r="P106" s="110" t="s">
        <v>2013</v>
      </c>
      <c r="AB106" s="112"/>
    </row>
    <row r="107" spans="2:29" ht="68">
      <c r="B107" s="113" t="s">
        <v>1964</v>
      </c>
      <c r="C107" s="113" t="s">
        <v>1965</v>
      </c>
      <c r="D107" s="113" t="s">
        <v>1966</v>
      </c>
      <c r="E107" s="113" t="s">
        <v>1967</v>
      </c>
      <c r="F107" s="113" t="s">
        <v>1968</v>
      </c>
      <c r="G107" s="113" t="s">
        <v>1969</v>
      </c>
      <c r="H107" s="113" t="s">
        <v>1970</v>
      </c>
      <c r="I107" s="113" t="s">
        <v>1971</v>
      </c>
      <c r="J107" s="113" t="s">
        <v>1972</v>
      </c>
      <c r="K107" s="113" t="s">
        <v>2014</v>
      </c>
      <c r="L107" s="113" t="s">
        <v>1974</v>
      </c>
      <c r="M107" s="114" t="s">
        <v>1975</v>
      </c>
      <c r="U107" s="113" t="s">
        <v>1964</v>
      </c>
      <c r="V107" s="113" t="s">
        <v>1965</v>
      </c>
      <c r="W107" s="113" t="s">
        <v>1966</v>
      </c>
      <c r="X107" s="113" t="s">
        <v>1967</v>
      </c>
      <c r="Y107" s="113" t="s">
        <v>1978</v>
      </c>
      <c r="Z107" s="113" t="s">
        <v>1979</v>
      </c>
      <c r="AA107" s="113" t="s">
        <v>1980</v>
      </c>
      <c r="AB107" s="113" t="s">
        <v>1981</v>
      </c>
      <c r="AC107" s="113" t="s">
        <v>1975</v>
      </c>
    </row>
    <row r="108" spans="2:29">
      <c r="B108" s="110">
        <v>14</v>
      </c>
      <c r="C108" s="110">
        <v>13</v>
      </c>
      <c r="D108" s="110">
        <v>17</v>
      </c>
      <c r="E108" s="110">
        <v>15</v>
      </c>
      <c r="F108" s="110">
        <v>19</v>
      </c>
      <c r="G108" s="110">
        <v>17.5</v>
      </c>
      <c r="M108" s="115">
        <v>1</v>
      </c>
      <c r="P108" s="110">
        <v>3</v>
      </c>
      <c r="U108" s="110">
        <v>46</v>
      </c>
      <c r="V108" s="110">
        <v>46</v>
      </c>
      <c r="W108" s="110">
        <v>46</v>
      </c>
      <c r="X108" s="110">
        <v>46</v>
      </c>
      <c r="Y108" s="110">
        <v>40</v>
      </c>
      <c r="Z108" s="110">
        <v>40</v>
      </c>
      <c r="AA108" s="110">
        <v>40</v>
      </c>
      <c r="AB108" s="110">
        <v>40</v>
      </c>
      <c r="AC108" s="110">
        <v>1</v>
      </c>
    </row>
    <row r="109" spans="2:29">
      <c r="B109" s="110">
        <v>19</v>
      </c>
      <c r="C109" s="110">
        <v>17</v>
      </c>
      <c r="D109" s="110">
        <v>23</v>
      </c>
      <c r="E109" s="110">
        <v>20</v>
      </c>
      <c r="F109" s="110">
        <v>25</v>
      </c>
      <c r="G109" s="110">
        <v>23</v>
      </c>
      <c r="M109" s="110">
        <v>1.5</v>
      </c>
      <c r="P109" s="110">
        <v>6</v>
      </c>
      <c r="U109" s="110">
        <v>31</v>
      </c>
      <c r="V109" s="110">
        <v>31</v>
      </c>
      <c r="W109" s="110">
        <v>31</v>
      </c>
      <c r="X109" s="110">
        <v>31</v>
      </c>
      <c r="Y109" s="110">
        <v>27</v>
      </c>
      <c r="Z109" s="110">
        <v>27</v>
      </c>
      <c r="AA109" s="110">
        <v>27</v>
      </c>
      <c r="AB109" s="110">
        <v>27</v>
      </c>
      <c r="AC109" s="110">
        <v>1.5</v>
      </c>
    </row>
    <row r="110" spans="2:29">
      <c r="B110" s="110">
        <v>26</v>
      </c>
      <c r="C110" s="110">
        <v>23</v>
      </c>
      <c r="D110" s="110">
        <v>31</v>
      </c>
      <c r="E110" s="110">
        <v>28</v>
      </c>
      <c r="F110" s="110">
        <v>34</v>
      </c>
      <c r="G110" s="110">
        <v>31</v>
      </c>
      <c r="M110" s="115">
        <v>2.5</v>
      </c>
      <c r="P110" s="110">
        <v>10</v>
      </c>
      <c r="U110" s="110">
        <v>19</v>
      </c>
      <c r="V110" s="110">
        <v>19</v>
      </c>
      <c r="W110" s="110">
        <v>19</v>
      </c>
      <c r="X110" s="110">
        <v>19</v>
      </c>
      <c r="Y110" s="110">
        <v>16</v>
      </c>
      <c r="Z110" s="110">
        <v>16</v>
      </c>
      <c r="AA110" s="110">
        <v>16</v>
      </c>
      <c r="AB110" s="110">
        <v>16</v>
      </c>
      <c r="AC110" s="110">
        <v>2.5</v>
      </c>
    </row>
    <row r="111" spans="2:29">
      <c r="B111" s="110">
        <v>35</v>
      </c>
      <c r="C111" s="110">
        <v>31</v>
      </c>
      <c r="D111" s="110">
        <v>42</v>
      </c>
      <c r="E111" s="110">
        <v>37</v>
      </c>
      <c r="F111" s="110">
        <v>46</v>
      </c>
      <c r="G111" s="110">
        <v>41</v>
      </c>
      <c r="M111" s="110">
        <v>4</v>
      </c>
      <c r="P111" s="110">
        <v>16</v>
      </c>
      <c r="U111" s="110">
        <v>12</v>
      </c>
      <c r="V111" s="110">
        <v>12</v>
      </c>
      <c r="W111" s="110">
        <v>12</v>
      </c>
      <c r="X111" s="110">
        <v>12</v>
      </c>
      <c r="Y111" s="110">
        <v>10</v>
      </c>
      <c r="Z111" s="110">
        <v>10</v>
      </c>
      <c r="AA111" s="110">
        <v>10</v>
      </c>
      <c r="AB111" s="110">
        <v>10</v>
      </c>
      <c r="AC111" s="110">
        <v>4</v>
      </c>
    </row>
    <row r="112" spans="2:29">
      <c r="B112" s="110">
        <v>45</v>
      </c>
      <c r="C112" s="110">
        <v>40</v>
      </c>
      <c r="D112" s="110">
        <v>54</v>
      </c>
      <c r="E112" s="110">
        <v>48</v>
      </c>
      <c r="F112" s="110">
        <v>59</v>
      </c>
      <c r="G112" s="110">
        <v>54</v>
      </c>
      <c r="M112" s="115">
        <v>6</v>
      </c>
      <c r="P112" s="110">
        <v>20</v>
      </c>
      <c r="U112" s="110">
        <v>7.9</v>
      </c>
      <c r="V112" s="110">
        <v>7.9</v>
      </c>
      <c r="W112" s="110">
        <v>7.9</v>
      </c>
      <c r="X112" s="110">
        <v>7.9</v>
      </c>
      <c r="Y112" s="110">
        <v>6.8</v>
      </c>
      <c r="Z112" s="110">
        <v>6.8</v>
      </c>
      <c r="AA112" s="110">
        <v>6.8</v>
      </c>
      <c r="AB112" s="110">
        <v>6.8</v>
      </c>
      <c r="AC112" s="110">
        <v>6</v>
      </c>
    </row>
    <row r="113" spans="2:29">
      <c r="B113" s="110">
        <v>61</v>
      </c>
      <c r="C113" s="110">
        <v>54</v>
      </c>
      <c r="D113" s="110">
        <v>75</v>
      </c>
      <c r="E113" s="110">
        <v>66</v>
      </c>
      <c r="F113" s="110">
        <v>81</v>
      </c>
      <c r="G113" s="110">
        <v>74</v>
      </c>
      <c r="M113" s="110">
        <v>10</v>
      </c>
      <c r="P113" s="110">
        <v>25</v>
      </c>
      <c r="U113" s="110">
        <v>4.7</v>
      </c>
      <c r="V113" s="110">
        <v>4.7</v>
      </c>
      <c r="W113" s="110">
        <v>4.7</v>
      </c>
      <c r="X113" s="110">
        <v>4.7</v>
      </c>
      <c r="Y113" s="110">
        <v>4</v>
      </c>
      <c r="Z113" s="110">
        <v>4</v>
      </c>
      <c r="AA113" s="110">
        <v>4</v>
      </c>
      <c r="AB113" s="110">
        <v>4</v>
      </c>
      <c r="AC113" s="110">
        <v>10</v>
      </c>
    </row>
    <row r="114" spans="2:29">
      <c r="B114" s="110">
        <v>81</v>
      </c>
      <c r="C114" s="110">
        <v>73</v>
      </c>
      <c r="D114" s="110">
        <v>100</v>
      </c>
      <c r="E114" s="110">
        <v>88</v>
      </c>
      <c r="F114" s="110">
        <v>109</v>
      </c>
      <c r="G114" s="110">
        <v>99</v>
      </c>
      <c r="M114" s="115">
        <v>16</v>
      </c>
      <c r="P114" s="110">
        <v>32</v>
      </c>
      <c r="U114" s="110">
        <v>2.9</v>
      </c>
      <c r="V114" s="110">
        <v>2.9</v>
      </c>
      <c r="W114" s="110">
        <v>2.9</v>
      </c>
      <c r="X114" s="110">
        <v>2.9</v>
      </c>
      <c r="Y114" s="110">
        <v>2.5</v>
      </c>
      <c r="Z114" s="110">
        <v>2.5</v>
      </c>
      <c r="AA114" s="110">
        <v>2.5</v>
      </c>
      <c r="AB114" s="110">
        <v>2.5</v>
      </c>
      <c r="AC114" s="110">
        <v>16</v>
      </c>
    </row>
    <row r="115" spans="2:29">
      <c r="B115" s="110">
        <v>106</v>
      </c>
      <c r="C115" s="110">
        <v>95</v>
      </c>
      <c r="D115" s="110">
        <v>133</v>
      </c>
      <c r="E115" s="110">
        <v>117</v>
      </c>
      <c r="F115" s="110">
        <v>143</v>
      </c>
      <c r="G115" s="110">
        <v>130</v>
      </c>
      <c r="H115" s="110">
        <v>161</v>
      </c>
      <c r="I115" s="110">
        <v>141</v>
      </c>
      <c r="J115" s="110">
        <v>135</v>
      </c>
      <c r="K115" s="110">
        <v>182</v>
      </c>
      <c r="L115" s="110">
        <v>161</v>
      </c>
      <c r="M115" s="110">
        <v>25</v>
      </c>
      <c r="P115" s="110">
        <v>40</v>
      </c>
      <c r="U115" s="110">
        <v>1.85</v>
      </c>
      <c r="V115" s="110">
        <v>1.85</v>
      </c>
      <c r="W115" s="110">
        <v>1.85</v>
      </c>
      <c r="X115" s="110">
        <v>1.85</v>
      </c>
      <c r="Y115" s="110">
        <v>1.6</v>
      </c>
      <c r="Z115" s="110">
        <v>1.6</v>
      </c>
      <c r="AA115" s="110">
        <v>1.6</v>
      </c>
      <c r="AB115" s="110">
        <v>1.6</v>
      </c>
      <c r="AC115" s="110">
        <v>25</v>
      </c>
    </row>
    <row r="116" spans="2:29">
      <c r="B116" s="110">
        <v>131</v>
      </c>
      <c r="C116" s="110">
        <v>117</v>
      </c>
      <c r="D116" s="110">
        <v>164</v>
      </c>
      <c r="E116" s="110">
        <v>144</v>
      </c>
      <c r="F116" s="110">
        <v>176</v>
      </c>
      <c r="G116" s="110">
        <v>161</v>
      </c>
      <c r="H116" s="110">
        <v>200</v>
      </c>
      <c r="I116" s="110">
        <v>176</v>
      </c>
      <c r="J116" s="110">
        <v>169</v>
      </c>
      <c r="K116" s="110">
        <v>226</v>
      </c>
      <c r="L116" s="110">
        <v>201</v>
      </c>
      <c r="M116" s="115">
        <v>35</v>
      </c>
      <c r="P116" s="110">
        <v>50</v>
      </c>
      <c r="U116" s="110">
        <v>1.35</v>
      </c>
      <c r="V116" s="110">
        <v>1.35</v>
      </c>
      <c r="W116" s="110">
        <v>1.35</v>
      </c>
      <c r="X116" s="110">
        <v>1.35</v>
      </c>
      <c r="Y116" s="110">
        <v>1.1499999999999999</v>
      </c>
      <c r="Z116" s="110">
        <v>1.1499999999999999</v>
      </c>
      <c r="AA116" s="110">
        <v>1.1499999999999999</v>
      </c>
      <c r="AB116" s="110">
        <v>1.1499999999999999</v>
      </c>
      <c r="AC116" s="110">
        <v>35</v>
      </c>
    </row>
    <row r="117" spans="2:29">
      <c r="B117" s="110">
        <v>158</v>
      </c>
      <c r="C117" s="110">
        <v>141</v>
      </c>
      <c r="D117" s="110">
        <v>198</v>
      </c>
      <c r="E117" s="110">
        <v>175</v>
      </c>
      <c r="F117" s="110">
        <v>228</v>
      </c>
      <c r="G117" s="110">
        <v>209</v>
      </c>
      <c r="H117" s="110">
        <v>242</v>
      </c>
      <c r="I117" s="110">
        <v>216</v>
      </c>
      <c r="J117" s="110">
        <v>207</v>
      </c>
      <c r="K117" s="110">
        <v>275</v>
      </c>
      <c r="L117" s="110">
        <v>246</v>
      </c>
      <c r="M117" s="110">
        <v>50</v>
      </c>
      <c r="P117" s="110">
        <v>63</v>
      </c>
      <c r="U117" s="110">
        <v>0.99</v>
      </c>
      <c r="V117" s="110">
        <v>1</v>
      </c>
      <c r="W117" s="110">
        <v>0.99</v>
      </c>
      <c r="X117" s="110">
        <v>0.99</v>
      </c>
      <c r="Y117" s="110">
        <v>0.87</v>
      </c>
      <c r="Z117" s="110">
        <v>0.86</v>
      </c>
      <c r="AA117" s="110">
        <v>0.86</v>
      </c>
      <c r="AB117" s="110">
        <v>0.86</v>
      </c>
      <c r="AC117" s="110">
        <v>50</v>
      </c>
    </row>
    <row r="118" spans="2:29">
      <c r="B118" s="110">
        <v>200</v>
      </c>
      <c r="C118" s="110">
        <v>179</v>
      </c>
      <c r="D118" s="110">
        <v>253</v>
      </c>
      <c r="E118" s="110">
        <v>222</v>
      </c>
      <c r="F118" s="110">
        <v>293</v>
      </c>
      <c r="G118" s="110">
        <v>268</v>
      </c>
      <c r="H118" s="110">
        <v>310</v>
      </c>
      <c r="I118" s="110">
        <v>279</v>
      </c>
      <c r="J118" s="110">
        <v>268</v>
      </c>
      <c r="K118" s="110">
        <v>353</v>
      </c>
      <c r="L118" s="110">
        <v>318</v>
      </c>
      <c r="M118" s="115">
        <v>70</v>
      </c>
      <c r="P118" s="110">
        <v>80</v>
      </c>
      <c r="U118" s="110">
        <v>0.68</v>
      </c>
      <c r="V118" s="110">
        <v>0.7</v>
      </c>
      <c r="W118" s="110">
        <v>0.68</v>
      </c>
      <c r="X118" s="110">
        <v>0.68</v>
      </c>
      <c r="Y118" s="110">
        <v>0.6</v>
      </c>
      <c r="Z118" s="110">
        <v>0.59</v>
      </c>
      <c r="AA118" s="110">
        <v>0.59</v>
      </c>
      <c r="AB118" s="110">
        <v>0.59</v>
      </c>
      <c r="AC118" s="110">
        <v>70</v>
      </c>
    </row>
    <row r="119" spans="2:29">
      <c r="B119" s="110">
        <v>241</v>
      </c>
      <c r="C119" s="110">
        <v>216</v>
      </c>
      <c r="D119" s="110">
        <v>306</v>
      </c>
      <c r="E119" s="110">
        <v>269</v>
      </c>
      <c r="F119" s="110">
        <v>355</v>
      </c>
      <c r="G119" s="110">
        <v>326</v>
      </c>
      <c r="H119" s="110">
        <v>377</v>
      </c>
      <c r="I119" s="110">
        <v>342</v>
      </c>
      <c r="J119" s="110">
        <v>328</v>
      </c>
      <c r="K119" s="110">
        <v>430</v>
      </c>
      <c r="L119" s="110">
        <v>389</v>
      </c>
      <c r="M119" s="110">
        <v>95</v>
      </c>
      <c r="P119" s="110">
        <v>100</v>
      </c>
      <c r="U119" s="110">
        <v>0.49</v>
      </c>
      <c r="V119" s="110">
        <v>0.51</v>
      </c>
      <c r="W119" s="110">
        <v>0.49</v>
      </c>
      <c r="X119" s="110">
        <v>0.49</v>
      </c>
      <c r="Y119" s="110">
        <v>0.44</v>
      </c>
      <c r="Z119" s="110">
        <v>0.43</v>
      </c>
      <c r="AA119" s="110">
        <v>0.43</v>
      </c>
      <c r="AB119" s="110">
        <v>0.43</v>
      </c>
      <c r="AC119" s="110">
        <v>95</v>
      </c>
    </row>
    <row r="120" spans="2:29">
      <c r="B120" s="110">
        <v>278</v>
      </c>
      <c r="C120" s="110">
        <v>249</v>
      </c>
      <c r="D120" s="110">
        <v>354</v>
      </c>
      <c r="E120" s="110">
        <v>312</v>
      </c>
      <c r="F120" s="110">
        <v>413</v>
      </c>
      <c r="G120" s="110">
        <v>379</v>
      </c>
      <c r="H120" s="110">
        <v>437</v>
      </c>
      <c r="I120" s="110">
        <v>400</v>
      </c>
      <c r="J120" s="110">
        <v>383</v>
      </c>
      <c r="K120" s="110">
        <v>500</v>
      </c>
      <c r="L120" s="110">
        <v>454</v>
      </c>
      <c r="M120" s="115">
        <v>120</v>
      </c>
      <c r="P120" s="110">
        <v>125</v>
      </c>
      <c r="U120" s="110">
        <v>0.39</v>
      </c>
      <c r="V120" s="110">
        <v>0.41</v>
      </c>
      <c r="W120" s="110">
        <v>0.39</v>
      </c>
      <c r="X120" s="110">
        <v>0.39</v>
      </c>
      <c r="Y120" s="110">
        <v>0.35</v>
      </c>
      <c r="Z120" s="110">
        <v>0.34</v>
      </c>
      <c r="AA120" s="110">
        <v>0.34</v>
      </c>
      <c r="AB120" s="110">
        <v>0.34</v>
      </c>
      <c r="AC120" s="110">
        <v>120</v>
      </c>
    </row>
    <row r="121" spans="2:29">
      <c r="B121" s="110">
        <v>318</v>
      </c>
      <c r="C121" s="110">
        <v>285</v>
      </c>
      <c r="D121" s="110">
        <v>393</v>
      </c>
      <c r="E121" s="110">
        <v>342</v>
      </c>
      <c r="F121" s="110">
        <v>476</v>
      </c>
      <c r="G121" s="110">
        <v>436</v>
      </c>
      <c r="H121" s="110">
        <v>504</v>
      </c>
      <c r="I121" s="110">
        <v>464</v>
      </c>
      <c r="J121" s="110">
        <v>444</v>
      </c>
      <c r="K121" s="110">
        <v>577</v>
      </c>
      <c r="L121" s="110">
        <v>527</v>
      </c>
      <c r="M121" s="110">
        <v>150</v>
      </c>
      <c r="P121" s="110">
        <v>150</v>
      </c>
      <c r="U121" s="110">
        <v>0.32</v>
      </c>
      <c r="V121" s="110">
        <v>0.33</v>
      </c>
      <c r="W121" s="110">
        <v>0.32</v>
      </c>
      <c r="X121" s="110">
        <v>0.32</v>
      </c>
      <c r="Y121" s="110">
        <v>0.28999999999999998</v>
      </c>
      <c r="Z121" s="110">
        <v>0.28000000000000003</v>
      </c>
      <c r="AA121" s="110">
        <v>0.28000000000000003</v>
      </c>
      <c r="AB121" s="110">
        <v>0.28000000000000003</v>
      </c>
      <c r="AC121" s="110">
        <v>150</v>
      </c>
    </row>
    <row r="122" spans="2:29">
      <c r="B122" s="110">
        <v>362</v>
      </c>
      <c r="C122" s="110">
        <v>324</v>
      </c>
      <c r="D122" s="110">
        <v>449</v>
      </c>
      <c r="E122" s="110">
        <v>384</v>
      </c>
      <c r="F122" s="110">
        <v>545</v>
      </c>
      <c r="G122" s="110">
        <v>500</v>
      </c>
      <c r="H122" s="110">
        <v>575</v>
      </c>
      <c r="I122" s="110">
        <v>533</v>
      </c>
      <c r="J122" s="110">
        <v>510</v>
      </c>
      <c r="K122" s="110">
        <v>661</v>
      </c>
      <c r="L122" s="110">
        <v>605</v>
      </c>
      <c r="M122" s="115">
        <v>185</v>
      </c>
      <c r="P122" s="110">
        <v>200</v>
      </c>
      <c r="U122" s="110">
        <v>0.25</v>
      </c>
      <c r="V122" s="110">
        <v>0.27</v>
      </c>
      <c r="W122" s="110">
        <v>0.26</v>
      </c>
      <c r="X122" s="110">
        <v>0.25</v>
      </c>
      <c r="Y122" s="110">
        <v>0.23</v>
      </c>
      <c r="Z122" s="110">
        <v>0.22</v>
      </c>
      <c r="AA122" s="110">
        <v>0.22</v>
      </c>
      <c r="AB122" s="110">
        <v>0.22</v>
      </c>
      <c r="AC122" s="110">
        <v>185</v>
      </c>
    </row>
    <row r="123" spans="2:29">
      <c r="B123" s="110">
        <v>424</v>
      </c>
      <c r="C123" s="110">
        <v>380</v>
      </c>
      <c r="D123" s="110">
        <v>528</v>
      </c>
      <c r="E123" s="110">
        <v>450</v>
      </c>
      <c r="F123" s="110">
        <v>644</v>
      </c>
      <c r="G123" s="110">
        <v>590</v>
      </c>
      <c r="H123" s="110">
        <v>679</v>
      </c>
      <c r="I123" s="110">
        <v>634</v>
      </c>
      <c r="J123" s="110">
        <v>607</v>
      </c>
      <c r="K123" s="110">
        <v>781</v>
      </c>
      <c r="L123" s="110">
        <v>719</v>
      </c>
      <c r="M123" s="110">
        <v>240</v>
      </c>
      <c r="P123" s="110">
        <v>250</v>
      </c>
      <c r="U123" s="110">
        <v>0.19</v>
      </c>
      <c r="V123" s="110">
        <v>0.21</v>
      </c>
      <c r="W123" s="110">
        <v>0.2</v>
      </c>
      <c r="X123" s="110">
        <v>0.19500000000000001</v>
      </c>
      <c r="Y123" s="110">
        <v>0.185</v>
      </c>
      <c r="Z123" s="110">
        <v>0.17</v>
      </c>
      <c r="AA123" s="110">
        <v>0.17</v>
      </c>
      <c r="AB123" s="110">
        <v>0.17</v>
      </c>
      <c r="AC123" s="110">
        <v>240</v>
      </c>
    </row>
    <row r="124" spans="2:29">
      <c r="B124" s="110">
        <v>486</v>
      </c>
      <c r="C124" s="110">
        <v>435</v>
      </c>
      <c r="D124" s="110">
        <v>603</v>
      </c>
      <c r="E124" s="110">
        <v>514</v>
      </c>
      <c r="F124" s="110">
        <v>743</v>
      </c>
      <c r="G124" s="110">
        <v>681</v>
      </c>
      <c r="H124" s="110">
        <v>783</v>
      </c>
      <c r="I124" s="110">
        <v>736</v>
      </c>
      <c r="J124" s="110">
        <v>703</v>
      </c>
      <c r="K124" s="110">
        <v>902</v>
      </c>
      <c r="L124" s="110">
        <v>833</v>
      </c>
      <c r="M124" s="115">
        <v>300</v>
      </c>
      <c r="P124" s="110">
        <v>320</v>
      </c>
      <c r="U124" s="110">
        <v>0.155</v>
      </c>
      <c r="V124" s="110">
        <v>0.17499999999999999</v>
      </c>
      <c r="W124" s="110">
        <v>0.16</v>
      </c>
      <c r="X124" s="110">
        <v>0.155</v>
      </c>
      <c r="Y124" s="110">
        <v>0.15</v>
      </c>
      <c r="Z124" s="110">
        <v>0.14000000000000001</v>
      </c>
      <c r="AA124" s="110">
        <v>0.13500000000000001</v>
      </c>
      <c r="AB124" s="110">
        <v>0.13500000000000001</v>
      </c>
      <c r="AC124" s="110">
        <v>300</v>
      </c>
    </row>
    <row r="125" spans="2:29">
      <c r="D125" s="110">
        <v>683</v>
      </c>
      <c r="E125" s="110">
        <v>584</v>
      </c>
      <c r="F125" s="110">
        <v>868</v>
      </c>
      <c r="G125" s="110">
        <v>793</v>
      </c>
      <c r="H125" s="110">
        <v>940</v>
      </c>
      <c r="I125" s="110">
        <v>868</v>
      </c>
      <c r="J125" s="110">
        <v>823</v>
      </c>
      <c r="K125" s="110">
        <v>1085</v>
      </c>
      <c r="L125" s="110">
        <v>1008</v>
      </c>
      <c r="M125" s="110">
        <v>400</v>
      </c>
      <c r="P125" s="110">
        <v>400</v>
      </c>
      <c r="U125" s="110">
        <v>0.12</v>
      </c>
      <c r="V125" s="110">
        <v>0.14000000000000001</v>
      </c>
      <c r="W125" s="110">
        <v>0.13</v>
      </c>
      <c r="X125" s="110">
        <v>0.125</v>
      </c>
      <c r="Y125" s="110">
        <v>0.125</v>
      </c>
      <c r="Z125" s="110">
        <v>0.11</v>
      </c>
      <c r="AA125" s="110">
        <v>0.11</v>
      </c>
      <c r="AB125" s="110">
        <v>0.11</v>
      </c>
      <c r="AC125" s="110">
        <v>400</v>
      </c>
    </row>
    <row r="126" spans="2:29">
      <c r="D126" s="110">
        <v>783</v>
      </c>
      <c r="E126" s="110">
        <v>666</v>
      </c>
      <c r="F126" s="110">
        <v>990</v>
      </c>
      <c r="G126" s="110">
        <v>904</v>
      </c>
      <c r="H126" s="110">
        <v>1083</v>
      </c>
      <c r="I126" s="110">
        <v>998</v>
      </c>
      <c r="J126" s="110">
        <v>946</v>
      </c>
      <c r="K126" s="110">
        <v>1253</v>
      </c>
      <c r="L126" s="110">
        <v>1169</v>
      </c>
      <c r="M126" s="110">
        <v>500</v>
      </c>
      <c r="P126" s="110">
        <v>500</v>
      </c>
      <c r="U126" s="110">
        <v>9.2999999999999999E-2</v>
      </c>
      <c r="V126" s="110">
        <v>0.12</v>
      </c>
      <c r="W126" s="110">
        <v>0.105</v>
      </c>
      <c r="X126" s="110">
        <v>9.8000000000000004E-2</v>
      </c>
      <c r="Y126" s="110">
        <v>0.1</v>
      </c>
      <c r="Z126" s="110">
        <v>0.09</v>
      </c>
      <c r="AA126" s="110">
        <v>8.7999999999999995E-2</v>
      </c>
      <c r="AB126" s="110">
        <v>8.5000000000000006E-2</v>
      </c>
      <c r="AC126" s="110">
        <v>500</v>
      </c>
    </row>
    <row r="127" spans="2:29">
      <c r="D127" s="110">
        <v>900</v>
      </c>
      <c r="E127" s="110">
        <v>764</v>
      </c>
      <c r="F127" s="110">
        <v>1130</v>
      </c>
      <c r="G127" s="110">
        <v>1033</v>
      </c>
      <c r="H127" s="110">
        <v>1254</v>
      </c>
      <c r="I127" s="110">
        <v>1151</v>
      </c>
      <c r="J127" s="110">
        <v>1088</v>
      </c>
      <c r="K127" s="110">
        <v>1454</v>
      </c>
      <c r="L127" s="110">
        <v>1362</v>
      </c>
      <c r="M127" s="110">
        <v>630</v>
      </c>
      <c r="P127" s="110">
        <v>630</v>
      </c>
      <c r="U127" s="110">
        <v>7.1999999999999995E-2</v>
      </c>
      <c r="V127" s="110">
        <v>0.1</v>
      </c>
      <c r="W127" s="110">
        <v>8.5999999999999993E-2</v>
      </c>
      <c r="X127" s="110">
        <v>7.8E-2</v>
      </c>
      <c r="Y127" s="110">
        <v>8.7999999999999995E-2</v>
      </c>
      <c r="Z127" s="110">
        <v>7.3999999999999996E-2</v>
      </c>
      <c r="AA127" s="110">
        <v>7.0999999999999994E-2</v>
      </c>
      <c r="AB127" s="110">
        <v>6.8000000000000005E-2</v>
      </c>
      <c r="AC127" s="110">
        <v>630</v>
      </c>
    </row>
    <row r="128" spans="2:29">
      <c r="F128" s="110">
        <v>1288</v>
      </c>
      <c r="G128" s="110">
        <v>1179</v>
      </c>
      <c r="H128" s="110">
        <v>1358</v>
      </c>
      <c r="I128" s="110">
        <v>1275</v>
      </c>
      <c r="J128" s="110">
        <v>1214</v>
      </c>
      <c r="K128" s="110">
        <v>1581</v>
      </c>
      <c r="L128" s="110">
        <v>1485</v>
      </c>
      <c r="M128" s="110">
        <v>800</v>
      </c>
      <c r="P128" s="110">
        <v>800</v>
      </c>
      <c r="U128" s="110">
        <v>5.6000000000000001E-2</v>
      </c>
      <c r="W128" s="110">
        <v>7.1999999999999995E-2</v>
      </c>
      <c r="X128" s="110">
        <v>6.4000000000000001E-2</v>
      </c>
      <c r="Z128" s="110">
        <v>6.2E-2</v>
      </c>
      <c r="AA128" s="110">
        <v>5.8999999999999997E-2</v>
      </c>
      <c r="AB128" s="110">
        <v>5.5E-2</v>
      </c>
      <c r="AC128" s="110">
        <v>800</v>
      </c>
    </row>
    <row r="129" spans="2:29">
      <c r="F129" s="110">
        <v>1443</v>
      </c>
      <c r="G129" s="110">
        <v>1323</v>
      </c>
      <c r="H129" s="110">
        <v>1520</v>
      </c>
      <c r="I129" s="110">
        <v>1436</v>
      </c>
      <c r="J129" s="110">
        <v>1349</v>
      </c>
      <c r="K129" s="110">
        <v>1775</v>
      </c>
      <c r="L129" s="110">
        <v>1671</v>
      </c>
      <c r="M129" s="110">
        <v>1000</v>
      </c>
      <c r="P129" s="110">
        <v>1000</v>
      </c>
      <c r="U129" s="110">
        <v>4.4999999999999998E-2</v>
      </c>
      <c r="W129" s="110">
        <v>6.3E-2</v>
      </c>
      <c r="X129" s="110">
        <v>5.3999999999999999E-2</v>
      </c>
      <c r="Z129" s="110">
        <v>5.5E-2</v>
      </c>
      <c r="AA129" s="110">
        <v>0.05</v>
      </c>
      <c r="AB129" s="110">
        <v>4.7E-2</v>
      </c>
      <c r="AC129" s="110">
        <v>1000</v>
      </c>
    </row>
    <row r="130" spans="2:29">
      <c r="P130" s="110">
        <v>1200</v>
      </c>
    </row>
    <row r="131" spans="2:29">
      <c r="P131" s="110">
        <v>1400</v>
      </c>
    </row>
    <row r="132" spans="2:29">
      <c r="B132" s="110" t="s">
        <v>2015</v>
      </c>
      <c r="P132" s="110">
        <v>1600</v>
      </c>
      <c r="U132" s="110" t="s">
        <v>2016</v>
      </c>
    </row>
    <row r="133" spans="2:29">
      <c r="I133" s="112"/>
    </row>
    <row r="134" spans="2:29" ht="51">
      <c r="B134" s="113" t="s">
        <v>1964</v>
      </c>
      <c r="C134" s="113" t="s">
        <v>1965</v>
      </c>
      <c r="D134" s="113" t="s">
        <v>1966</v>
      </c>
      <c r="E134" s="113" t="s">
        <v>1967</v>
      </c>
      <c r="F134" s="113" t="s">
        <v>1978</v>
      </c>
      <c r="G134" s="113" t="s">
        <v>2017</v>
      </c>
      <c r="H134" s="113" t="s">
        <v>1980</v>
      </c>
      <c r="I134" s="113" t="s">
        <v>2018</v>
      </c>
      <c r="J134" s="113" t="s">
        <v>1975</v>
      </c>
      <c r="U134" s="113" t="s">
        <v>1984</v>
      </c>
      <c r="V134" s="113" t="s">
        <v>1985</v>
      </c>
      <c r="W134" s="113" t="s">
        <v>1986</v>
      </c>
      <c r="X134" s="113" t="s">
        <v>1975</v>
      </c>
    </row>
    <row r="135" spans="2:29">
      <c r="B135" s="110">
        <v>14.5</v>
      </c>
      <c r="C135" s="110">
        <v>13</v>
      </c>
      <c r="D135" s="110">
        <v>17</v>
      </c>
      <c r="E135" s="110">
        <v>15</v>
      </c>
      <c r="F135" s="110">
        <v>19</v>
      </c>
      <c r="G135" s="110">
        <v>17</v>
      </c>
      <c r="H135" s="110">
        <v>21</v>
      </c>
      <c r="I135" s="110">
        <v>18</v>
      </c>
      <c r="J135" s="110">
        <v>1</v>
      </c>
      <c r="U135" s="110">
        <v>46</v>
      </c>
      <c r="V135" s="110">
        <v>46</v>
      </c>
      <c r="W135" s="110">
        <v>40</v>
      </c>
      <c r="X135" s="110">
        <v>1</v>
      </c>
    </row>
    <row r="136" spans="2:29">
      <c r="B136" s="110">
        <v>18.5</v>
      </c>
      <c r="C136" s="110">
        <v>16.5</v>
      </c>
      <c r="D136" s="110">
        <v>22</v>
      </c>
      <c r="E136" s="110">
        <v>19.5</v>
      </c>
      <c r="F136" s="110">
        <v>24</v>
      </c>
      <c r="G136" s="110">
        <v>22</v>
      </c>
      <c r="H136" s="110">
        <v>26</v>
      </c>
      <c r="I136" s="110">
        <v>23</v>
      </c>
      <c r="J136" s="110">
        <v>1.5</v>
      </c>
      <c r="U136" s="110">
        <v>31</v>
      </c>
      <c r="V136" s="110">
        <v>31</v>
      </c>
      <c r="W136" s="110">
        <v>27</v>
      </c>
      <c r="X136" s="110">
        <v>1.5</v>
      </c>
    </row>
    <row r="137" spans="2:29">
      <c r="B137" s="110">
        <v>25</v>
      </c>
      <c r="C137" s="110">
        <v>22</v>
      </c>
      <c r="D137" s="110">
        <v>30</v>
      </c>
      <c r="E137" s="110">
        <v>26</v>
      </c>
      <c r="F137" s="110">
        <v>33</v>
      </c>
      <c r="G137" s="110">
        <v>30</v>
      </c>
      <c r="H137" s="110">
        <v>36</v>
      </c>
      <c r="I137" s="110">
        <v>32</v>
      </c>
      <c r="J137" s="110">
        <v>2.5</v>
      </c>
      <c r="U137" s="110">
        <v>19</v>
      </c>
      <c r="V137" s="110">
        <v>19</v>
      </c>
      <c r="W137" s="110">
        <v>16</v>
      </c>
      <c r="X137" s="110">
        <v>2.5</v>
      </c>
    </row>
    <row r="138" spans="2:29">
      <c r="B138" s="110">
        <v>33</v>
      </c>
      <c r="C138" s="110">
        <v>30</v>
      </c>
      <c r="D138" s="110">
        <v>40</v>
      </c>
      <c r="E138" s="110">
        <v>35</v>
      </c>
      <c r="F138" s="110">
        <v>45</v>
      </c>
      <c r="G138" s="110">
        <v>40</v>
      </c>
      <c r="H138" s="110">
        <v>49</v>
      </c>
      <c r="I138" s="110">
        <v>42</v>
      </c>
      <c r="J138" s="110">
        <v>4</v>
      </c>
      <c r="U138" s="110">
        <v>12</v>
      </c>
      <c r="V138" s="110">
        <v>12</v>
      </c>
      <c r="W138" s="110">
        <v>10</v>
      </c>
      <c r="X138" s="110">
        <v>4</v>
      </c>
    </row>
    <row r="139" spans="2:29">
      <c r="B139" s="110">
        <v>42</v>
      </c>
      <c r="C139" s="110">
        <v>38</v>
      </c>
      <c r="D139" s="110">
        <v>51</v>
      </c>
      <c r="E139" s="110">
        <v>44</v>
      </c>
      <c r="F139" s="110">
        <v>58</v>
      </c>
      <c r="G139" s="110">
        <v>52</v>
      </c>
      <c r="H139" s="110">
        <v>63</v>
      </c>
      <c r="I139" s="110">
        <v>54</v>
      </c>
      <c r="J139" s="110">
        <v>6</v>
      </c>
      <c r="U139" s="110">
        <v>7.9</v>
      </c>
      <c r="V139" s="110">
        <v>7.9</v>
      </c>
      <c r="W139" s="110">
        <v>6.8</v>
      </c>
      <c r="X139" s="110">
        <v>6</v>
      </c>
    </row>
    <row r="140" spans="2:29">
      <c r="B140" s="110">
        <v>57</v>
      </c>
      <c r="C140" s="110">
        <v>51</v>
      </c>
      <c r="D140" s="110">
        <v>69</v>
      </c>
      <c r="E140" s="110">
        <v>60</v>
      </c>
      <c r="F140" s="110">
        <v>80</v>
      </c>
      <c r="G140" s="110">
        <v>71</v>
      </c>
      <c r="H140" s="110">
        <v>86</v>
      </c>
      <c r="I140" s="110">
        <v>75</v>
      </c>
      <c r="J140" s="110">
        <v>10</v>
      </c>
      <c r="U140" s="110">
        <v>4.7</v>
      </c>
      <c r="V140" s="110">
        <v>4.7</v>
      </c>
      <c r="W140" s="110">
        <v>4</v>
      </c>
      <c r="X140" s="110">
        <v>10</v>
      </c>
    </row>
    <row r="141" spans="2:29">
      <c r="B141" s="110">
        <v>76</v>
      </c>
      <c r="C141" s="110">
        <v>68</v>
      </c>
      <c r="D141" s="110">
        <v>91</v>
      </c>
      <c r="E141" s="110">
        <v>80</v>
      </c>
      <c r="F141" s="110">
        <v>107</v>
      </c>
      <c r="G141" s="110">
        <v>96</v>
      </c>
      <c r="H141" s="110">
        <v>115</v>
      </c>
      <c r="I141" s="110">
        <v>100</v>
      </c>
      <c r="J141" s="110">
        <v>16</v>
      </c>
      <c r="U141" s="110">
        <v>2.9</v>
      </c>
      <c r="V141" s="110">
        <v>2.9</v>
      </c>
      <c r="W141" s="110">
        <v>2.5</v>
      </c>
      <c r="X141" s="110">
        <v>16</v>
      </c>
    </row>
    <row r="142" spans="2:29">
      <c r="B142" s="110">
        <v>99</v>
      </c>
      <c r="C142" s="110">
        <v>89</v>
      </c>
      <c r="D142" s="110">
        <v>119</v>
      </c>
      <c r="E142" s="110">
        <v>105</v>
      </c>
      <c r="F142" s="110">
        <v>138</v>
      </c>
      <c r="G142" s="110">
        <v>119</v>
      </c>
      <c r="H142" s="110">
        <v>149</v>
      </c>
      <c r="I142" s="110">
        <v>127</v>
      </c>
      <c r="J142" s="110">
        <v>25</v>
      </c>
      <c r="U142" s="110">
        <v>1.85</v>
      </c>
      <c r="V142" s="110">
        <v>1.85</v>
      </c>
      <c r="W142" s="110">
        <v>1.6</v>
      </c>
      <c r="X142" s="110">
        <v>25</v>
      </c>
    </row>
    <row r="143" spans="2:29">
      <c r="B143" s="110">
        <v>121</v>
      </c>
      <c r="C143" s="110">
        <v>109</v>
      </c>
      <c r="D143" s="110">
        <v>146</v>
      </c>
      <c r="E143" s="110">
        <v>128</v>
      </c>
      <c r="F143" s="110">
        <v>171</v>
      </c>
      <c r="G143" s="110">
        <v>147</v>
      </c>
      <c r="H143" s="110">
        <v>185</v>
      </c>
      <c r="I143" s="110">
        <v>158</v>
      </c>
      <c r="J143" s="110">
        <v>35</v>
      </c>
      <c r="U143" s="110">
        <v>1.35</v>
      </c>
      <c r="V143" s="110">
        <v>1.35</v>
      </c>
      <c r="W143" s="110">
        <v>1.1499999999999999</v>
      </c>
      <c r="X143" s="110">
        <v>35</v>
      </c>
    </row>
    <row r="144" spans="2:29">
      <c r="B144" s="110">
        <v>145</v>
      </c>
      <c r="C144" s="110">
        <v>130</v>
      </c>
      <c r="D144" s="110">
        <v>175</v>
      </c>
      <c r="E144" s="110">
        <v>154</v>
      </c>
      <c r="F144" s="110">
        <v>209</v>
      </c>
      <c r="G144" s="110">
        <v>179</v>
      </c>
      <c r="H144" s="110">
        <v>225</v>
      </c>
      <c r="I144" s="110">
        <v>192</v>
      </c>
      <c r="J144" s="110">
        <v>50</v>
      </c>
      <c r="U144" s="110">
        <v>0.98</v>
      </c>
      <c r="V144" s="110">
        <v>0.99</v>
      </c>
      <c r="W144" s="110">
        <v>0.86</v>
      </c>
      <c r="X144" s="110">
        <v>50</v>
      </c>
    </row>
    <row r="145" spans="2:28">
      <c r="B145" s="110">
        <v>183</v>
      </c>
      <c r="C145" s="110">
        <v>164</v>
      </c>
      <c r="D145" s="110">
        <v>221</v>
      </c>
      <c r="E145" s="110">
        <v>194</v>
      </c>
      <c r="F145" s="110">
        <v>269</v>
      </c>
      <c r="G145" s="110">
        <v>229</v>
      </c>
      <c r="H145" s="110">
        <v>289</v>
      </c>
      <c r="I145" s="110">
        <v>246</v>
      </c>
      <c r="J145" s="110">
        <v>70</v>
      </c>
      <c r="U145" s="110">
        <v>0.67</v>
      </c>
      <c r="V145" s="110">
        <v>0.67</v>
      </c>
      <c r="W145" s="110">
        <v>0.59</v>
      </c>
      <c r="X145" s="110">
        <v>70</v>
      </c>
    </row>
    <row r="146" spans="2:28">
      <c r="B146" s="110">
        <v>220</v>
      </c>
      <c r="C146" s="110">
        <v>197</v>
      </c>
      <c r="D146" s="110">
        <v>265</v>
      </c>
      <c r="E146" s="110">
        <v>233</v>
      </c>
      <c r="F146" s="110">
        <v>328</v>
      </c>
      <c r="G146" s="110">
        <v>278</v>
      </c>
      <c r="H146" s="110">
        <v>352</v>
      </c>
      <c r="I146" s="110">
        <v>298</v>
      </c>
      <c r="J146" s="110">
        <v>95</v>
      </c>
      <c r="U146" s="110">
        <v>0.49</v>
      </c>
      <c r="V146" s="110">
        <v>0.5</v>
      </c>
      <c r="W146" s="110">
        <v>0.43</v>
      </c>
      <c r="X146" s="110">
        <v>95</v>
      </c>
    </row>
    <row r="147" spans="2:28">
      <c r="B147" s="110">
        <v>253</v>
      </c>
      <c r="C147" s="110">
        <v>227</v>
      </c>
      <c r="D147" s="110">
        <v>305</v>
      </c>
      <c r="E147" s="110">
        <v>268</v>
      </c>
      <c r="F147" s="110">
        <v>382</v>
      </c>
      <c r="G147" s="110">
        <v>322</v>
      </c>
      <c r="H147" s="110">
        <v>410</v>
      </c>
      <c r="I147" s="110">
        <v>346</v>
      </c>
      <c r="J147" s="110">
        <v>120</v>
      </c>
      <c r="U147" s="110">
        <v>0.39</v>
      </c>
      <c r="V147" s="110">
        <v>0.4</v>
      </c>
      <c r="W147" s="110">
        <v>0.34</v>
      </c>
      <c r="X147" s="110">
        <v>120</v>
      </c>
    </row>
    <row r="148" spans="2:28">
      <c r="B148" s="110">
        <v>290</v>
      </c>
      <c r="C148" s="110">
        <v>259</v>
      </c>
      <c r="D148" s="110">
        <v>334</v>
      </c>
      <c r="E148" s="110">
        <v>300</v>
      </c>
      <c r="F148" s="110">
        <v>441</v>
      </c>
      <c r="G148" s="110">
        <v>371</v>
      </c>
      <c r="H148" s="110">
        <v>473</v>
      </c>
      <c r="I148" s="110">
        <v>399</v>
      </c>
      <c r="J148" s="110">
        <v>150</v>
      </c>
      <c r="U148" s="110">
        <v>0.31</v>
      </c>
      <c r="V148" s="110">
        <v>0.32</v>
      </c>
      <c r="W148" s="110">
        <v>0.28000000000000003</v>
      </c>
      <c r="X148" s="110">
        <v>150</v>
      </c>
    </row>
    <row r="149" spans="2:28">
      <c r="B149" s="110">
        <v>329</v>
      </c>
      <c r="C149" s="110">
        <v>295</v>
      </c>
      <c r="D149" s="110">
        <v>384</v>
      </c>
      <c r="E149" s="110">
        <v>340</v>
      </c>
      <c r="F149" s="110">
        <v>506</v>
      </c>
      <c r="G149" s="110">
        <v>424</v>
      </c>
      <c r="H149" s="110">
        <v>542</v>
      </c>
      <c r="I149" s="110">
        <v>456</v>
      </c>
      <c r="J149" s="110">
        <v>185</v>
      </c>
      <c r="U149" s="110">
        <v>0.25</v>
      </c>
      <c r="V149" s="110">
        <v>0.26</v>
      </c>
      <c r="W149" s="110">
        <v>0.22</v>
      </c>
      <c r="X149" s="110">
        <v>185</v>
      </c>
    </row>
    <row r="150" spans="2:28">
      <c r="B150" s="110">
        <v>386</v>
      </c>
      <c r="C150" s="110">
        <v>346</v>
      </c>
      <c r="D150" s="110">
        <v>459</v>
      </c>
      <c r="E150" s="110">
        <v>398</v>
      </c>
      <c r="F150" s="110">
        <v>599</v>
      </c>
      <c r="G150" s="110">
        <v>500</v>
      </c>
      <c r="H150" s="110">
        <v>641</v>
      </c>
      <c r="I150" s="110">
        <v>538</v>
      </c>
      <c r="J150" s="110">
        <v>240</v>
      </c>
      <c r="U150" s="110">
        <v>0.19500000000000001</v>
      </c>
      <c r="V150" s="110">
        <v>0.2</v>
      </c>
      <c r="W150" s="110">
        <v>0.17499999999999999</v>
      </c>
      <c r="X150" s="110">
        <v>240</v>
      </c>
    </row>
    <row r="151" spans="2:28">
      <c r="B151" s="110">
        <v>442</v>
      </c>
      <c r="C151" s="110">
        <v>396</v>
      </c>
      <c r="D151" s="110">
        <v>532</v>
      </c>
      <c r="E151" s="110">
        <v>455</v>
      </c>
      <c r="F151" s="110">
        <v>693</v>
      </c>
      <c r="G151" s="110">
        <v>576</v>
      </c>
      <c r="H151" s="110">
        <v>741</v>
      </c>
      <c r="I151" s="110">
        <v>621</v>
      </c>
      <c r="J151" s="110">
        <v>300</v>
      </c>
      <c r="U151" s="110">
        <v>0.155</v>
      </c>
      <c r="V151" s="110">
        <v>0.16</v>
      </c>
      <c r="W151" s="110">
        <v>0.14000000000000001</v>
      </c>
      <c r="X151" s="110">
        <v>300</v>
      </c>
    </row>
    <row r="152" spans="2:28">
      <c r="D152" s="110">
        <v>625</v>
      </c>
      <c r="E152" s="110">
        <v>536</v>
      </c>
      <c r="F152" s="110">
        <v>803</v>
      </c>
      <c r="G152" s="110">
        <v>667</v>
      </c>
      <c r="H152" s="110">
        <v>865</v>
      </c>
      <c r="I152" s="110">
        <v>741</v>
      </c>
      <c r="J152" s="110">
        <v>400</v>
      </c>
      <c r="U152" s="110">
        <v>0.12</v>
      </c>
      <c r="V152" s="110">
        <v>0.13</v>
      </c>
      <c r="W152" s="110">
        <v>0.115</v>
      </c>
      <c r="X152" s="110">
        <v>400</v>
      </c>
    </row>
    <row r="155" spans="2:28">
      <c r="B155" s="110" t="s">
        <v>2019</v>
      </c>
      <c r="U155" s="110" t="s">
        <v>2020</v>
      </c>
    </row>
    <row r="156" spans="2:28">
      <c r="I156" s="112"/>
      <c r="AB156" s="112"/>
    </row>
    <row r="157" spans="2:28" ht="68">
      <c r="B157" s="113" t="s">
        <v>1968</v>
      </c>
      <c r="C157" s="113" t="s">
        <v>1990</v>
      </c>
      <c r="D157" s="113" t="s">
        <v>1970</v>
      </c>
      <c r="E157" s="113" t="s">
        <v>1971</v>
      </c>
      <c r="F157" s="113" t="s">
        <v>1972</v>
      </c>
      <c r="G157" s="113" t="s">
        <v>1991</v>
      </c>
      <c r="H157" s="113" t="s">
        <v>1992</v>
      </c>
      <c r="I157" s="113" t="s">
        <v>1993</v>
      </c>
      <c r="J157" s="113" t="s">
        <v>1994</v>
      </c>
      <c r="K157" s="113" t="s">
        <v>1995</v>
      </c>
      <c r="L157" s="113" t="s">
        <v>1996</v>
      </c>
      <c r="M157" s="114" t="s">
        <v>1975</v>
      </c>
      <c r="U157" s="113" t="s">
        <v>1964</v>
      </c>
      <c r="V157" s="113" t="s">
        <v>1965</v>
      </c>
      <c r="W157" s="113" t="s">
        <v>1966</v>
      </c>
      <c r="X157" s="113" t="s">
        <v>1967</v>
      </c>
      <c r="Y157" s="113" t="s">
        <v>1978</v>
      </c>
      <c r="Z157" s="113" t="s">
        <v>1979</v>
      </c>
      <c r="AA157" s="113" t="s">
        <v>1975</v>
      </c>
    </row>
    <row r="158" spans="2:28">
      <c r="B158" s="110">
        <v>237</v>
      </c>
      <c r="C158" s="110">
        <v>220</v>
      </c>
      <c r="D158" s="110">
        <v>253</v>
      </c>
      <c r="E158" s="110">
        <v>232</v>
      </c>
      <c r="F158" s="110">
        <v>222</v>
      </c>
      <c r="G158" s="110">
        <v>284</v>
      </c>
      <c r="H158" s="110">
        <v>270</v>
      </c>
      <c r="I158" s="110">
        <v>282</v>
      </c>
      <c r="J158" s="110">
        <v>266</v>
      </c>
      <c r="K158" s="110">
        <v>228</v>
      </c>
      <c r="L158" s="110">
        <v>266</v>
      </c>
      <c r="M158" s="115">
        <v>50</v>
      </c>
      <c r="U158" s="110">
        <v>0.98</v>
      </c>
      <c r="V158" s="110">
        <v>0.99</v>
      </c>
      <c r="W158" s="110">
        <v>0.98</v>
      </c>
      <c r="X158" s="110">
        <v>0.86</v>
      </c>
      <c r="Y158" s="110">
        <v>0.84</v>
      </c>
      <c r="Z158" s="110">
        <v>0.84</v>
      </c>
      <c r="AA158" s="110">
        <v>50</v>
      </c>
    </row>
    <row r="159" spans="2:28">
      <c r="B159" s="110">
        <v>303</v>
      </c>
      <c r="C159" s="110">
        <v>277</v>
      </c>
      <c r="D159" s="110">
        <v>322</v>
      </c>
      <c r="E159" s="110">
        <v>293</v>
      </c>
      <c r="F159" s="110">
        <v>285</v>
      </c>
      <c r="G159" s="110">
        <v>356</v>
      </c>
      <c r="H159" s="110">
        <v>349</v>
      </c>
      <c r="I159" s="110">
        <v>357</v>
      </c>
      <c r="J159" s="110">
        <v>337</v>
      </c>
      <c r="K159" s="110">
        <v>358</v>
      </c>
      <c r="L159" s="110">
        <v>331</v>
      </c>
      <c r="M159" s="110">
        <v>70</v>
      </c>
      <c r="U159" s="110">
        <v>0.67</v>
      </c>
      <c r="V159" s="110">
        <v>0.68</v>
      </c>
      <c r="W159" s="110">
        <v>0.69</v>
      </c>
      <c r="X159" s="110">
        <v>0.59</v>
      </c>
      <c r="Y159" s="110">
        <v>0.6</v>
      </c>
      <c r="Z159" s="110">
        <v>0.62</v>
      </c>
      <c r="AA159" s="110">
        <v>70</v>
      </c>
    </row>
    <row r="160" spans="2:28">
      <c r="B160" s="110">
        <v>367</v>
      </c>
      <c r="C160" s="110">
        <v>333</v>
      </c>
      <c r="D160" s="110">
        <v>389</v>
      </c>
      <c r="E160" s="110">
        <v>352</v>
      </c>
      <c r="F160" s="110">
        <v>346</v>
      </c>
      <c r="G160" s="110">
        <v>446</v>
      </c>
      <c r="H160" s="110">
        <v>426</v>
      </c>
      <c r="I160" s="110">
        <v>436</v>
      </c>
      <c r="J160" s="110">
        <v>412</v>
      </c>
      <c r="K160" s="110">
        <v>425</v>
      </c>
      <c r="L160" s="110">
        <v>393</v>
      </c>
      <c r="M160" s="115">
        <v>95</v>
      </c>
      <c r="U160" s="110">
        <v>0.49</v>
      </c>
      <c r="V160" s="110">
        <v>0.51</v>
      </c>
      <c r="W160" s="110">
        <v>0.53</v>
      </c>
      <c r="X160" s="110">
        <v>0.44</v>
      </c>
      <c r="Y160" s="110">
        <v>0.46</v>
      </c>
      <c r="Z160" s="110">
        <v>0.49</v>
      </c>
      <c r="AA160" s="110">
        <v>95</v>
      </c>
    </row>
    <row r="161" spans="2:27">
      <c r="B161" s="110">
        <v>425</v>
      </c>
      <c r="C161" s="110">
        <v>383</v>
      </c>
      <c r="D161" s="110">
        <v>449</v>
      </c>
      <c r="E161" s="110">
        <v>405</v>
      </c>
      <c r="F161" s="110">
        <v>402</v>
      </c>
      <c r="G161" s="110">
        <v>519</v>
      </c>
      <c r="H161" s="110">
        <v>497</v>
      </c>
      <c r="I161" s="110">
        <v>504</v>
      </c>
      <c r="J161" s="110">
        <v>477</v>
      </c>
      <c r="K161" s="110">
        <v>485</v>
      </c>
      <c r="L161" s="110">
        <v>449</v>
      </c>
      <c r="M161" s="110">
        <v>120</v>
      </c>
      <c r="U161" s="110">
        <v>0.39</v>
      </c>
      <c r="V161" s="110">
        <v>0.41</v>
      </c>
      <c r="W161" s="110">
        <v>0.43</v>
      </c>
      <c r="X161" s="110">
        <v>0.35</v>
      </c>
      <c r="Y161" s="110">
        <v>0.38</v>
      </c>
      <c r="Z161" s="110">
        <v>0.41</v>
      </c>
      <c r="AA161" s="110">
        <v>120</v>
      </c>
    </row>
    <row r="162" spans="2:27">
      <c r="B162" s="110">
        <v>488</v>
      </c>
      <c r="C162" s="110">
        <v>437</v>
      </c>
      <c r="D162" s="110">
        <v>516</v>
      </c>
      <c r="E162" s="110">
        <v>462</v>
      </c>
      <c r="F162" s="110">
        <v>463</v>
      </c>
      <c r="G162" s="110">
        <v>600</v>
      </c>
      <c r="H162" s="110">
        <v>575</v>
      </c>
      <c r="I162" s="110">
        <v>566</v>
      </c>
      <c r="J162" s="110">
        <v>539</v>
      </c>
      <c r="K162" s="110">
        <v>549</v>
      </c>
      <c r="L162" s="110">
        <v>510</v>
      </c>
      <c r="M162" s="115">
        <v>150</v>
      </c>
      <c r="U162" s="110">
        <v>0.31</v>
      </c>
      <c r="V162" s="110">
        <v>0.33</v>
      </c>
      <c r="W162" s="110">
        <v>0.36</v>
      </c>
      <c r="X162" s="110">
        <v>0.28999999999999998</v>
      </c>
      <c r="Y162" s="110">
        <v>0.31</v>
      </c>
      <c r="Z162" s="110">
        <v>0.34</v>
      </c>
      <c r="AA162" s="110">
        <v>150</v>
      </c>
    </row>
    <row r="163" spans="2:27">
      <c r="B163" s="110">
        <v>557</v>
      </c>
      <c r="C163" s="110">
        <v>496</v>
      </c>
      <c r="D163" s="110">
        <v>587</v>
      </c>
      <c r="E163" s="110">
        <v>524</v>
      </c>
      <c r="F163" s="110">
        <v>529</v>
      </c>
      <c r="G163" s="110">
        <v>688</v>
      </c>
      <c r="H163" s="110">
        <v>660</v>
      </c>
      <c r="I163" s="110">
        <v>643</v>
      </c>
      <c r="J163" s="110">
        <v>614</v>
      </c>
      <c r="K163" s="110">
        <v>618</v>
      </c>
      <c r="L163" s="110">
        <v>574</v>
      </c>
      <c r="M163" s="110">
        <v>185</v>
      </c>
      <c r="U163" s="110">
        <v>0.25</v>
      </c>
      <c r="V163" s="110">
        <v>0.27</v>
      </c>
      <c r="W163" s="110">
        <v>0.3</v>
      </c>
      <c r="X163" s="110">
        <v>0.23</v>
      </c>
      <c r="Y163" s="110">
        <v>0.26</v>
      </c>
      <c r="Z163" s="110">
        <v>0.28999999999999998</v>
      </c>
      <c r="AA163" s="110">
        <v>185</v>
      </c>
    </row>
    <row r="164" spans="2:27">
      <c r="B164" s="110">
        <v>656</v>
      </c>
      <c r="C164" s="110">
        <v>579</v>
      </c>
      <c r="D164" s="110">
        <v>689</v>
      </c>
      <c r="E164" s="110">
        <v>612</v>
      </c>
      <c r="F164" s="110">
        <v>625</v>
      </c>
      <c r="G164" s="110">
        <v>815</v>
      </c>
      <c r="H164" s="110">
        <v>782</v>
      </c>
      <c r="I164" s="110">
        <v>749</v>
      </c>
      <c r="J164" s="110">
        <v>714</v>
      </c>
      <c r="K164" s="110">
        <v>715</v>
      </c>
      <c r="L164" s="110">
        <v>666</v>
      </c>
      <c r="M164" s="115">
        <v>240</v>
      </c>
      <c r="U164" s="110">
        <v>0.19500000000000001</v>
      </c>
      <c r="V164" s="110">
        <v>0.21</v>
      </c>
      <c r="W164" s="110">
        <v>0.24</v>
      </c>
      <c r="X164" s="110">
        <v>0.18</v>
      </c>
      <c r="Y164" s="110">
        <v>0.21</v>
      </c>
      <c r="Z164" s="110">
        <v>0.24</v>
      </c>
      <c r="AA164" s="110">
        <v>240</v>
      </c>
    </row>
    <row r="165" spans="2:27">
      <c r="B165" s="110">
        <v>755</v>
      </c>
      <c r="C165" s="110">
        <v>662</v>
      </c>
      <c r="D165" s="110">
        <v>792</v>
      </c>
      <c r="E165" s="110">
        <v>700</v>
      </c>
      <c r="F165" s="110">
        <v>720</v>
      </c>
      <c r="G165" s="110">
        <v>943</v>
      </c>
      <c r="H165" s="110">
        <v>906</v>
      </c>
      <c r="I165" s="110">
        <v>842</v>
      </c>
      <c r="J165" s="110">
        <v>805</v>
      </c>
      <c r="K165" s="110">
        <v>810</v>
      </c>
      <c r="L165" s="110">
        <v>755</v>
      </c>
      <c r="M165" s="110">
        <v>300</v>
      </c>
      <c r="U165" s="110">
        <v>0.155</v>
      </c>
      <c r="V165" s="110">
        <v>0.17</v>
      </c>
      <c r="W165" s="110">
        <v>0.19500000000000001</v>
      </c>
      <c r="X165" s="110">
        <v>0.14499999999999999</v>
      </c>
      <c r="Y165" s="110">
        <v>0.17</v>
      </c>
      <c r="Z165" s="110">
        <v>0.2</v>
      </c>
      <c r="AA165" s="110">
        <v>300</v>
      </c>
    </row>
    <row r="166" spans="2:27">
      <c r="B166" s="110">
        <v>853</v>
      </c>
      <c r="C166" s="110">
        <v>717</v>
      </c>
      <c r="D166" s="110">
        <v>899</v>
      </c>
      <c r="E166" s="110">
        <v>767</v>
      </c>
      <c r="F166" s="110">
        <v>815</v>
      </c>
      <c r="G166" s="110">
        <v>1137</v>
      </c>
      <c r="H166" s="110">
        <v>1094</v>
      </c>
      <c r="I166" s="110">
        <v>929</v>
      </c>
      <c r="J166" s="110">
        <v>889</v>
      </c>
      <c r="K166" s="110">
        <v>848</v>
      </c>
      <c r="L166" s="110">
        <v>797</v>
      </c>
      <c r="M166" s="115">
        <v>400</v>
      </c>
      <c r="U166" s="110">
        <v>0.115</v>
      </c>
      <c r="V166" s="110">
        <v>0.14499999999999999</v>
      </c>
      <c r="W166" s="110">
        <v>0.18</v>
      </c>
      <c r="X166" s="110">
        <v>0.125</v>
      </c>
      <c r="Y166" s="110">
        <v>0.16</v>
      </c>
      <c r="Z166" s="110">
        <v>0.2</v>
      </c>
      <c r="AA166" s="110">
        <v>400</v>
      </c>
    </row>
    <row r="167" spans="2:27">
      <c r="B167" s="110">
        <v>962</v>
      </c>
      <c r="C167" s="110">
        <v>791</v>
      </c>
      <c r="D167" s="110">
        <v>1016</v>
      </c>
      <c r="E167" s="110">
        <v>851</v>
      </c>
      <c r="F167" s="110">
        <v>918</v>
      </c>
      <c r="G167" s="110">
        <v>1314</v>
      </c>
      <c r="H167" s="110">
        <v>1266</v>
      </c>
      <c r="I167" s="110">
        <v>1032</v>
      </c>
      <c r="J167" s="110">
        <v>989</v>
      </c>
      <c r="K167" s="110">
        <v>923</v>
      </c>
      <c r="L167" s="110">
        <v>871</v>
      </c>
      <c r="M167" s="110">
        <v>500</v>
      </c>
      <c r="U167" s="110">
        <v>9.2999999999999999E-2</v>
      </c>
      <c r="V167" s="110">
        <v>0.125</v>
      </c>
      <c r="W167" s="110">
        <v>0.16500000000000001</v>
      </c>
      <c r="X167" s="110">
        <v>0.105</v>
      </c>
      <c r="Y167" s="110">
        <v>0.14499999999999999</v>
      </c>
      <c r="Z167" s="110">
        <v>0.19</v>
      </c>
      <c r="AA167" s="110">
        <v>500</v>
      </c>
    </row>
    <row r="168" spans="2:27">
      <c r="B168" s="110">
        <v>1082</v>
      </c>
      <c r="C168" s="110">
        <v>861</v>
      </c>
      <c r="D168" s="110">
        <v>1146</v>
      </c>
      <c r="E168" s="110">
        <v>935</v>
      </c>
      <c r="F168" s="110">
        <v>1027</v>
      </c>
      <c r="G168" s="110">
        <v>1639</v>
      </c>
      <c r="H168" s="110">
        <v>1474</v>
      </c>
      <c r="I168" s="110">
        <v>1139</v>
      </c>
      <c r="J168" s="110">
        <v>1092</v>
      </c>
      <c r="K168" s="110">
        <v>992</v>
      </c>
      <c r="L168" s="110">
        <v>940</v>
      </c>
      <c r="M168" s="115">
        <v>630</v>
      </c>
      <c r="U168" s="110">
        <v>7.2999999999999995E-2</v>
      </c>
      <c r="V168" s="110">
        <v>0.105</v>
      </c>
      <c r="W168" s="110">
        <v>0.15</v>
      </c>
      <c r="X168" s="110">
        <v>9.1999999999999998E-2</v>
      </c>
      <c r="Y168" s="110">
        <v>0.13500000000000001</v>
      </c>
      <c r="Z168" s="110">
        <v>0.17499999999999999</v>
      </c>
      <c r="AA168" s="110">
        <v>630</v>
      </c>
    </row>
    <row r="169" spans="2:27">
      <c r="B169" s="110">
        <v>1170</v>
      </c>
      <c r="C169" s="110">
        <v>904</v>
      </c>
      <c r="D169" s="110">
        <v>1246</v>
      </c>
      <c r="E169" s="110">
        <v>987</v>
      </c>
      <c r="F169" s="110">
        <v>1119</v>
      </c>
      <c r="G169" s="110">
        <v>1809</v>
      </c>
      <c r="H169" s="110">
        <v>1744</v>
      </c>
      <c r="I169" s="110">
        <v>1204</v>
      </c>
      <c r="J169" s="110">
        <v>1155</v>
      </c>
      <c r="K169" s="110">
        <v>1042</v>
      </c>
      <c r="L169" s="110">
        <v>978</v>
      </c>
      <c r="M169" s="110">
        <v>800</v>
      </c>
      <c r="U169" s="110">
        <v>5.6000000000000001E-2</v>
      </c>
      <c r="V169" s="110">
        <v>0.09</v>
      </c>
      <c r="W169" s="110">
        <v>0.14499999999999999</v>
      </c>
      <c r="X169" s="110">
        <v>8.5999999999999993E-2</v>
      </c>
      <c r="Y169" s="110">
        <v>0.13</v>
      </c>
      <c r="Z169" s="110">
        <v>0.17499999999999999</v>
      </c>
      <c r="AA169" s="110">
        <v>800</v>
      </c>
    </row>
    <row r="170" spans="2:27">
      <c r="B170" s="110">
        <v>1261</v>
      </c>
      <c r="C170" s="110">
        <v>961</v>
      </c>
      <c r="D170" s="110">
        <v>1345</v>
      </c>
      <c r="E170" s="110">
        <v>1055</v>
      </c>
      <c r="F170" s="110">
        <v>1214</v>
      </c>
      <c r="G170" s="110">
        <v>2100</v>
      </c>
      <c r="H170" s="110">
        <v>2026</v>
      </c>
      <c r="I170" s="110">
        <v>1289</v>
      </c>
      <c r="J170" s="110">
        <v>1238</v>
      </c>
      <c r="K170" s="110">
        <v>1110</v>
      </c>
      <c r="L170" s="110">
        <v>1041</v>
      </c>
      <c r="M170" s="115">
        <v>1000</v>
      </c>
      <c r="U170" s="110">
        <v>4.4999999999999998E-2</v>
      </c>
      <c r="V170" s="110">
        <v>9.1999999999999998E-2</v>
      </c>
      <c r="W170" s="110">
        <v>0.14000000000000001</v>
      </c>
      <c r="X170" s="110">
        <v>0.08</v>
      </c>
      <c r="Y170" s="110">
        <v>0.125</v>
      </c>
      <c r="Z170" s="110">
        <v>0.16500000000000001</v>
      </c>
      <c r="AA170" s="110">
        <v>1000</v>
      </c>
    </row>
    <row r="173" spans="2:27">
      <c r="B173" s="110" t="s">
        <v>2021</v>
      </c>
      <c r="U173" s="110" t="s">
        <v>2022</v>
      </c>
    </row>
    <row r="175" spans="2:27" ht="51">
      <c r="B175" s="113" t="s">
        <v>1978</v>
      </c>
      <c r="C175" s="113" t="s">
        <v>1999</v>
      </c>
      <c r="D175" s="113" t="s">
        <v>1980</v>
      </c>
      <c r="E175" s="113" t="s">
        <v>2000</v>
      </c>
      <c r="F175" s="113" t="s">
        <v>2001</v>
      </c>
      <c r="G175" s="113" t="s">
        <v>2002</v>
      </c>
      <c r="H175" s="113" t="s">
        <v>1975</v>
      </c>
      <c r="U175" s="113" t="s">
        <v>1984</v>
      </c>
      <c r="V175" s="113" t="s">
        <v>1985</v>
      </c>
      <c r="W175" s="113" t="s">
        <v>1986</v>
      </c>
      <c r="X175" s="113" t="s">
        <v>1975</v>
      </c>
    </row>
    <row r="176" spans="2:27">
      <c r="B176" s="110">
        <v>27</v>
      </c>
      <c r="C176" s="110">
        <v>23</v>
      </c>
      <c r="D176" s="110">
        <v>29</v>
      </c>
      <c r="E176" s="110">
        <v>25</v>
      </c>
      <c r="F176" s="110">
        <v>25</v>
      </c>
      <c r="G176" s="110">
        <v>21</v>
      </c>
      <c r="H176" s="110">
        <v>1.5</v>
      </c>
      <c r="U176" s="110">
        <v>31</v>
      </c>
      <c r="V176" s="110">
        <v>31</v>
      </c>
      <c r="W176" s="110">
        <v>27</v>
      </c>
      <c r="X176" s="110">
        <v>1.5</v>
      </c>
    </row>
    <row r="177" spans="2:24">
      <c r="B177" s="110">
        <v>36</v>
      </c>
      <c r="C177" s="110">
        <v>31</v>
      </c>
      <c r="D177" s="110">
        <v>39</v>
      </c>
      <c r="E177" s="110">
        <v>33</v>
      </c>
      <c r="F177" s="110">
        <v>33</v>
      </c>
      <c r="G177" s="110">
        <v>28</v>
      </c>
      <c r="H177" s="110">
        <v>2.5</v>
      </c>
      <c r="U177" s="110">
        <v>19</v>
      </c>
      <c r="V177" s="110">
        <v>19</v>
      </c>
      <c r="W177" s="110">
        <v>16</v>
      </c>
      <c r="X177" s="110">
        <v>2.5</v>
      </c>
    </row>
    <row r="178" spans="2:24">
      <c r="B178" s="110">
        <v>49</v>
      </c>
      <c r="C178" s="110">
        <v>42</v>
      </c>
      <c r="D178" s="110">
        <v>52</v>
      </c>
      <c r="E178" s="110">
        <v>44</v>
      </c>
      <c r="F178" s="110">
        <v>43</v>
      </c>
      <c r="G178" s="110">
        <v>36</v>
      </c>
      <c r="H178" s="110">
        <v>4</v>
      </c>
      <c r="U178" s="110">
        <v>12</v>
      </c>
      <c r="V178" s="110">
        <v>12</v>
      </c>
      <c r="W178" s="110">
        <v>10</v>
      </c>
      <c r="X178" s="110">
        <v>4</v>
      </c>
    </row>
    <row r="179" spans="2:24">
      <c r="B179" s="110">
        <v>62</v>
      </c>
      <c r="C179" s="110">
        <v>53</v>
      </c>
      <c r="D179" s="110">
        <v>66</v>
      </c>
      <c r="E179" s="110">
        <v>56</v>
      </c>
      <c r="F179" s="110">
        <v>53</v>
      </c>
      <c r="G179" s="110">
        <v>44</v>
      </c>
      <c r="H179" s="110">
        <v>6</v>
      </c>
      <c r="U179" s="110">
        <v>7.9</v>
      </c>
      <c r="V179" s="110">
        <v>7.9</v>
      </c>
      <c r="W179" s="110">
        <v>6.8</v>
      </c>
      <c r="X179" s="110">
        <v>6</v>
      </c>
    </row>
    <row r="180" spans="2:24">
      <c r="B180" s="110">
        <v>85</v>
      </c>
      <c r="C180" s="110">
        <v>73</v>
      </c>
      <c r="D180" s="110">
        <v>90</v>
      </c>
      <c r="E180" s="110">
        <v>78</v>
      </c>
      <c r="F180" s="110">
        <v>71</v>
      </c>
      <c r="G180" s="110">
        <v>58</v>
      </c>
      <c r="H180" s="110">
        <v>10</v>
      </c>
      <c r="U180" s="110">
        <v>4.7</v>
      </c>
      <c r="V180" s="110">
        <v>4.7</v>
      </c>
      <c r="W180" s="110">
        <v>4</v>
      </c>
      <c r="X180" s="110">
        <v>10</v>
      </c>
    </row>
    <row r="181" spans="2:24">
      <c r="B181" s="110">
        <v>110</v>
      </c>
      <c r="C181" s="110">
        <v>94</v>
      </c>
      <c r="D181" s="110">
        <v>115</v>
      </c>
      <c r="E181" s="110">
        <v>99</v>
      </c>
      <c r="F181" s="110">
        <v>91</v>
      </c>
      <c r="G181" s="110">
        <v>75</v>
      </c>
      <c r="H181" s="110">
        <v>16</v>
      </c>
      <c r="U181" s="110">
        <v>2.9</v>
      </c>
      <c r="V181" s="110">
        <v>2.9</v>
      </c>
      <c r="W181" s="110">
        <v>2.5</v>
      </c>
      <c r="X181" s="110">
        <v>16</v>
      </c>
    </row>
    <row r="182" spans="2:24">
      <c r="B182" s="110">
        <v>146</v>
      </c>
      <c r="C182" s="110">
        <v>124</v>
      </c>
      <c r="D182" s="110">
        <v>152</v>
      </c>
      <c r="E182" s="110">
        <v>131</v>
      </c>
      <c r="F182" s="110">
        <v>116</v>
      </c>
      <c r="G182" s="110">
        <v>96</v>
      </c>
      <c r="H182" s="110">
        <v>25</v>
      </c>
      <c r="U182" s="110">
        <v>1.85</v>
      </c>
      <c r="V182" s="110">
        <v>1.85</v>
      </c>
      <c r="W182" s="110">
        <v>1.6</v>
      </c>
      <c r="X182" s="110">
        <v>25</v>
      </c>
    </row>
    <row r="183" spans="2:24">
      <c r="B183" s="110">
        <v>180</v>
      </c>
      <c r="C183" s="110">
        <v>154</v>
      </c>
      <c r="D183" s="110">
        <v>188</v>
      </c>
      <c r="E183" s="110">
        <v>162</v>
      </c>
      <c r="F183" s="110">
        <v>139</v>
      </c>
      <c r="G183" s="110">
        <v>115</v>
      </c>
      <c r="H183" s="110">
        <v>35</v>
      </c>
      <c r="U183" s="110">
        <v>1.35</v>
      </c>
      <c r="V183" s="110">
        <v>1.35</v>
      </c>
      <c r="W183" s="110">
        <v>1.1499999999999999</v>
      </c>
      <c r="X183" s="110">
        <v>35</v>
      </c>
    </row>
    <row r="184" spans="2:24">
      <c r="B184" s="110">
        <v>219</v>
      </c>
      <c r="C184" s="110">
        <v>187</v>
      </c>
      <c r="D184" s="110">
        <v>228</v>
      </c>
      <c r="E184" s="110">
        <v>197</v>
      </c>
      <c r="F184" s="110">
        <v>164</v>
      </c>
      <c r="G184" s="110">
        <v>135</v>
      </c>
      <c r="H184" s="110">
        <v>50</v>
      </c>
      <c r="U184" s="110">
        <v>0.98</v>
      </c>
      <c r="V184" s="110">
        <v>0.99</v>
      </c>
      <c r="W184" s="110">
        <v>0.86</v>
      </c>
      <c r="X184" s="110">
        <v>50</v>
      </c>
    </row>
    <row r="185" spans="2:24">
      <c r="B185" s="110">
        <v>279</v>
      </c>
      <c r="C185" s="110">
        <v>238</v>
      </c>
      <c r="D185" s="110">
        <v>291</v>
      </c>
      <c r="E185" s="110">
        <v>251</v>
      </c>
      <c r="F185" s="110">
        <v>203</v>
      </c>
      <c r="G185" s="110">
        <v>167</v>
      </c>
      <c r="H185" s="110">
        <v>70</v>
      </c>
      <c r="U185" s="110">
        <v>0.67</v>
      </c>
      <c r="V185" s="110">
        <v>0.67</v>
      </c>
      <c r="W185" s="110">
        <v>0.59</v>
      </c>
      <c r="X185" s="110">
        <v>70</v>
      </c>
    </row>
    <row r="186" spans="2:24">
      <c r="B186" s="110">
        <v>338</v>
      </c>
      <c r="C186" s="110">
        <v>289</v>
      </c>
      <c r="D186" s="110">
        <v>354</v>
      </c>
      <c r="E186" s="110">
        <v>304</v>
      </c>
      <c r="F186" s="110">
        <v>239</v>
      </c>
      <c r="G186" s="110">
        <v>197</v>
      </c>
      <c r="H186" s="110">
        <v>95</v>
      </c>
      <c r="U186" s="110">
        <v>0.49</v>
      </c>
      <c r="V186" s="110">
        <v>0.5</v>
      </c>
      <c r="W186" s="110">
        <v>0.43</v>
      </c>
      <c r="X186" s="110">
        <v>95</v>
      </c>
    </row>
    <row r="187" spans="2:24">
      <c r="B187" s="110">
        <v>392</v>
      </c>
      <c r="C187" s="110">
        <v>335</v>
      </c>
      <c r="D187" s="110">
        <v>410</v>
      </c>
      <c r="E187" s="110">
        <v>353</v>
      </c>
      <c r="F187" s="110">
        <v>271</v>
      </c>
      <c r="G187" s="110">
        <v>223</v>
      </c>
      <c r="H187" s="110">
        <v>120</v>
      </c>
      <c r="U187" s="110">
        <v>0.39</v>
      </c>
      <c r="V187" s="110">
        <v>0.4</v>
      </c>
      <c r="W187" s="110">
        <v>0.34</v>
      </c>
      <c r="X187" s="110">
        <v>120</v>
      </c>
    </row>
    <row r="188" spans="2:24">
      <c r="B188" s="110">
        <v>451</v>
      </c>
      <c r="C188" s="110">
        <v>386</v>
      </c>
      <c r="D188" s="110">
        <v>472</v>
      </c>
      <c r="E188" s="110">
        <v>406</v>
      </c>
      <c r="F188" s="110">
        <v>306</v>
      </c>
      <c r="G188" s="110">
        <v>251</v>
      </c>
      <c r="H188" s="110">
        <v>150</v>
      </c>
      <c r="U188" s="110">
        <v>0.31</v>
      </c>
      <c r="V188" s="110">
        <v>0.32</v>
      </c>
      <c r="W188" s="110">
        <v>0.28000000000000003</v>
      </c>
      <c r="X188" s="110">
        <v>150</v>
      </c>
    </row>
    <row r="189" spans="2:24">
      <c r="B189" s="110">
        <v>515</v>
      </c>
      <c r="C189" s="110">
        <v>441</v>
      </c>
      <c r="D189" s="110">
        <v>539</v>
      </c>
      <c r="E189" s="110">
        <v>463</v>
      </c>
      <c r="F189" s="110">
        <v>343</v>
      </c>
      <c r="G189" s="110">
        <v>281</v>
      </c>
      <c r="H189" s="110">
        <v>185</v>
      </c>
      <c r="U189" s="110">
        <v>0.25</v>
      </c>
      <c r="V189" s="110">
        <v>0.26</v>
      </c>
      <c r="W189" s="110">
        <v>0.22</v>
      </c>
      <c r="X189" s="110">
        <v>185</v>
      </c>
    </row>
    <row r="190" spans="2:24">
      <c r="B190" s="110">
        <v>607</v>
      </c>
      <c r="C190" s="110">
        <v>520</v>
      </c>
      <c r="D190" s="110">
        <v>636</v>
      </c>
      <c r="E190" s="110">
        <v>546</v>
      </c>
      <c r="F190" s="110">
        <v>395</v>
      </c>
      <c r="G190" s="110">
        <v>324</v>
      </c>
      <c r="H190" s="110">
        <v>240</v>
      </c>
      <c r="U190" s="110">
        <v>0.19500000000000001</v>
      </c>
      <c r="V190" s="110">
        <v>0.2</v>
      </c>
      <c r="W190" s="110">
        <v>0.17499999999999999</v>
      </c>
      <c r="X190" s="110">
        <v>240</v>
      </c>
    </row>
    <row r="191" spans="2:24">
      <c r="B191" s="110">
        <v>698</v>
      </c>
      <c r="C191" s="110">
        <v>599</v>
      </c>
      <c r="D191" s="110">
        <v>732</v>
      </c>
      <c r="E191" s="110">
        <v>628</v>
      </c>
      <c r="F191" s="110">
        <v>446</v>
      </c>
      <c r="G191" s="110">
        <v>365</v>
      </c>
      <c r="H191" s="110">
        <v>300</v>
      </c>
      <c r="U191" s="110">
        <v>0.155</v>
      </c>
      <c r="V191" s="110">
        <v>0.16</v>
      </c>
      <c r="W191" s="110">
        <v>0.14000000000000001</v>
      </c>
      <c r="X191" s="110">
        <v>300</v>
      </c>
    </row>
    <row r="192" spans="2:24">
      <c r="B192" s="110">
        <v>787</v>
      </c>
      <c r="C192" s="110">
        <v>673</v>
      </c>
      <c r="D192" s="110">
        <v>847</v>
      </c>
      <c r="E192" s="110">
        <v>728</v>
      </c>
      <c r="H192" s="110">
        <v>400</v>
      </c>
      <c r="U192" s="110">
        <v>0.12</v>
      </c>
      <c r="V192" s="110">
        <v>0.13</v>
      </c>
      <c r="W192" s="110">
        <v>0.115</v>
      </c>
      <c r="X192" s="110">
        <v>400</v>
      </c>
    </row>
    <row r="195" spans="2:26">
      <c r="B195" s="110" t="s">
        <v>2023</v>
      </c>
      <c r="U195" s="110" t="s">
        <v>2024</v>
      </c>
    </row>
    <row r="197" spans="2:26" ht="51">
      <c r="B197" s="113" t="s">
        <v>1984</v>
      </c>
      <c r="C197" s="113" t="s">
        <v>1985</v>
      </c>
      <c r="D197" s="113" t="s">
        <v>1986</v>
      </c>
      <c r="E197" s="113" t="s">
        <v>1975</v>
      </c>
      <c r="U197" s="113" t="s">
        <v>1964</v>
      </c>
      <c r="V197" s="113" t="s">
        <v>1965</v>
      </c>
      <c r="W197" s="113" t="s">
        <v>1966</v>
      </c>
      <c r="X197" s="113" t="s">
        <v>1967</v>
      </c>
      <c r="Y197" s="113" t="s">
        <v>1978</v>
      </c>
      <c r="Z197" s="113" t="s">
        <v>1975</v>
      </c>
    </row>
    <row r="198" spans="2:26">
      <c r="B198" s="110">
        <v>30</v>
      </c>
      <c r="C198" s="110">
        <v>26</v>
      </c>
      <c r="E198" s="110">
        <v>4</v>
      </c>
      <c r="U198" s="110">
        <v>12</v>
      </c>
      <c r="V198" s="110">
        <v>12</v>
      </c>
      <c r="W198" s="110">
        <v>10</v>
      </c>
      <c r="Z198" s="110">
        <v>4</v>
      </c>
    </row>
    <row r="199" spans="2:26">
      <c r="B199" s="110">
        <v>39</v>
      </c>
      <c r="C199" s="110">
        <v>34</v>
      </c>
      <c r="E199" s="110">
        <v>6</v>
      </c>
      <c r="U199" s="110">
        <v>7.8</v>
      </c>
      <c r="V199" s="110">
        <v>7.8</v>
      </c>
      <c r="W199" s="110">
        <v>6.7</v>
      </c>
      <c r="Z199" s="110">
        <v>6</v>
      </c>
    </row>
    <row r="200" spans="2:26">
      <c r="B200" s="110">
        <v>51</v>
      </c>
      <c r="C200" s="110">
        <v>47</v>
      </c>
      <c r="E200" s="110">
        <v>10</v>
      </c>
      <c r="U200" s="110">
        <v>4.5999999999999996</v>
      </c>
      <c r="V200" s="110">
        <v>4.5999999999999996</v>
      </c>
      <c r="W200" s="110">
        <v>4</v>
      </c>
      <c r="Z200" s="110">
        <v>10</v>
      </c>
    </row>
    <row r="201" spans="2:26">
      <c r="B201" s="110">
        <v>73</v>
      </c>
      <c r="C201" s="110">
        <v>63</v>
      </c>
      <c r="E201" s="110">
        <v>16</v>
      </c>
      <c r="U201" s="110">
        <v>2.9</v>
      </c>
      <c r="V201" s="110">
        <v>2.9</v>
      </c>
      <c r="W201" s="110">
        <v>2.5</v>
      </c>
      <c r="Z201" s="110">
        <v>16</v>
      </c>
    </row>
    <row r="202" spans="2:26">
      <c r="B202" s="110">
        <v>97</v>
      </c>
      <c r="C202" s="110">
        <v>83</v>
      </c>
      <c r="E202" s="110">
        <v>25</v>
      </c>
      <c r="U202" s="110">
        <v>1.8</v>
      </c>
      <c r="V202" s="110">
        <v>1.8</v>
      </c>
      <c r="W202" s="110">
        <v>1.55</v>
      </c>
      <c r="Z202" s="110">
        <v>25</v>
      </c>
    </row>
    <row r="203" spans="2:26">
      <c r="C203" s="110">
        <v>102</v>
      </c>
      <c r="D203" s="110">
        <v>140</v>
      </c>
      <c r="E203" s="110">
        <v>35</v>
      </c>
      <c r="W203" s="110">
        <v>1.1000000000000001</v>
      </c>
      <c r="X203" s="110">
        <v>1.31</v>
      </c>
      <c r="Y203" s="110">
        <v>1.31</v>
      </c>
      <c r="Z203" s="110">
        <v>35</v>
      </c>
    </row>
    <row r="204" spans="2:26">
      <c r="C204" s="110">
        <v>124</v>
      </c>
      <c r="D204" s="110">
        <v>175</v>
      </c>
      <c r="E204" s="110">
        <v>50</v>
      </c>
      <c r="W204" s="110">
        <v>0.83</v>
      </c>
      <c r="X204" s="110">
        <v>0.91</v>
      </c>
      <c r="Y204" s="110">
        <v>0.91</v>
      </c>
      <c r="Z204" s="110">
        <v>50</v>
      </c>
    </row>
    <row r="205" spans="2:26">
      <c r="C205" s="110">
        <v>158</v>
      </c>
      <c r="D205" s="110">
        <v>216</v>
      </c>
      <c r="E205" s="110">
        <v>70</v>
      </c>
      <c r="W205" s="110">
        <v>0.56999999999999995</v>
      </c>
      <c r="X205" s="110">
        <v>0.64</v>
      </c>
      <c r="Y205" s="110">
        <v>0.64</v>
      </c>
      <c r="Z205" s="110">
        <v>70</v>
      </c>
    </row>
    <row r="206" spans="2:26">
      <c r="C206" s="110">
        <v>192</v>
      </c>
      <c r="D206" s="110">
        <v>258</v>
      </c>
      <c r="E206" s="110">
        <v>95</v>
      </c>
      <c r="W206" s="110">
        <v>0.42</v>
      </c>
      <c r="X206" s="110">
        <v>0.49</v>
      </c>
      <c r="Y206" s="110">
        <v>0.49</v>
      </c>
      <c r="Z206" s="110">
        <v>95</v>
      </c>
    </row>
    <row r="207" spans="2:26">
      <c r="C207" s="110">
        <v>222</v>
      </c>
      <c r="D207" s="110">
        <v>302</v>
      </c>
      <c r="E207" s="110">
        <v>120</v>
      </c>
      <c r="W207" s="110">
        <v>0.33</v>
      </c>
      <c r="X207" s="110">
        <v>0.38</v>
      </c>
      <c r="Y207" s="110">
        <v>0.38</v>
      </c>
      <c r="Z207" s="110">
        <v>120</v>
      </c>
    </row>
    <row r="208" spans="2:26">
      <c r="C208" s="110">
        <v>255</v>
      </c>
      <c r="D208" s="110">
        <v>347</v>
      </c>
      <c r="E208" s="110">
        <v>150</v>
      </c>
      <c r="W208" s="110">
        <v>0.27</v>
      </c>
      <c r="X208" s="110">
        <v>0.31</v>
      </c>
      <c r="Y208" s="110">
        <v>0.31</v>
      </c>
      <c r="Z208" s="110">
        <v>150</v>
      </c>
    </row>
    <row r="209" spans="2:26">
      <c r="C209" s="110">
        <v>291</v>
      </c>
      <c r="D209" s="110">
        <v>394</v>
      </c>
      <c r="E209" s="110">
        <v>185</v>
      </c>
      <c r="W209" s="110">
        <v>0.22</v>
      </c>
      <c r="X209" s="110">
        <v>0.25</v>
      </c>
      <c r="Y209" s="110">
        <v>0.25</v>
      </c>
      <c r="Z209" s="110">
        <v>185</v>
      </c>
    </row>
    <row r="210" spans="2:26">
      <c r="C210" s="110">
        <v>343</v>
      </c>
      <c r="D210" s="110">
        <v>471</v>
      </c>
      <c r="E210" s="110">
        <v>240</v>
      </c>
      <c r="W210" s="110">
        <v>0.17</v>
      </c>
      <c r="X210" s="110">
        <v>0.19</v>
      </c>
      <c r="Y210" s="110">
        <v>0.19500000000000001</v>
      </c>
      <c r="Z210" s="110">
        <v>240</v>
      </c>
    </row>
    <row r="211" spans="2:26">
      <c r="C211" s="110">
        <v>394</v>
      </c>
      <c r="D211" s="110">
        <v>541</v>
      </c>
      <c r="E211" s="110">
        <v>300</v>
      </c>
      <c r="W211" s="110">
        <v>0.13500000000000001</v>
      </c>
      <c r="X211" s="110">
        <v>0.15</v>
      </c>
      <c r="Y211" s="110">
        <v>0.155</v>
      </c>
      <c r="Z211" s="110">
        <v>300</v>
      </c>
    </row>
    <row r="212" spans="2:26">
      <c r="D212" s="110">
        <v>644</v>
      </c>
      <c r="E212" s="110">
        <v>400</v>
      </c>
      <c r="X212" s="110">
        <v>0.115</v>
      </c>
      <c r="Y212" s="110">
        <v>0.12</v>
      </c>
      <c r="Z212" s="110">
        <v>400</v>
      </c>
    </row>
    <row r="213" spans="2:26">
      <c r="D213" s="110">
        <v>738</v>
      </c>
      <c r="E213" s="110">
        <v>500</v>
      </c>
      <c r="X213" s="110">
        <v>0.09</v>
      </c>
      <c r="Y213" s="110">
        <v>9.9000000000000005E-2</v>
      </c>
      <c r="Z213" s="110">
        <v>500</v>
      </c>
    </row>
    <row r="214" spans="2:26">
      <c r="D214" s="110">
        <v>861</v>
      </c>
      <c r="E214" s="110">
        <v>630</v>
      </c>
      <c r="X214" s="110">
        <v>6.8000000000000005E-2</v>
      </c>
      <c r="Y214" s="110">
        <v>7.9000000000000001E-2</v>
      </c>
      <c r="Z214" s="110">
        <v>630</v>
      </c>
    </row>
    <row r="217" spans="2:26">
      <c r="B217" s="110" t="s">
        <v>2025</v>
      </c>
      <c r="U217" s="110" t="s">
        <v>2026</v>
      </c>
    </row>
    <row r="219" spans="2:26" ht="51">
      <c r="B219" s="113" t="s">
        <v>1984</v>
      </c>
      <c r="C219" s="113" t="s">
        <v>1985</v>
      </c>
      <c r="D219" s="113" t="s">
        <v>1986</v>
      </c>
      <c r="E219" s="113" t="s">
        <v>1975</v>
      </c>
      <c r="U219" s="113" t="s">
        <v>1964</v>
      </c>
      <c r="V219" s="113" t="s">
        <v>1965</v>
      </c>
      <c r="W219" s="113" t="s">
        <v>1966</v>
      </c>
      <c r="X219" s="113" t="s">
        <v>1967</v>
      </c>
      <c r="Y219" s="113" t="s">
        <v>1975</v>
      </c>
    </row>
    <row r="220" spans="2:26">
      <c r="B220" s="110">
        <v>42</v>
      </c>
      <c r="C220" s="110">
        <v>37</v>
      </c>
      <c r="E220" s="110">
        <v>4</v>
      </c>
      <c r="U220" s="110">
        <v>13.2</v>
      </c>
      <c r="V220" s="110">
        <v>13.2</v>
      </c>
      <c r="W220" s="110">
        <v>11.1</v>
      </c>
      <c r="Y220" s="110">
        <v>4</v>
      </c>
    </row>
    <row r="221" spans="2:26">
      <c r="B221" s="110">
        <v>55</v>
      </c>
      <c r="C221" s="110">
        <v>49</v>
      </c>
      <c r="E221" s="110">
        <v>6</v>
      </c>
      <c r="U221" s="110">
        <v>8.5</v>
      </c>
      <c r="V221" s="110">
        <v>8.5</v>
      </c>
      <c r="W221" s="110">
        <v>7.4</v>
      </c>
      <c r="Y221" s="110">
        <v>6</v>
      </c>
    </row>
    <row r="222" spans="2:26">
      <c r="B222" s="110">
        <v>76</v>
      </c>
      <c r="C222" s="110">
        <v>66</v>
      </c>
      <c r="E222" s="110">
        <v>10</v>
      </c>
      <c r="U222" s="110">
        <v>5.0999999999999996</v>
      </c>
      <c r="V222" s="110">
        <v>5.0999999999999996</v>
      </c>
      <c r="W222" s="110">
        <v>4.4000000000000004</v>
      </c>
      <c r="Y222" s="110">
        <v>10</v>
      </c>
    </row>
    <row r="223" spans="2:26">
      <c r="B223" s="110">
        <v>103</v>
      </c>
      <c r="C223" s="110">
        <v>89</v>
      </c>
      <c r="E223" s="110">
        <v>16</v>
      </c>
      <c r="U223" s="110">
        <v>3.2</v>
      </c>
      <c r="V223" s="110">
        <v>3.2</v>
      </c>
      <c r="W223" s="110">
        <v>2.7</v>
      </c>
      <c r="Y223" s="110">
        <v>16</v>
      </c>
    </row>
    <row r="224" spans="2:26">
      <c r="B224" s="110">
        <v>136</v>
      </c>
      <c r="C224" s="110">
        <v>119</v>
      </c>
      <c r="E224" s="110">
        <v>25</v>
      </c>
      <c r="U224" s="110">
        <v>2.0299999999999998</v>
      </c>
      <c r="V224" s="110">
        <v>2.0299999999999998</v>
      </c>
      <c r="W224" s="110">
        <v>1.73</v>
      </c>
      <c r="Y224" s="110">
        <v>25</v>
      </c>
    </row>
    <row r="225" spans="2:25">
      <c r="C225" s="110">
        <v>146</v>
      </c>
      <c r="D225" s="110">
        <v>200</v>
      </c>
      <c r="E225" s="110">
        <v>35</v>
      </c>
      <c r="U225" s="110">
        <v>1.42</v>
      </c>
      <c r="W225" s="110">
        <v>1.22</v>
      </c>
      <c r="X225" s="110">
        <v>1.44</v>
      </c>
      <c r="Y225" s="110">
        <v>35</v>
      </c>
    </row>
    <row r="226" spans="2:25">
      <c r="C226" s="110">
        <v>177</v>
      </c>
      <c r="D226" s="110">
        <v>250</v>
      </c>
      <c r="E226" s="110">
        <v>50</v>
      </c>
      <c r="U226" s="110">
        <v>1</v>
      </c>
      <c r="W226" s="110">
        <v>0.91</v>
      </c>
      <c r="X226" s="110">
        <v>1</v>
      </c>
      <c r="Y226" s="110">
        <v>50</v>
      </c>
    </row>
    <row r="227" spans="2:25">
      <c r="C227" s="110">
        <v>255</v>
      </c>
      <c r="D227" s="110">
        <v>310</v>
      </c>
      <c r="E227" s="110">
        <v>70</v>
      </c>
      <c r="U227" s="110">
        <v>0.71</v>
      </c>
      <c r="W227" s="110">
        <v>0.62</v>
      </c>
      <c r="X227" s="110">
        <v>0.71</v>
      </c>
      <c r="Y227" s="110">
        <v>70</v>
      </c>
    </row>
    <row r="228" spans="2:25">
      <c r="C228" s="110">
        <v>273</v>
      </c>
      <c r="D228" s="110">
        <v>369</v>
      </c>
      <c r="E228" s="110">
        <v>95</v>
      </c>
      <c r="U228" s="110">
        <v>0.54</v>
      </c>
      <c r="W228" s="110">
        <v>0.47</v>
      </c>
      <c r="X228" s="110">
        <v>0.54</v>
      </c>
      <c r="Y228" s="110">
        <v>95</v>
      </c>
    </row>
    <row r="229" spans="2:25">
      <c r="C229" s="110">
        <v>316</v>
      </c>
      <c r="D229" s="110">
        <v>432</v>
      </c>
      <c r="E229" s="110">
        <v>120</v>
      </c>
      <c r="U229" s="110">
        <v>0.42</v>
      </c>
      <c r="W229" s="110">
        <v>0.37</v>
      </c>
      <c r="X229" s="110">
        <v>0.42</v>
      </c>
      <c r="Y229" s="110">
        <v>120</v>
      </c>
    </row>
    <row r="230" spans="2:25">
      <c r="C230" s="110">
        <v>363</v>
      </c>
      <c r="D230" s="110">
        <v>497</v>
      </c>
      <c r="E230" s="110">
        <v>150</v>
      </c>
      <c r="U230" s="110">
        <v>0.34</v>
      </c>
      <c r="W230" s="110">
        <v>0.28999999999999998</v>
      </c>
      <c r="X230" s="110">
        <v>0.34</v>
      </c>
      <c r="Y230" s="110">
        <v>150</v>
      </c>
    </row>
    <row r="231" spans="2:25">
      <c r="C231" s="110">
        <v>414</v>
      </c>
      <c r="D231" s="110">
        <v>564</v>
      </c>
      <c r="E231" s="110">
        <v>185</v>
      </c>
      <c r="U231" s="110">
        <v>0.27</v>
      </c>
      <c r="W231" s="110">
        <v>0.24</v>
      </c>
      <c r="X231" s="110">
        <v>0.27</v>
      </c>
      <c r="Y231" s="110">
        <v>185</v>
      </c>
    </row>
    <row r="232" spans="2:25">
      <c r="C232" s="110">
        <v>487</v>
      </c>
      <c r="D232" s="110">
        <v>673</v>
      </c>
      <c r="E232" s="110">
        <v>240</v>
      </c>
      <c r="U232" s="110">
        <v>0.21</v>
      </c>
      <c r="W232" s="110">
        <v>0.188</v>
      </c>
      <c r="X232" s="110">
        <v>0.21</v>
      </c>
      <c r="Y232" s="110">
        <v>240</v>
      </c>
    </row>
    <row r="233" spans="2:25">
      <c r="C233" s="110">
        <v>560</v>
      </c>
      <c r="D233" s="110">
        <v>773</v>
      </c>
      <c r="E233" s="110">
        <v>300</v>
      </c>
      <c r="U233" s="110">
        <v>0.16700000000000001</v>
      </c>
      <c r="W233" s="110">
        <v>0.14699999999999999</v>
      </c>
      <c r="X233" s="110">
        <v>0.17299999999999999</v>
      </c>
      <c r="Y233" s="110">
        <v>300</v>
      </c>
    </row>
    <row r="234" spans="2:25">
      <c r="D234" s="110">
        <v>924</v>
      </c>
      <c r="E234" s="110">
        <v>400</v>
      </c>
      <c r="U234" s="110">
        <v>0.127</v>
      </c>
      <c r="X234" s="110">
        <v>0.13200000000000001</v>
      </c>
      <c r="Y234" s="110">
        <v>400</v>
      </c>
    </row>
    <row r="235" spans="2:25">
      <c r="D235" s="110">
        <v>1062</v>
      </c>
      <c r="E235" s="110">
        <v>500</v>
      </c>
      <c r="U235" s="110">
        <v>0.1</v>
      </c>
      <c r="X235" s="110">
        <v>0.107</v>
      </c>
      <c r="Y235" s="110">
        <v>500</v>
      </c>
    </row>
    <row r="236" spans="2:25">
      <c r="D236" s="110">
        <v>1242</v>
      </c>
      <c r="E236" s="110">
        <v>630</v>
      </c>
      <c r="U236" s="110">
        <v>7.3999999999999996E-2</v>
      </c>
      <c r="X236" s="110">
        <v>8.5000000000000006E-2</v>
      </c>
      <c r="Y236" s="110">
        <v>630</v>
      </c>
    </row>
    <row r="239" spans="2:25">
      <c r="B239" s="110" t="s">
        <v>2027</v>
      </c>
      <c r="U239" s="110" t="s">
        <v>2028</v>
      </c>
    </row>
    <row r="241" spans="2:28" ht="34">
      <c r="B241" s="113" t="s">
        <v>2029</v>
      </c>
      <c r="C241" s="113" t="s">
        <v>1985</v>
      </c>
      <c r="D241" s="113" t="s">
        <v>2030</v>
      </c>
      <c r="E241" s="113" t="s">
        <v>1975</v>
      </c>
      <c r="U241" s="113" t="s">
        <v>1964</v>
      </c>
      <c r="V241" s="113" t="s">
        <v>1965</v>
      </c>
      <c r="W241" s="113" t="s">
        <v>1975</v>
      </c>
    </row>
    <row r="242" spans="2:28">
      <c r="B242" s="110">
        <v>3</v>
      </c>
      <c r="C242" s="110">
        <v>3</v>
      </c>
      <c r="D242" s="110">
        <v>2</v>
      </c>
      <c r="E242" s="110">
        <v>0.5</v>
      </c>
      <c r="U242" s="110">
        <v>93</v>
      </c>
      <c r="V242" s="110">
        <v>80</v>
      </c>
      <c r="W242" s="110">
        <v>0.5</v>
      </c>
    </row>
    <row r="243" spans="2:28">
      <c r="B243" s="110">
        <v>6</v>
      </c>
      <c r="C243" s="110">
        <v>6</v>
      </c>
      <c r="D243" s="110">
        <v>3</v>
      </c>
      <c r="E243" s="110">
        <v>0.75</v>
      </c>
      <c r="U243" s="110">
        <v>62</v>
      </c>
      <c r="V243" s="110">
        <v>54</v>
      </c>
      <c r="W243" s="110">
        <v>0.75</v>
      </c>
    </row>
    <row r="244" spans="2:28">
      <c r="B244" s="110">
        <v>10</v>
      </c>
      <c r="C244" s="110">
        <v>10</v>
      </c>
      <c r="D244" s="110">
        <v>5</v>
      </c>
      <c r="E244" s="110">
        <v>1</v>
      </c>
      <c r="U244" s="110">
        <v>46</v>
      </c>
      <c r="V244" s="110">
        <v>40</v>
      </c>
      <c r="W244" s="110">
        <v>1</v>
      </c>
    </row>
    <row r="245" spans="2:28">
      <c r="B245" s="110">
        <v>13</v>
      </c>
      <c r="D245" s="110">
        <v>5</v>
      </c>
      <c r="E245" s="110">
        <v>1.25</v>
      </c>
      <c r="U245" s="110">
        <v>37</v>
      </c>
      <c r="W245" s="110">
        <v>1.25</v>
      </c>
    </row>
    <row r="246" spans="2:28">
      <c r="B246" s="110">
        <v>16</v>
      </c>
      <c r="C246" s="110">
        <v>16</v>
      </c>
      <c r="D246" s="110">
        <v>5</v>
      </c>
      <c r="E246" s="110">
        <v>1.5</v>
      </c>
      <c r="U246" s="110">
        <v>32</v>
      </c>
      <c r="V246" s="110">
        <v>27</v>
      </c>
      <c r="W246" s="110">
        <v>1.5</v>
      </c>
    </row>
    <row r="247" spans="2:28">
      <c r="B247" s="110">
        <v>25</v>
      </c>
      <c r="C247" s="110">
        <v>20</v>
      </c>
      <c r="D247" s="110">
        <v>5</v>
      </c>
      <c r="E247" s="110">
        <v>2.5</v>
      </c>
      <c r="U247" s="110">
        <v>19</v>
      </c>
      <c r="V247" s="110">
        <v>16</v>
      </c>
      <c r="W247" s="110">
        <v>2.5</v>
      </c>
    </row>
    <row r="248" spans="2:28">
      <c r="B248" s="110">
        <v>32</v>
      </c>
      <c r="C248" s="110">
        <v>25</v>
      </c>
      <c r="D248" s="110">
        <v>5</v>
      </c>
      <c r="E248" s="110">
        <v>4</v>
      </c>
      <c r="U248" s="110">
        <v>12</v>
      </c>
      <c r="V248" s="110">
        <v>10</v>
      </c>
      <c r="W248" s="110">
        <v>4</v>
      </c>
    </row>
    <row r="251" spans="2:28">
      <c r="B251" s="110" t="s">
        <v>2031</v>
      </c>
      <c r="U251" s="110" t="s">
        <v>2032</v>
      </c>
    </row>
    <row r="252" spans="2:28">
      <c r="I252" s="112"/>
      <c r="AB252" s="112"/>
    </row>
    <row r="253" spans="2:28" ht="85">
      <c r="B253" s="113" t="s">
        <v>1978</v>
      </c>
      <c r="C253" s="113" t="s">
        <v>2033</v>
      </c>
      <c r="D253" s="113" t="s">
        <v>2034</v>
      </c>
      <c r="E253" s="113" t="s">
        <v>2035</v>
      </c>
      <c r="F253" s="113" t="s">
        <v>2036</v>
      </c>
      <c r="G253" s="113" t="s">
        <v>2037</v>
      </c>
      <c r="H253" s="113" t="s">
        <v>2038</v>
      </c>
      <c r="I253" s="113" t="s">
        <v>2039</v>
      </c>
      <c r="J253" s="114" t="s">
        <v>1975</v>
      </c>
      <c r="U253" s="113" t="s">
        <v>1964</v>
      </c>
      <c r="V253" s="113" t="s">
        <v>1965</v>
      </c>
      <c r="W253" s="113" t="s">
        <v>1966</v>
      </c>
      <c r="X253" s="113" t="s">
        <v>1967</v>
      </c>
      <c r="Y253" s="113" t="s">
        <v>1978</v>
      </c>
      <c r="Z253" s="113" t="s">
        <v>1979</v>
      </c>
      <c r="AA253" s="113" t="s">
        <v>1975</v>
      </c>
    </row>
    <row r="254" spans="2:28">
      <c r="B254" s="111" t="s">
        <v>2040</v>
      </c>
      <c r="J254" s="115"/>
      <c r="U254" s="110">
        <v>42</v>
      </c>
      <c r="V254" s="110">
        <v>42</v>
      </c>
      <c r="W254" s="110">
        <v>36</v>
      </c>
      <c r="X254" s="110">
        <v>36</v>
      </c>
      <c r="Y254" s="110">
        <v>36</v>
      </c>
      <c r="Z254" s="110">
        <v>36</v>
      </c>
      <c r="AA254" s="110">
        <v>1</v>
      </c>
    </row>
    <row r="255" spans="2:28">
      <c r="B255" s="110">
        <v>18.5</v>
      </c>
      <c r="C255" s="110">
        <v>15</v>
      </c>
      <c r="D255" s="110">
        <v>17</v>
      </c>
      <c r="E255" s="110">
        <v>19.5</v>
      </c>
      <c r="F255" s="110">
        <v>16.5</v>
      </c>
      <c r="G255" s="110">
        <v>18</v>
      </c>
      <c r="H255" s="110">
        <v>20</v>
      </c>
      <c r="I255" s="110">
        <v>23</v>
      </c>
      <c r="J255" s="110">
        <v>1</v>
      </c>
      <c r="U255" s="110">
        <v>28</v>
      </c>
      <c r="V255" s="110">
        <v>28</v>
      </c>
      <c r="W255" s="110">
        <v>24</v>
      </c>
      <c r="X255" s="110">
        <v>24</v>
      </c>
      <c r="Y255" s="110">
        <v>24</v>
      </c>
      <c r="Z255" s="110">
        <v>24</v>
      </c>
      <c r="AA255" s="110">
        <v>1.5</v>
      </c>
    </row>
    <row r="256" spans="2:28">
      <c r="B256" s="110">
        <v>23</v>
      </c>
      <c r="C256" s="110">
        <v>19</v>
      </c>
      <c r="D256" s="110">
        <v>21</v>
      </c>
      <c r="E256" s="110">
        <v>25</v>
      </c>
      <c r="F256" s="110">
        <v>21</v>
      </c>
      <c r="G256" s="110">
        <v>23</v>
      </c>
      <c r="H256" s="110">
        <v>26</v>
      </c>
      <c r="I256" s="110">
        <v>29</v>
      </c>
      <c r="J256" s="110">
        <v>1.5</v>
      </c>
      <c r="U256" s="110">
        <v>17</v>
      </c>
      <c r="V256" s="110">
        <v>17</v>
      </c>
      <c r="W256" s="110">
        <v>14</v>
      </c>
      <c r="X256" s="110">
        <v>14</v>
      </c>
      <c r="Y256" s="110">
        <v>14</v>
      </c>
      <c r="Z256" s="110">
        <v>14</v>
      </c>
      <c r="AA256" s="110">
        <v>2.5</v>
      </c>
    </row>
    <row r="257" spans="2:27">
      <c r="B257" s="110">
        <v>31</v>
      </c>
      <c r="C257" s="110">
        <v>26</v>
      </c>
      <c r="D257" s="110">
        <v>29</v>
      </c>
      <c r="E257" s="110">
        <v>33</v>
      </c>
      <c r="F257" s="110">
        <v>28</v>
      </c>
      <c r="G257" s="110">
        <v>31</v>
      </c>
      <c r="H257" s="110">
        <v>34</v>
      </c>
      <c r="I257" s="110">
        <v>39</v>
      </c>
      <c r="J257" s="110">
        <v>2.5</v>
      </c>
      <c r="U257" s="110">
        <v>10</v>
      </c>
      <c r="V257" s="110">
        <v>10</v>
      </c>
      <c r="W257" s="110">
        <v>9.1</v>
      </c>
      <c r="X257" s="110">
        <v>9.1</v>
      </c>
      <c r="Y257" s="110">
        <v>9.1</v>
      </c>
      <c r="Z257" s="110">
        <v>9.1</v>
      </c>
      <c r="AA257" s="110">
        <v>4</v>
      </c>
    </row>
    <row r="258" spans="2:27">
      <c r="B258" s="116">
        <v>40</v>
      </c>
      <c r="C258" s="116">
        <v>35</v>
      </c>
      <c r="D258" s="116">
        <v>38</v>
      </c>
      <c r="E258" s="116">
        <v>44</v>
      </c>
      <c r="F258" s="116">
        <v>37</v>
      </c>
      <c r="G258" s="116">
        <v>41</v>
      </c>
      <c r="H258" s="116">
        <v>45</v>
      </c>
      <c r="I258" s="116">
        <v>51</v>
      </c>
      <c r="J258" s="116">
        <v>4</v>
      </c>
      <c r="U258" s="110">
        <v>7</v>
      </c>
      <c r="V258" s="110">
        <v>7</v>
      </c>
      <c r="W258" s="110">
        <v>6</v>
      </c>
      <c r="X258" s="110">
        <v>6</v>
      </c>
      <c r="Y258" s="110">
        <v>6</v>
      </c>
      <c r="Z258" s="110">
        <v>6</v>
      </c>
      <c r="AA258" s="110">
        <v>6</v>
      </c>
    </row>
    <row r="259" spans="2:27">
      <c r="B259" s="111" t="s">
        <v>2041</v>
      </c>
      <c r="U259" s="110">
        <v>4.2</v>
      </c>
      <c r="V259" s="110">
        <v>4.2</v>
      </c>
      <c r="W259" s="110">
        <v>3.6</v>
      </c>
      <c r="X259" s="110">
        <v>3.6</v>
      </c>
      <c r="Y259" s="110">
        <v>3.6</v>
      </c>
      <c r="Z259" s="110">
        <v>3.6</v>
      </c>
      <c r="AA259" s="110">
        <v>10</v>
      </c>
    </row>
    <row r="260" spans="2:27">
      <c r="B260" s="110">
        <v>19.5</v>
      </c>
      <c r="C260" s="110">
        <v>16</v>
      </c>
      <c r="D260" s="110">
        <v>18</v>
      </c>
      <c r="E260" s="110">
        <v>21</v>
      </c>
      <c r="F260" s="110">
        <v>17.5</v>
      </c>
      <c r="G260" s="110">
        <v>20</v>
      </c>
      <c r="H260" s="110">
        <v>22</v>
      </c>
      <c r="I260" s="110">
        <v>25</v>
      </c>
      <c r="J260" s="115">
        <v>1</v>
      </c>
      <c r="U260" s="110">
        <v>2.6</v>
      </c>
      <c r="V260" s="110">
        <v>2.6</v>
      </c>
      <c r="W260" s="110">
        <v>2.2999999999999998</v>
      </c>
      <c r="X260" s="110">
        <v>2.2999999999999998</v>
      </c>
      <c r="Y260" s="110">
        <v>2.2999999999999998</v>
      </c>
      <c r="Z260" s="110">
        <v>2.2999999999999998</v>
      </c>
      <c r="AA260" s="110">
        <v>16</v>
      </c>
    </row>
    <row r="261" spans="2:27">
      <c r="B261" s="110">
        <v>25</v>
      </c>
      <c r="C261" s="110">
        <v>21</v>
      </c>
      <c r="D261" s="110">
        <v>23</v>
      </c>
      <c r="E261" s="110">
        <v>26</v>
      </c>
      <c r="F261" s="110">
        <v>22</v>
      </c>
      <c r="G261" s="110">
        <v>26</v>
      </c>
      <c r="H261" s="110">
        <v>28</v>
      </c>
      <c r="I261" s="110">
        <v>32</v>
      </c>
      <c r="J261" s="110">
        <v>1.5</v>
      </c>
      <c r="U261" s="110">
        <v>1.65</v>
      </c>
      <c r="V261" s="110">
        <v>1.65</v>
      </c>
      <c r="W261" s="110">
        <v>1.45</v>
      </c>
      <c r="X261" s="110">
        <v>1.45</v>
      </c>
      <c r="Y261" s="110">
        <v>1.45</v>
      </c>
      <c r="Z261" s="110">
        <v>1.45</v>
      </c>
      <c r="AA261" s="110">
        <v>25</v>
      </c>
    </row>
    <row r="262" spans="2:27">
      <c r="B262" s="110">
        <v>34</v>
      </c>
      <c r="C262" s="110">
        <v>28</v>
      </c>
      <c r="D262" s="110">
        <v>31</v>
      </c>
      <c r="E262" s="110">
        <v>36</v>
      </c>
      <c r="F262" s="110">
        <v>30</v>
      </c>
      <c r="G262" s="110">
        <v>34</v>
      </c>
      <c r="H262" s="110">
        <v>37</v>
      </c>
      <c r="I262" s="110">
        <v>43</v>
      </c>
      <c r="J262" s="115">
        <v>2.5</v>
      </c>
      <c r="U262" s="110">
        <v>1.2</v>
      </c>
      <c r="X262" s="110">
        <v>1.05</v>
      </c>
      <c r="Y262" s="110">
        <v>1.05</v>
      </c>
      <c r="Z262" s="110">
        <v>1.05</v>
      </c>
      <c r="AA262" s="110">
        <v>35</v>
      </c>
    </row>
    <row r="263" spans="2:27">
      <c r="B263" s="110">
        <v>45</v>
      </c>
      <c r="C263" s="110">
        <v>37</v>
      </c>
      <c r="D263" s="110">
        <v>41</v>
      </c>
      <c r="E263" s="110">
        <v>47</v>
      </c>
      <c r="F263" s="110">
        <v>40</v>
      </c>
      <c r="G263" s="110">
        <v>45</v>
      </c>
      <c r="H263" s="110">
        <v>49</v>
      </c>
      <c r="I263" s="110">
        <v>56</v>
      </c>
      <c r="J263" s="110">
        <v>4</v>
      </c>
      <c r="U263" s="110">
        <v>0.89</v>
      </c>
      <c r="X263" s="110">
        <v>0.78</v>
      </c>
      <c r="Y263" s="110">
        <v>0.79</v>
      </c>
      <c r="Z263" s="110">
        <v>0.82</v>
      </c>
      <c r="AA263" s="110">
        <v>50</v>
      </c>
    </row>
    <row r="264" spans="2:27">
      <c r="B264" s="110">
        <v>57</v>
      </c>
      <c r="C264" s="110">
        <v>48</v>
      </c>
      <c r="D264" s="110">
        <v>52</v>
      </c>
      <c r="E264" s="110">
        <v>60</v>
      </c>
      <c r="F264" s="110">
        <v>51</v>
      </c>
      <c r="G264" s="110">
        <v>57</v>
      </c>
      <c r="H264" s="110">
        <v>62</v>
      </c>
      <c r="I264" s="110">
        <v>71</v>
      </c>
      <c r="J264" s="115">
        <v>6</v>
      </c>
      <c r="U264" s="110">
        <v>0.62</v>
      </c>
      <c r="X264" s="110">
        <v>0.54</v>
      </c>
      <c r="Y264" s="110">
        <v>0.55000000000000004</v>
      </c>
      <c r="Z264" s="110">
        <v>0.57999999999999996</v>
      </c>
      <c r="AA264" s="110">
        <v>70</v>
      </c>
    </row>
    <row r="265" spans="2:27">
      <c r="B265" s="110">
        <v>77</v>
      </c>
      <c r="C265" s="110">
        <v>65</v>
      </c>
      <c r="D265" s="110">
        <v>70</v>
      </c>
      <c r="E265" s="110">
        <v>82</v>
      </c>
      <c r="F265" s="110">
        <v>69</v>
      </c>
      <c r="G265" s="110">
        <v>77</v>
      </c>
      <c r="H265" s="110">
        <v>84</v>
      </c>
      <c r="I265" s="110">
        <v>95</v>
      </c>
      <c r="J265" s="110">
        <v>10</v>
      </c>
      <c r="U265" s="110">
        <v>0.46</v>
      </c>
      <c r="X265" s="110">
        <v>0.4</v>
      </c>
      <c r="Y265" s="110">
        <v>0.41</v>
      </c>
      <c r="Z265" s="110">
        <v>0.44</v>
      </c>
      <c r="AA265" s="110">
        <v>95</v>
      </c>
    </row>
    <row r="266" spans="2:27">
      <c r="B266" s="110">
        <v>102</v>
      </c>
      <c r="C266" s="110">
        <v>86</v>
      </c>
      <c r="D266" s="110">
        <v>92</v>
      </c>
      <c r="E266" s="110">
        <v>109</v>
      </c>
      <c r="F266" s="110">
        <v>92</v>
      </c>
      <c r="G266" s="110">
        <v>102</v>
      </c>
      <c r="H266" s="110">
        <v>110</v>
      </c>
      <c r="I266" s="110">
        <v>125</v>
      </c>
      <c r="J266" s="115">
        <v>16</v>
      </c>
      <c r="U266" s="110">
        <v>0.37</v>
      </c>
      <c r="X266" s="110">
        <v>0.32</v>
      </c>
      <c r="Y266" s="110">
        <v>0.33</v>
      </c>
      <c r="Z266" s="110">
        <v>0.36</v>
      </c>
      <c r="AA266" s="110">
        <v>120</v>
      </c>
    </row>
    <row r="267" spans="2:27">
      <c r="B267" s="110">
        <v>133</v>
      </c>
      <c r="C267" s="110">
        <v>112</v>
      </c>
      <c r="D267" s="110">
        <v>120</v>
      </c>
      <c r="E267" s="110">
        <v>142</v>
      </c>
      <c r="F267" s="110">
        <v>120</v>
      </c>
      <c r="G267" s="110">
        <v>132</v>
      </c>
      <c r="H267" s="110">
        <v>142</v>
      </c>
      <c r="I267" s="110">
        <v>162</v>
      </c>
      <c r="J267" s="110">
        <v>25</v>
      </c>
      <c r="U267" s="110">
        <v>0.3</v>
      </c>
      <c r="X267" s="110">
        <v>0.26</v>
      </c>
      <c r="Y267" s="110">
        <v>0.28999999999999998</v>
      </c>
      <c r="Z267" s="110">
        <v>0.32</v>
      </c>
      <c r="AA267" s="110">
        <v>150</v>
      </c>
    </row>
    <row r="268" spans="2:27">
      <c r="B268" s="110">
        <v>163</v>
      </c>
      <c r="C268" s="110">
        <v>137</v>
      </c>
      <c r="D268" s="110">
        <v>147</v>
      </c>
      <c r="E268" s="110">
        <v>174</v>
      </c>
      <c r="F268" s="110">
        <v>147</v>
      </c>
      <c r="G268" s="110">
        <v>161</v>
      </c>
      <c r="H268" s="110">
        <v>173</v>
      </c>
      <c r="I268" s="110">
        <v>197</v>
      </c>
      <c r="J268" s="115">
        <v>35</v>
      </c>
      <c r="U268" s="110">
        <v>0.25</v>
      </c>
      <c r="X268" s="110">
        <v>0.21</v>
      </c>
      <c r="Y268" s="110">
        <v>0.25</v>
      </c>
      <c r="Z268" s="110">
        <v>0.28000000000000003</v>
      </c>
      <c r="AA268" s="110">
        <v>185</v>
      </c>
    </row>
    <row r="269" spans="2:27">
      <c r="B269" s="110">
        <v>202</v>
      </c>
      <c r="C269" s="110">
        <v>169</v>
      </c>
      <c r="D269" s="110">
        <v>181</v>
      </c>
      <c r="E269" s="110">
        <v>215</v>
      </c>
      <c r="F269" s="110">
        <v>182</v>
      </c>
      <c r="G269" s="110">
        <v>198</v>
      </c>
      <c r="H269" s="110">
        <v>213</v>
      </c>
      <c r="I269" s="110">
        <v>242</v>
      </c>
      <c r="J269" s="110">
        <v>50</v>
      </c>
      <c r="U269" s="110">
        <v>0.19</v>
      </c>
      <c r="X269" s="110">
        <v>0.16500000000000001</v>
      </c>
      <c r="Y269" s="110">
        <v>0.21</v>
      </c>
      <c r="Z269" s="110">
        <v>0.26</v>
      </c>
      <c r="AA269" s="110">
        <v>240</v>
      </c>
    </row>
    <row r="270" spans="2:27">
      <c r="B270" s="110">
        <v>247</v>
      </c>
      <c r="C270" s="110">
        <v>207</v>
      </c>
      <c r="D270" s="110">
        <v>221</v>
      </c>
      <c r="E270" s="110">
        <v>264</v>
      </c>
      <c r="F270" s="110">
        <v>223</v>
      </c>
      <c r="G270" s="110">
        <v>241</v>
      </c>
      <c r="H270" s="110">
        <v>259</v>
      </c>
      <c r="I270" s="110">
        <v>294</v>
      </c>
      <c r="J270" s="115">
        <v>70</v>
      </c>
    </row>
    <row r="271" spans="2:27">
      <c r="B271" s="110">
        <v>296</v>
      </c>
      <c r="C271" s="110">
        <v>249</v>
      </c>
      <c r="D271" s="110">
        <v>264</v>
      </c>
      <c r="E271" s="110">
        <v>317</v>
      </c>
      <c r="F271" s="110">
        <v>267</v>
      </c>
      <c r="G271" s="110">
        <v>289</v>
      </c>
      <c r="H271" s="110">
        <v>309</v>
      </c>
      <c r="I271" s="110">
        <v>351</v>
      </c>
      <c r="J271" s="110">
        <v>95</v>
      </c>
    </row>
    <row r="272" spans="2:27">
      <c r="B272" s="110">
        <v>340</v>
      </c>
      <c r="C272" s="110">
        <v>286</v>
      </c>
      <c r="D272" s="110">
        <v>303</v>
      </c>
      <c r="E272" s="110">
        <v>364</v>
      </c>
      <c r="F272" s="110">
        <v>308</v>
      </c>
      <c r="G272" s="110">
        <v>331</v>
      </c>
      <c r="H272" s="110">
        <v>353</v>
      </c>
      <c r="I272" s="110">
        <v>402</v>
      </c>
      <c r="J272" s="115">
        <v>120</v>
      </c>
    </row>
    <row r="273" spans="2:27">
      <c r="B273" s="110">
        <v>388</v>
      </c>
      <c r="C273" s="110">
        <v>327</v>
      </c>
      <c r="D273" s="110">
        <v>346</v>
      </c>
      <c r="E273" s="110">
        <v>416</v>
      </c>
      <c r="F273" s="110">
        <v>352</v>
      </c>
      <c r="G273" s="110">
        <v>377</v>
      </c>
      <c r="H273" s="110">
        <v>400</v>
      </c>
      <c r="I273" s="110">
        <v>454</v>
      </c>
      <c r="J273" s="110">
        <v>150</v>
      </c>
    </row>
    <row r="274" spans="2:27">
      <c r="B274" s="110">
        <v>440</v>
      </c>
      <c r="C274" s="110">
        <v>371</v>
      </c>
      <c r="D274" s="110">
        <v>392</v>
      </c>
      <c r="E274" s="110">
        <v>472</v>
      </c>
      <c r="F274" s="110">
        <v>399</v>
      </c>
      <c r="G274" s="110">
        <v>426</v>
      </c>
      <c r="H274" s="110">
        <v>446</v>
      </c>
      <c r="I274" s="110">
        <v>507</v>
      </c>
      <c r="J274" s="115">
        <v>185</v>
      </c>
    </row>
    <row r="275" spans="2:27">
      <c r="B275" s="110">
        <v>514</v>
      </c>
      <c r="C275" s="110">
        <v>434</v>
      </c>
      <c r="D275" s="110">
        <v>457</v>
      </c>
      <c r="E275" s="110">
        <v>552</v>
      </c>
      <c r="F275" s="110">
        <v>466</v>
      </c>
      <c r="G275" s="110">
        <v>496</v>
      </c>
      <c r="H275" s="110">
        <v>497</v>
      </c>
      <c r="I275" s="110">
        <v>565</v>
      </c>
      <c r="J275" s="110">
        <v>240</v>
      </c>
    </row>
    <row r="278" spans="2:27">
      <c r="B278" s="110" t="s">
        <v>2042</v>
      </c>
      <c r="U278" s="110" t="s">
        <v>2043</v>
      </c>
    </row>
    <row r="279" spans="2:27">
      <c r="I279" s="112"/>
    </row>
    <row r="280" spans="2:27" ht="85">
      <c r="B280" s="113" t="s">
        <v>1978</v>
      </c>
      <c r="C280" s="113" t="s">
        <v>2033</v>
      </c>
      <c r="D280" s="113" t="s">
        <v>2034</v>
      </c>
      <c r="E280" s="113" t="s">
        <v>2035</v>
      </c>
      <c r="F280" s="113" t="s">
        <v>2036</v>
      </c>
      <c r="G280" s="113" t="s">
        <v>2037</v>
      </c>
      <c r="H280" s="113" t="s">
        <v>2038</v>
      </c>
      <c r="I280" s="113" t="s">
        <v>2039</v>
      </c>
      <c r="J280" s="114" t="s">
        <v>1975</v>
      </c>
      <c r="U280" s="113" t="s">
        <v>1964</v>
      </c>
      <c r="V280" s="113" t="s">
        <v>1965</v>
      </c>
      <c r="W280" s="113" t="s">
        <v>1966</v>
      </c>
      <c r="X280" s="113" t="s">
        <v>1967</v>
      </c>
      <c r="Y280" s="113" t="s">
        <v>1978</v>
      </c>
      <c r="Z280" s="113" t="s">
        <v>1979</v>
      </c>
      <c r="AA280" s="113" t="s">
        <v>1975</v>
      </c>
    </row>
    <row r="281" spans="2:27">
      <c r="B281" s="111" t="s">
        <v>2040</v>
      </c>
      <c r="J281" s="115"/>
      <c r="U281" s="110">
        <v>47</v>
      </c>
      <c r="V281" s="110">
        <v>47</v>
      </c>
      <c r="W281" s="110">
        <v>40</v>
      </c>
      <c r="X281" s="110">
        <v>40</v>
      </c>
      <c r="Y281" s="110">
        <v>40</v>
      </c>
      <c r="Z281" s="110">
        <v>40</v>
      </c>
      <c r="AA281" s="110">
        <v>1</v>
      </c>
    </row>
    <row r="282" spans="2:27">
      <c r="B282" s="110">
        <v>22</v>
      </c>
      <c r="C282" s="110">
        <v>19</v>
      </c>
      <c r="D282" s="110">
        <v>21</v>
      </c>
      <c r="E282" s="110">
        <v>24</v>
      </c>
      <c r="F282" s="110">
        <v>21</v>
      </c>
      <c r="G282" s="110">
        <v>23</v>
      </c>
      <c r="H282" s="110">
        <v>26</v>
      </c>
      <c r="I282" s="110">
        <v>29</v>
      </c>
      <c r="J282" s="110">
        <v>1</v>
      </c>
      <c r="U282" s="110">
        <v>31</v>
      </c>
      <c r="V282" s="110">
        <v>31</v>
      </c>
      <c r="W282" s="110">
        <v>27</v>
      </c>
      <c r="X282" s="110">
        <v>27</v>
      </c>
      <c r="Y282" s="110">
        <v>27</v>
      </c>
      <c r="Z282" s="110">
        <v>27</v>
      </c>
      <c r="AA282" s="110">
        <v>1.5</v>
      </c>
    </row>
    <row r="283" spans="2:27">
      <c r="B283" s="110">
        <v>28</v>
      </c>
      <c r="C283" s="110">
        <v>24</v>
      </c>
      <c r="D283" s="110">
        <v>27</v>
      </c>
      <c r="E283" s="110">
        <v>31</v>
      </c>
      <c r="F283" s="110">
        <v>26</v>
      </c>
      <c r="G283" s="110">
        <v>29</v>
      </c>
      <c r="H283" s="110">
        <v>33</v>
      </c>
      <c r="I283" s="110">
        <v>37</v>
      </c>
      <c r="J283" s="110">
        <v>1.5</v>
      </c>
      <c r="U283" s="110">
        <v>19</v>
      </c>
      <c r="V283" s="110">
        <v>19</v>
      </c>
      <c r="W283" s="110">
        <v>16</v>
      </c>
      <c r="X283" s="110">
        <v>16</v>
      </c>
      <c r="Y283" s="110">
        <v>16</v>
      </c>
      <c r="Z283" s="110">
        <v>16</v>
      </c>
      <c r="AA283" s="110">
        <v>2.5</v>
      </c>
    </row>
    <row r="284" spans="2:27">
      <c r="B284" s="110">
        <v>38</v>
      </c>
      <c r="C284" s="110">
        <v>33</v>
      </c>
      <c r="D284" s="110">
        <v>36</v>
      </c>
      <c r="E284" s="110">
        <v>41</v>
      </c>
      <c r="F284" s="110">
        <v>35</v>
      </c>
      <c r="G284" s="110">
        <v>39</v>
      </c>
      <c r="H284" s="110">
        <v>43</v>
      </c>
      <c r="I284" s="110">
        <v>49</v>
      </c>
      <c r="J284" s="110">
        <v>2.5</v>
      </c>
      <c r="U284" s="110">
        <v>12</v>
      </c>
      <c r="V284" s="110">
        <v>12</v>
      </c>
      <c r="W284" s="110">
        <v>10</v>
      </c>
      <c r="X284" s="110">
        <v>10</v>
      </c>
      <c r="Y284" s="110">
        <v>10</v>
      </c>
      <c r="Z284" s="110">
        <v>10</v>
      </c>
      <c r="AA284" s="110">
        <v>4</v>
      </c>
    </row>
    <row r="285" spans="2:27">
      <c r="B285" s="116">
        <v>51</v>
      </c>
      <c r="C285" s="116">
        <v>44</v>
      </c>
      <c r="D285" s="116">
        <v>47</v>
      </c>
      <c r="E285" s="116">
        <v>54</v>
      </c>
      <c r="F285" s="116">
        <v>46</v>
      </c>
      <c r="G285" s="116">
        <v>51</v>
      </c>
      <c r="H285" s="116">
        <v>56</v>
      </c>
      <c r="I285" s="116">
        <v>64</v>
      </c>
      <c r="J285" s="116">
        <v>4</v>
      </c>
      <c r="U285" s="110">
        <v>7.8</v>
      </c>
      <c r="V285" s="110">
        <v>7.8</v>
      </c>
      <c r="W285" s="110">
        <v>6.8</v>
      </c>
      <c r="X285" s="110">
        <v>6.8</v>
      </c>
      <c r="Y285" s="110">
        <v>6.8</v>
      </c>
      <c r="Z285" s="110">
        <v>6.8</v>
      </c>
      <c r="AA285" s="110">
        <v>6</v>
      </c>
    </row>
    <row r="286" spans="2:27">
      <c r="B286" s="111" t="s">
        <v>2041</v>
      </c>
      <c r="U286" s="110">
        <v>4.7</v>
      </c>
      <c r="V286" s="110">
        <v>4.7</v>
      </c>
      <c r="W286" s="110">
        <v>4.0999999999999996</v>
      </c>
      <c r="X286" s="110">
        <v>4.0999999999999996</v>
      </c>
      <c r="Y286" s="110">
        <v>4.0999999999999996</v>
      </c>
      <c r="Z286" s="110">
        <v>4.0999999999999996</v>
      </c>
      <c r="AA286" s="110">
        <v>10</v>
      </c>
    </row>
    <row r="287" spans="2:27">
      <c r="B287" s="110">
        <v>24</v>
      </c>
      <c r="C287" s="110">
        <v>20</v>
      </c>
      <c r="D287" s="110">
        <v>24</v>
      </c>
      <c r="E287" s="110">
        <v>26</v>
      </c>
      <c r="F287" s="110">
        <v>22</v>
      </c>
      <c r="G287" s="110">
        <v>25</v>
      </c>
      <c r="H287" s="110">
        <v>28</v>
      </c>
      <c r="I287" s="110">
        <v>32</v>
      </c>
      <c r="J287" s="115">
        <v>1</v>
      </c>
      <c r="U287" s="110">
        <v>3</v>
      </c>
      <c r="V287" s="110">
        <v>3</v>
      </c>
      <c r="W287" s="110">
        <v>2.6</v>
      </c>
      <c r="X287" s="110">
        <v>2.6</v>
      </c>
      <c r="Y287" s="110">
        <v>2.6</v>
      </c>
      <c r="Z287" s="110">
        <v>2.6</v>
      </c>
      <c r="AA287" s="110">
        <v>16</v>
      </c>
    </row>
    <row r="288" spans="2:27">
      <c r="B288" s="110">
        <v>31</v>
      </c>
      <c r="C288" s="110">
        <v>26</v>
      </c>
      <c r="D288" s="110">
        <v>30</v>
      </c>
      <c r="E288" s="110">
        <v>33</v>
      </c>
      <c r="F288" s="110">
        <v>28</v>
      </c>
      <c r="G288" s="110">
        <v>32</v>
      </c>
      <c r="H288" s="110">
        <v>35</v>
      </c>
      <c r="I288" s="110">
        <v>40</v>
      </c>
      <c r="J288" s="110">
        <v>1.5</v>
      </c>
      <c r="U288" s="110">
        <v>1.85</v>
      </c>
      <c r="V288" s="110">
        <v>1.85</v>
      </c>
      <c r="W288" s="110">
        <v>1.6</v>
      </c>
      <c r="X288" s="110">
        <v>1.6</v>
      </c>
      <c r="Y288" s="110">
        <v>1.6</v>
      </c>
      <c r="Z288" s="110">
        <v>1.6</v>
      </c>
      <c r="AA288" s="110">
        <v>25</v>
      </c>
    </row>
    <row r="289" spans="2:27">
      <c r="B289" s="110">
        <v>42</v>
      </c>
      <c r="C289" s="110">
        <v>35</v>
      </c>
      <c r="D289" s="110">
        <v>41</v>
      </c>
      <c r="E289" s="110">
        <v>45</v>
      </c>
      <c r="F289" s="110">
        <v>38</v>
      </c>
      <c r="G289" s="110">
        <v>43</v>
      </c>
      <c r="H289" s="110">
        <v>47</v>
      </c>
      <c r="I289" s="110">
        <v>54</v>
      </c>
      <c r="J289" s="115">
        <v>2.5</v>
      </c>
      <c r="U289" s="110">
        <v>1.35</v>
      </c>
      <c r="X289" s="110">
        <v>1.1499999999999999</v>
      </c>
      <c r="Y289" s="110">
        <v>1.1499999999999999</v>
      </c>
      <c r="Z289" s="110">
        <v>1.2</v>
      </c>
      <c r="AA289" s="110">
        <v>35</v>
      </c>
    </row>
    <row r="290" spans="2:27">
      <c r="B290" s="110">
        <v>55</v>
      </c>
      <c r="C290" s="110">
        <v>47</v>
      </c>
      <c r="D290" s="110">
        <v>53</v>
      </c>
      <c r="E290" s="110">
        <v>60</v>
      </c>
      <c r="F290" s="110">
        <v>50</v>
      </c>
      <c r="G290" s="110">
        <v>56</v>
      </c>
      <c r="H290" s="110">
        <v>61</v>
      </c>
      <c r="I290" s="110">
        <v>70</v>
      </c>
      <c r="J290" s="110">
        <v>4</v>
      </c>
      <c r="U290" s="110">
        <v>1</v>
      </c>
      <c r="X290" s="110">
        <v>0.87</v>
      </c>
      <c r="Y290" s="110">
        <v>0.88</v>
      </c>
      <c r="Z290" s="110">
        <v>0.9</v>
      </c>
      <c r="AA290" s="110">
        <v>50</v>
      </c>
    </row>
    <row r="291" spans="2:27">
      <c r="B291" s="110">
        <v>70</v>
      </c>
      <c r="C291" s="110">
        <v>59</v>
      </c>
      <c r="D291" s="110">
        <v>67</v>
      </c>
      <c r="E291" s="110">
        <v>76</v>
      </c>
      <c r="F291" s="110">
        <v>64</v>
      </c>
      <c r="G291" s="110">
        <v>71</v>
      </c>
      <c r="H291" s="110">
        <v>78</v>
      </c>
      <c r="I291" s="110">
        <v>89</v>
      </c>
      <c r="J291" s="115">
        <v>6</v>
      </c>
      <c r="U291" s="110">
        <v>0.69</v>
      </c>
      <c r="X291" s="110">
        <v>0.6</v>
      </c>
      <c r="Y291" s="110">
        <v>0.61</v>
      </c>
      <c r="Z291" s="110">
        <v>0.63</v>
      </c>
      <c r="AA291" s="110">
        <v>70</v>
      </c>
    </row>
    <row r="292" spans="2:27">
      <c r="B292" s="110">
        <v>96</v>
      </c>
      <c r="C292" s="110">
        <v>81</v>
      </c>
      <c r="D292" s="110">
        <v>91</v>
      </c>
      <c r="E292" s="110">
        <v>104</v>
      </c>
      <c r="F292" s="110">
        <v>87</v>
      </c>
      <c r="G292" s="110">
        <v>96</v>
      </c>
      <c r="H292" s="110">
        <v>105</v>
      </c>
      <c r="I292" s="110">
        <v>120</v>
      </c>
      <c r="J292" s="110">
        <v>10</v>
      </c>
      <c r="U292" s="110">
        <v>0.51</v>
      </c>
      <c r="X292" s="110">
        <v>0.45</v>
      </c>
      <c r="Y292" s="110">
        <v>0.46</v>
      </c>
      <c r="Z292" s="110">
        <v>0.48</v>
      </c>
      <c r="AA292" s="110">
        <v>95</v>
      </c>
    </row>
    <row r="293" spans="2:27">
      <c r="B293" s="110">
        <v>127</v>
      </c>
      <c r="C293" s="110">
        <v>107</v>
      </c>
      <c r="D293" s="110">
        <v>119</v>
      </c>
      <c r="E293" s="110">
        <v>137</v>
      </c>
      <c r="F293" s="110">
        <v>115</v>
      </c>
      <c r="G293" s="110">
        <v>127</v>
      </c>
      <c r="H293" s="110">
        <v>137</v>
      </c>
      <c r="I293" s="110">
        <v>157</v>
      </c>
      <c r="J293" s="115">
        <v>16</v>
      </c>
      <c r="U293" s="110">
        <v>0.41</v>
      </c>
      <c r="X293" s="110">
        <v>0.36</v>
      </c>
      <c r="Y293" s="110">
        <v>0.37</v>
      </c>
      <c r="Z293" s="110">
        <v>0.39</v>
      </c>
      <c r="AA293" s="110">
        <v>120</v>
      </c>
    </row>
    <row r="294" spans="2:27">
      <c r="B294" s="110">
        <v>166</v>
      </c>
      <c r="C294" s="110">
        <v>140</v>
      </c>
      <c r="D294" s="110">
        <v>154</v>
      </c>
      <c r="E294" s="110">
        <v>179</v>
      </c>
      <c r="F294" s="110">
        <v>150</v>
      </c>
      <c r="G294" s="110">
        <v>164</v>
      </c>
      <c r="H294" s="110">
        <v>178</v>
      </c>
      <c r="I294" s="110">
        <v>204</v>
      </c>
      <c r="J294" s="110">
        <v>25</v>
      </c>
      <c r="U294" s="110">
        <v>0.33</v>
      </c>
      <c r="X294" s="110">
        <v>0.28999999999999998</v>
      </c>
      <c r="Y294" s="110">
        <v>0.31</v>
      </c>
      <c r="Z294" s="110">
        <v>0.34</v>
      </c>
      <c r="AA294" s="110">
        <v>150</v>
      </c>
    </row>
    <row r="295" spans="2:27">
      <c r="B295" s="110">
        <v>203</v>
      </c>
      <c r="C295" s="110">
        <v>171</v>
      </c>
      <c r="D295" s="110">
        <v>187</v>
      </c>
      <c r="E295" s="110">
        <v>220</v>
      </c>
      <c r="F295" s="110">
        <v>184</v>
      </c>
      <c r="G295" s="110">
        <v>200</v>
      </c>
      <c r="H295" s="110">
        <v>216</v>
      </c>
      <c r="I295" s="110">
        <v>248</v>
      </c>
      <c r="J295" s="115">
        <v>35</v>
      </c>
      <c r="U295" s="110">
        <v>0.27</v>
      </c>
      <c r="X295" s="110">
        <v>0.23</v>
      </c>
      <c r="Y295" s="110">
        <v>0.26</v>
      </c>
      <c r="Z295" s="110">
        <v>0.28999999999999998</v>
      </c>
      <c r="AA295" s="110">
        <v>185</v>
      </c>
    </row>
    <row r="296" spans="2:27">
      <c r="B296" s="110">
        <v>251</v>
      </c>
      <c r="C296" s="110">
        <v>212</v>
      </c>
      <c r="D296" s="110">
        <v>230</v>
      </c>
      <c r="E296" s="110">
        <v>272</v>
      </c>
      <c r="F296" s="110">
        <v>228</v>
      </c>
      <c r="G296" s="110">
        <v>247</v>
      </c>
      <c r="H296" s="110">
        <v>266</v>
      </c>
      <c r="I296" s="110">
        <v>304</v>
      </c>
      <c r="J296" s="110">
        <v>50</v>
      </c>
      <c r="U296" s="110">
        <v>0.21</v>
      </c>
      <c r="X296" s="110">
        <v>0.18</v>
      </c>
      <c r="Y296" s="110">
        <v>0.22</v>
      </c>
      <c r="Z296" s="110">
        <v>0.26</v>
      </c>
      <c r="AA296" s="110">
        <v>240</v>
      </c>
    </row>
    <row r="297" spans="2:27">
      <c r="B297" s="110">
        <v>307</v>
      </c>
      <c r="C297" s="110">
        <v>260</v>
      </c>
      <c r="D297" s="110">
        <v>280</v>
      </c>
      <c r="E297" s="110">
        <v>333</v>
      </c>
      <c r="F297" s="110">
        <v>279</v>
      </c>
      <c r="G297" s="110">
        <v>300</v>
      </c>
      <c r="H297" s="110">
        <v>323</v>
      </c>
      <c r="I297" s="110">
        <v>370</v>
      </c>
      <c r="J297" s="115">
        <v>70</v>
      </c>
    </row>
    <row r="298" spans="2:27">
      <c r="B298" s="110">
        <v>369</v>
      </c>
      <c r="C298" s="110">
        <v>312</v>
      </c>
      <c r="D298" s="110">
        <v>334</v>
      </c>
      <c r="E298" s="110">
        <v>400</v>
      </c>
      <c r="F298" s="110">
        <v>335</v>
      </c>
      <c r="G298" s="110">
        <v>359</v>
      </c>
      <c r="H298" s="110">
        <v>385</v>
      </c>
      <c r="I298" s="110">
        <v>441</v>
      </c>
      <c r="J298" s="110">
        <v>95</v>
      </c>
    </row>
    <row r="299" spans="2:27">
      <c r="B299" s="110">
        <v>424</v>
      </c>
      <c r="C299" s="110">
        <v>359</v>
      </c>
      <c r="D299" s="110">
        <v>383</v>
      </c>
      <c r="E299" s="110">
        <v>460</v>
      </c>
      <c r="F299" s="110">
        <v>385</v>
      </c>
      <c r="G299" s="110">
        <v>411</v>
      </c>
      <c r="H299" s="110">
        <v>441</v>
      </c>
      <c r="I299" s="110">
        <v>505</v>
      </c>
      <c r="J299" s="115">
        <v>120</v>
      </c>
    </row>
    <row r="300" spans="2:27">
      <c r="B300" s="110">
        <v>485</v>
      </c>
      <c r="C300" s="110">
        <v>410</v>
      </c>
      <c r="D300" s="110">
        <v>435</v>
      </c>
      <c r="E300" s="110">
        <v>526</v>
      </c>
      <c r="F300" s="110">
        <v>441</v>
      </c>
      <c r="G300" s="110">
        <v>469</v>
      </c>
      <c r="H300" s="110">
        <v>498</v>
      </c>
      <c r="I300" s="110">
        <v>565</v>
      </c>
      <c r="J300" s="110">
        <v>150</v>
      </c>
    </row>
    <row r="301" spans="2:27">
      <c r="B301" s="110">
        <v>550</v>
      </c>
      <c r="C301" s="110">
        <v>465</v>
      </c>
      <c r="D301" s="110">
        <v>392</v>
      </c>
      <c r="E301" s="110">
        <v>596</v>
      </c>
      <c r="F301" s="110">
        <v>500</v>
      </c>
      <c r="G301" s="110">
        <v>530</v>
      </c>
      <c r="H301" s="110">
        <v>557</v>
      </c>
      <c r="I301" s="110">
        <v>629</v>
      </c>
      <c r="J301" s="115">
        <v>185</v>
      </c>
    </row>
    <row r="302" spans="2:27">
      <c r="B302" s="110">
        <v>643</v>
      </c>
      <c r="C302" s="110">
        <v>544</v>
      </c>
      <c r="D302" s="110">
        <v>572</v>
      </c>
      <c r="E302" s="110">
        <v>697</v>
      </c>
      <c r="F302" s="110">
        <v>584</v>
      </c>
      <c r="G302" s="110">
        <v>617</v>
      </c>
      <c r="H302" s="110">
        <v>624</v>
      </c>
      <c r="I302" s="110">
        <v>704</v>
      </c>
      <c r="J302" s="110">
        <v>240</v>
      </c>
    </row>
    <row r="305" spans="2:29">
      <c r="B305" s="110" t="s">
        <v>2044</v>
      </c>
      <c r="U305" s="110" t="s">
        <v>2045</v>
      </c>
    </row>
    <row r="306" spans="2:29">
      <c r="I306" s="112"/>
    </row>
    <row r="307" spans="2:29" ht="68">
      <c r="B307" s="113" t="s">
        <v>1964</v>
      </c>
      <c r="C307" s="113" t="s">
        <v>1965</v>
      </c>
      <c r="D307" s="113" t="s">
        <v>1966</v>
      </c>
      <c r="E307" s="113" t="s">
        <v>1967</v>
      </c>
      <c r="F307" s="113" t="s">
        <v>1968</v>
      </c>
      <c r="G307" s="113" t="s">
        <v>1969</v>
      </c>
      <c r="H307" s="113" t="s">
        <v>1970</v>
      </c>
      <c r="I307" s="113" t="s">
        <v>1971</v>
      </c>
      <c r="J307" s="113" t="s">
        <v>1972</v>
      </c>
      <c r="K307" s="113" t="s">
        <v>1973</v>
      </c>
      <c r="L307" s="113" t="s">
        <v>1974</v>
      </c>
      <c r="M307" s="114" t="s">
        <v>1975</v>
      </c>
      <c r="U307" s="113" t="s">
        <v>1964</v>
      </c>
      <c r="V307" s="113" t="s">
        <v>1965</v>
      </c>
      <c r="W307" s="113" t="s">
        <v>1966</v>
      </c>
      <c r="X307" s="113" t="s">
        <v>1967</v>
      </c>
      <c r="Y307" s="113" t="s">
        <v>1978</v>
      </c>
      <c r="Z307" s="113" t="s">
        <v>1979</v>
      </c>
      <c r="AA307" s="113" t="s">
        <v>2046</v>
      </c>
      <c r="AB307" s="113" t="s">
        <v>2047</v>
      </c>
      <c r="AC307" s="113" t="s">
        <v>1975</v>
      </c>
    </row>
    <row r="308" spans="2:29">
      <c r="B308" s="110">
        <v>93</v>
      </c>
      <c r="C308" s="110">
        <v>84</v>
      </c>
      <c r="D308" s="110">
        <v>118</v>
      </c>
      <c r="E308" s="110">
        <v>104</v>
      </c>
      <c r="F308" s="110">
        <v>125</v>
      </c>
      <c r="G308" s="110">
        <v>110</v>
      </c>
      <c r="H308" s="110">
        <v>149</v>
      </c>
      <c r="I308" s="110">
        <v>133</v>
      </c>
      <c r="J308" s="110">
        <v>128</v>
      </c>
      <c r="K308" s="110">
        <v>169</v>
      </c>
      <c r="L308" s="110">
        <v>152</v>
      </c>
      <c r="M308" s="110">
        <v>50</v>
      </c>
      <c r="U308" s="110">
        <v>1.55</v>
      </c>
      <c r="V308" s="110">
        <v>1.6</v>
      </c>
      <c r="W308" s="110">
        <v>1.55</v>
      </c>
      <c r="X308" s="110">
        <v>1.55</v>
      </c>
      <c r="Y308" s="110">
        <v>1.35</v>
      </c>
      <c r="Z308" s="110">
        <v>1.35</v>
      </c>
      <c r="AA308" s="110">
        <v>1.35</v>
      </c>
      <c r="AB308" s="110">
        <v>1.35</v>
      </c>
      <c r="AC308" s="110">
        <v>50</v>
      </c>
    </row>
    <row r="309" spans="2:29">
      <c r="B309" s="110">
        <v>118</v>
      </c>
      <c r="C309" s="110">
        <v>107</v>
      </c>
      <c r="D309" s="110">
        <v>150</v>
      </c>
      <c r="E309" s="110">
        <v>133</v>
      </c>
      <c r="F309" s="110">
        <v>160</v>
      </c>
      <c r="G309" s="110">
        <v>140</v>
      </c>
      <c r="H309" s="110">
        <v>192</v>
      </c>
      <c r="I309" s="110">
        <v>173</v>
      </c>
      <c r="J309" s="110">
        <v>166</v>
      </c>
      <c r="K309" s="110">
        <v>217</v>
      </c>
      <c r="L309" s="110">
        <v>196</v>
      </c>
      <c r="M309" s="110">
        <v>70</v>
      </c>
      <c r="U309" s="110">
        <v>1.05</v>
      </c>
      <c r="V309" s="110">
        <v>1.1000000000000001</v>
      </c>
      <c r="W309" s="110">
        <v>1.05</v>
      </c>
      <c r="X309" s="110">
        <v>1.05</v>
      </c>
      <c r="Y309" s="110">
        <v>0.94</v>
      </c>
      <c r="Z309" s="110">
        <v>0.91</v>
      </c>
      <c r="AA309" s="110">
        <v>0.91</v>
      </c>
      <c r="AB309" s="110">
        <v>0.91</v>
      </c>
      <c r="AC309" s="110">
        <v>70</v>
      </c>
    </row>
    <row r="310" spans="2:29">
      <c r="B310" s="110">
        <v>142</v>
      </c>
      <c r="C310" s="110">
        <v>129</v>
      </c>
      <c r="D310" s="110">
        <v>181</v>
      </c>
      <c r="E310" s="110">
        <v>161</v>
      </c>
      <c r="F310" s="110">
        <v>195</v>
      </c>
      <c r="G310" s="110">
        <v>170</v>
      </c>
      <c r="H310" s="110">
        <v>235</v>
      </c>
      <c r="I310" s="110">
        <v>212</v>
      </c>
      <c r="J310" s="110">
        <v>203</v>
      </c>
      <c r="K310" s="110">
        <v>265</v>
      </c>
      <c r="L310" s="110">
        <v>241</v>
      </c>
      <c r="M310" s="110">
        <v>95</v>
      </c>
      <c r="U310" s="110">
        <v>0.77</v>
      </c>
      <c r="V310" s="110">
        <v>0.81</v>
      </c>
      <c r="W310" s="110">
        <v>0.77</v>
      </c>
      <c r="X310" s="110">
        <v>0.77</v>
      </c>
      <c r="Y310" s="110">
        <v>0.7</v>
      </c>
      <c r="Z310" s="110">
        <v>0.67</v>
      </c>
      <c r="AA310" s="110">
        <v>0.67</v>
      </c>
      <c r="AB310" s="110">
        <v>0.67</v>
      </c>
      <c r="AC310" s="110">
        <v>95</v>
      </c>
    </row>
    <row r="311" spans="2:29">
      <c r="B311" s="110">
        <v>164</v>
      </c>
      <c r="C311" s="110">
        <v>149</v>
      </c>
      <c r="D311" s="110">
        <v>210</v>
      </c>
      <c r="E311" s="110">
        <v>186</v>
      </c>
      <c r="F311" s="110">
        <v>226</v>
      </c>
      <c r="G311" s="110">
        <v>197</v>
      </c>
      <c r="H311" s="110">
        <v>273</v>
      </c>
      <c r="I311" s="110">
        <v>247</v>
      </c>
      <c r="J311" s="110">
        <v>237</v>
      </c>
      <c r="K311" s="110">
        <v>308</v>
      </c>
      <c r="L311" s="110">
        <v>282</v>
      </c>
      <c r="M311" s="110">
        <v>120</v>
      </c>
      <c r="U311" s="110">
        <v>0.61</v>
      </c>
      <c r="V311" s="110">
        <v>0.64</v>
      </c>
      <c r="W311" s="110">
        <v>0.61</v>
      </c>
      <c r="X311" s="110">
        <v>0.61</v>
      </c>
      <c r="Y311" s="110">
        <v>0.55000000000000004</v>
      </c>
      <c r="Z311" s="110">
        <v>0.53</v>
      </c>
      <c r="AA311" s="110">
        <v>0.53</v>
      </c>
      <c r="AB311" s="110">
        <v>0.53</v>
      </c>
      <c r="AC311" s="110">
        <v>120</v>
      </c>
    </row>
    <row r="312" spans="2:29">
      <c r="B312" s="110">
        <v>189</v>
      </c>
      <c r="C312" s="110">
        <v>170</v>
      </c>
      <c r="D312" s="110">
        <v>234</v>
      </c>
      <c r="E312" s="110">
        <v>204</v>
      </c>
      <c r="F312" s="110">
        <v>261</v>
      </c>
      <c r="G312" s="110">
        <v>227</v>
      </c>
      <c r="H312" s="110">
        <v>316</v>
      </c>
      <c r="I312" s="110">
        <v>287</v>
      </c>
      <c r="J312" s="110">
        <v>274</v>
      </c>
      <c r="K312" s="110">
        <v>356</v>
      </c>
      <c r="L312" s="110">
        <v>327</v>
      </c>
      <c r="M312" s="110">
        <v>150</v>
      </c>
      <c r="U312" s="110">
        <v>0.49</v>
      </c>
      <c r="V312" s="110">
        <v>0.51</v>
      </c>
      <c r="W312" s="110">
        <v>0.49</v>
      </c>
      <c r="X312" s="110">
        <v>0.49</v>
      </c>
      <c r="Y312" s="110">
        <v>0.45</v>
      </c>
      <c r="Z312" s="110">
        <v>0.42</v>
      </c>
      <c r="AA312" s="110">
        <v>0.42</v>
      </c>
      <c r="AB312" s="110">
        <v>0.42</v>
      </c>
      <c r="AC312" s="110">
        <v>150</v>
      </c>
    </row>
    <row r="313" spans="2:29">
      <c r="B313" s="110">
        <v>215</v>
      </c>
      <c r="C313" s="110">
        <v>194</v>
      </c>
      <c r="D313" s="110">
        <v>266</v>
      </c>
      <c r="E313" s="110">
        <v>230</v>
      </c>
      <c r="F313" s="110">
        <v>298</v>
      </c>
      <c r="G313" s="110">
        <v>259</v>
      </c>
      <c r="H313" s="110">
        <v>363</v>
      </c>
      <c r="I313" s="110">
        <v>330</v>
      </c>
      <c r="J313" s="110">
        <v>316</v>
      </c>
      <c r="K313" s="110">
        <v>407</v>
      </c>
      <c r="L313" s="110">
        <v>376</v>
      </c>
      <c r="M313" s="110">
        <v>185</v>
      </c>
      <c r="U313" s="110">
        <v>0.39</v>
      </c>
      <c r="V313" s="110">
        <v>0.42</v>
      </c>
      <c r="W313" s="110">
        <v>0.4</v>
      </c>
      <c r="X313" s="110">
        <v>0.4</v>
      </c>
      <c r="Y313" s="110">
        <v>0.36</v>
      </c>
      <c r="Z313" s="110">
        <v>0.34</v>
      </c>
      <c r="AA313" s="110">
        <v>0.34</v>
      </c>
      <c r="AB313" s="110">
        <v>0.34</v>
      </c>
      <c r="AC313" s="110">
        <v>185</v>
      </c>
    </row>
    <row r="314" spans="2:29">
      <c r="B314" s="110">
        <v>252</v>
      </c>
      <c r="C314" s="110">
        <v>227</v>
      </c>
      <c r="D314" s="110">
        <v>312</v>
      </c>
      <c r="E314" s="110">
        <v>269</v>
      </c>
      <c r="F314" s="110">
        <v>352</v>
      </c>
      <c r="G314" s="110">
        <v>305</v>
      </c>
      <c r="H314" s="110">
        <v>430</v>
      </c>
      <c r="I314" s="110">
        <v>392</v>
      </c>
      <c r="J314" s="110">
        <v>375</v>
      </c>
      <c r="K314" s="110">
        <v>482</v>
      </c>
      <c r="L314" s="110">
        <v>447</v>
      </c>
      <c r="M314" s="110">
        <v>240</v>
      </c>
      <c r="U314" s="110">
        <v>0.3</v>
      </c>
      <c r="V314" s="110">
        <v>0.32</v>
      </c>
      <c r="W314" s="110">
        <v>0.3</v>
      </c>
      <c r="X314" s="110">
        <v>0.3</v>
      </c>
      <c r="Y314" s="110">
        <v>0.28000000000000003</v>
      </c>
      <c r="Z314" s="110">
        <v>0.26</v>
      </c>
      <c r="AA314" s="110">
        <v>0.26</v>
      </c>
      <c r="AB314" s="110">
        <v>0.26</v>
      </c>
      <c r="AC314" s="110">
        <v>240</v>
      </c>
    </row>
    <row r="315" spans="2:29">
      <c r="B315" s="110">
        <v>289</v>
      </c>
      <c r="C315" s="110">
        <v>261</v>
      </c>
      <c r="D315" s="110">
        <v>358</v>
      </c>
      <c r="E315" s="110">
        <v>306</v>
      </c>
      <c r="F315" s="110">
        <v>406</v>
      </c>
      <c r="G315" s="110">
        <v>351</v>
      </c>
      <c r="H315" s="110">
        <v>497</v>
      </c>
      <c r="I315" s="110">
        <v>455</v>
      </c>
      <c r="J315" s="110">
        <v>434</v>
      </c>
      <c r="K315" s="110">
        <v>557</v>
      </c>
      <c r="L315" s="110">
        <v>519</v>
      </c>
      <c r="M315" s="110">
        <v>300</v>
      </c>
      <c r="U315" s="110">
        <v>0.24</v>
      </c>
      <c r="V315" s="110">
        <v>0.26</v>
      </c>
      <c r="W315" s="110">
        <v>0.24</v>
      </c>
      <c r="X315" s="110">
        <v>0.24</v>
      </c>
      <c r="Y315" s="110">
        <v>0.23</v>
      </c>
      <c r="Z315" s="110">
        <v>0.21</v>
      </c>
      <c r="AA315" s="110">
        <v>0.21</v>
      </c>
      <c r="AB315" s="110">
        <v>0.21</v>
      </c>
      <c r="AC315" s="110">
        <v>300</v>
      </c>
    </row>
    <row r="316" spans="2:29">
      <c r="D316" s="110">
        <v>413</v>
      </c>
      <c r="E316" s="110">
        <v>352</v>
      </c>
      <c r="F316" s="110">
        <v>511</v>
      </c>
      <c r="G316" s="110">
        <v>472</v>
      </c>
      <c r="H316" s="110">
        <v>543</v>
      </c>
      <c r="I316" s="110">
        <v>502</v>
      </c>
      <c r="J316" s="110">
        <v>507</v>
      </c>
      <c r="K316" s="110">
        <v>625</v>
      </c>
      <c r="L316" s="110">
        <v>584</v>
      </c>
      <c r="M316" s="110">
        <v>380</v>
      </c>
      <c r="U316" s="110">
        <v>0.19</v>
      </c>
      <c r="V316" s="110">
        <v>0.22</v>
      </c>
      <c r="W316" s="110">
        <v>0.19500000000000001</v>
      </c>
      <c r="X316" s="110">
        <v>0.19500000000000001</v>
      </c>
      <c r="Y316" s="110">
        <v>0.19</v>
      </c>
      <c r="Z316" s="110">
        <v>0.17</v>
      </c>
      <c r="AA316" s="110">
        <v>0.17</v>
      </c>
      <c r="AB316" s="110">
        <v>0.17</v>
      </c>
      <c r="AC316" s="110">
        <v>380</v>
      </c>
    </row>
    <row r="317" spans="2:29">
      <c r="D317" s="110">
        <v>477</v>
      </c>
      <c r="E317" s="110">
        <v>405</v>
      </c>
      <c r="F317" s="110">
        <v>591</v>
      </c>
      <c r="G317" s="110">
        <v>546</v>
      </c>
      <c r="H317" s="110">
        <v>629</v>
      </c>
      <c r="I317" s="110">
        <v>582</v>
      </c>
      <c r="J317" s="110">
        <v>590</v>
      </c>
      <c r="K317" s="110">
        <v>726</v>
      </c>
      <c r="L317" s="110">
        <v>680</v>
      </c>
      <c r="M317" s="110">
        <v>480</v>
      </c>
      <c r="U317" s="110">
        <v>0.15</v>
      </c>
      <c r="V317" s="110">
        <v>0.18</v>
      </c>
      <c r="W317" s="110">
        <v>0.155</v>
      </c>
      <c r="X317" s="110">
        <v>0.155</v>
      </c>
      <c r="Y317" s="110">
        <v>0.155</v>
      </c>
      <c r="Z317" s="110">
        <v>0.14000000000000001</v>
      </c>
      <c r="AA317" s="110">
        <v>0.14000000000000001</v>
      </c>
      <c r="AB317" s="110">
        <v>0.13500000000000001</v>
      </c>
      <c r="AC317" s="110">
        <v>480</v>
      </c>
    </row>
    <row r="318" spans="2:29">
      <c r="D318" s="110">
        <v>545</v>
      </c>
      <c r="E318" s="110">
        <v>462</v>
      </c>
      <c r="F318" s="110">
        <v>679</v>
      </c>
      <c r="G318" s="110">
        <v>626</v>
      </c>
      <c r="H318" s="110">
        <v>722</v>
      </c>
      <c r="I318" s="110">
        <v>669</v>
      </c>
      <c r="J318" s="110">
        <v>680</v>
      </c>
      <c r="K318" s="110">
        <v>837</v>
      </c>
      <c r="L318" s="110">
        <v>787</v>
      </c>
      <c r="M318" s="110">
        <v>600</v>
      </c>
      <c r="U318" s="110">
        <v>0.12</v>
      </c>
      <c r="V318" s="110">
        <v>0.15</v>
      </c>
      <c r="W318" s="110">
        <v>0.13</v>
      </c>
      <c r="X318" s="110">
        <v>0.125</v>
      </c>
      <c r="Y318" s="110">
        <v>0.125</v>
      </c>
      <c r="Z318" s="110">
        <v>0.11</v>
      </c>
      <c r="AA318" s="110">
        <v>0.11</v>
      </c>
      <c r="AB318" s="110">
        <v>0.11</v>
      </c>
      <c r="AC318" s="110">
        <v>600</v>
      </c>
    </row>
    <row r="319" spans="2:29">
      <c r="F319" s="110">
        <v>771</v>
      </c>
      <c r="G319" s="110">
        <v>709</v>
      </c>
      <c r="H319" s="110">
        <v>820</v>
      </c>
      <c r="I319" s="110">
        <v>761</v>
      </c>
      <c r="J319" s="110">
        <v>776</v>
      </c>
      <c r="K319" s="110">
        <v>956</v>
      </c>
      <c r="L319" s="110">
        <v>902</v>
      </c>
      <c r="M319" s="110">
        <v>740</v>
      </c>
      <c r="U319" s="110">
        <v>9.9000000000000005E-2</v>
      </c>
      <c r="W319" s="110">
        <v>0.105</v>
      </c>
      <c r="X319" s="110">
        <v>0.1</v>
      </c>
      <c r="Z319" s="110">
        <v>9.4E-2</v>
      </c>
      <c r="AA319" s="110">
        <v>9.4E-2</v>
      </c>
      <c r="AB319" s="110">
        <v>8.8999999999999996E-2</v>
      </c>
      <c r="AC319" s="110">
        <v>740</v>
      </c>
    </row>
    <row r="320" spans="2:29">
      <c r="F320" s="110">
        <v>900</v>
      </c>
      <c r="G320" s="110">
        <v>823</v>
      </c>
      <c r="H320" s="110">
        <v>953</v>
      </c>
      <c r="I320" s="110">
        <v>886</v>
      </c>
      <c r="J320" s="110">
        <v>907</v>
      </c>
      <c r="K320" s="110">
        <v>1125</v>
      </c>
      <c r="L320" s="110">
        <v>1066</v>
      </c>
      <c r="M320" s="110">
        <v>960</v>
      </c>
      <c r="U320" s="110">
        <v>7.4999999999999997E-2</v>
      </c>
      <c r="W320" s="110">
        <v>8.5999999999999993E-2</v>
      </c>
      <c r="X320" s="110">
        <v>8.2000000000000003E-2</v>
      </c>
      <c r="Z320" s="110">
        <v>7.6999999999999999E-2</v>
      </c>
      <c r="AA320" s="110">
        <v>7.6999999999999999E-2</v>
      </c>
      <c r="AB320" s="110">
        <v>7.0999999999999994E-2</v>
      </c>
      <c r="AC320" s="110">
        <v>960</v>
      </c>
    </row>
    <row r="321" spans="2:29">
      <c r="F321" s="110">
        <v>1022</v>
      </c>
      <c r="G321" s="110">
        <v>926</v>
      </c>
      <c r="H321" s="110">
        <v>1073</v>
      </c>
      <c r="I321" s="110">
        <v>999</v>
      </c>
      <c r="J321" s="110">
        <v>1026</v>
      </c>
      <c r="K321" s="110">
        <v>1293</v>
      </c>
      <c r="L321" s="110">
        <v>1229</v>
      </c>
      <c r="M321" s="110">
        <v>1200</v>
      </c>
      <c r="U321" s="110">
        <v>0.06</v>
      </c>
      <c r="W321" s="110">
        <v>7.3999999999999996E-2</v>
      </c>
      <c r="X321" s="110">
        <v>6.8000000000000005E-2</v>
      </c>
      <c r="Z321" s="110">
        <v>6.6000000000000003E-2</v>
      </c>
      <c r="AA321" s="110">
        <v>6.6000000000000003E-2</v>
      </c>
      <c r="AB321" s="110">
        <v>5.8999999999999997E-2</v>
      </c>
      <c r="AC321" s="110">
        <v>1200</v>
      </c>
    </row>
    <row r="324" spans="2:29">
      <c r="B324" s="110" t="s">
        <v>2048</v>
      </c>
      <c r="U324" s="110" t="s">
        <v>2049</v>
      </c>
    </row>
    <row r="325" spans="2:29">
      <c r="I325" s="112"/>
    </row>
    <row r="326" spans="2:29" ht="34">
      <c r="B326" s="113" t="s">
        <v>1964</v>
      </c>
      <c r="C326" s="113" t="s">
        <v>1965</v>
      </c>
      <c r="D326" s="113" t="s">
        <v>1966</v>
      </c>
      <c r="E326" s="113" t="s">
        <v>1967</v>
      </c>
      <c r="F326" s="113" t="s">
        <v>1978</v>
      </c>
      <c r="G326" s="113" t="s">
        <v>1979</v>
      </c>
      <c r="H326" s="113" t="s">
        <v>1980</v>
      </c>
      <c r="I326" s="113" t="s">
        <v>1981</v>
      </c>
      <c r="J326" s="113" t="s">
        <v>1975</v>
      </c>
      <c r="U326" s="113" t="s">
        <v>1964</v>
      </c>
      <c r="V326" s="113" t="s">
        <v>1965</v>
      </c>
      <c r="W326" s="113" t="s">
        <v>1966</v>
      </c>
      <c r="X326" s="113" t="s">
        <v>1975</v>
      </c>
    </row>
    <row r="327" spans="2:29">
      <c r="B327" s="110">
        <v>44</v>
      </c>
      <c r="C327" s="110">
        <v>41</v>
      </c>
      <c r="D327" s="110">
        <v>54</v>
      </c>
      <c r="E327" s="110">
        <v>48</v>
      </c>
      <c r="F327" s="110">
        <v>66</v>
      </c>
      <c r="G327" s="110">
        <v>59</v>
      </c>
      <c r="H327" s="110">
        <v>73</v>
      </c>
      <c r="I327" s="110">
        <v>61</v>
      </c>
      <c r="J327" s="110">
        <v>16</v>
      </c>
      <c r="U327" s="110">
        <v>4.5</v>
      </c>
      <c r="V327" s="110">
        <v>4.5</v>
      </c>
      <c r="W327" s="110">
        <v>3.9</v>
      </c>
      <c r="X327" s="110">
        <v>16</v>
      </c>
    </row>
    <row r="328" spans="2:29">
      <c r="B328" s="110">
        <v>58</v>
      </c>
      <c r="C328" s="110">
        <v>53</v>
      </c>
      <c r="D328" s="110">
        <v>71</v>
      </c>
      <c r="E328" s="110">
        <v>62</v>
      </c>
      <c r="F328" s="110">
        <v>83</v>
      </c>
      <c r="G328" s="110">
        <v>73</v>
      </c>
      <c r="H328" s="110">
        <v>89</v>
      </c>
      <c r="I328" s="110">
        <v>78</v>
      </c>
      <c r="J328" s="110">
        <v>25</v>
      </c>
      <c r="U328" s="110">
        <v>2.9</v>
      </c>
      <c r="V328" s="110">
        <v>2.9</v>
      </c>
      <c r="W328" s="110">
        <v>2.5</v>
      </c>
      <c r="X328" s="110">
        <v>25</v>
      </c>
    </row>
    <row r="329" spans="2:29">
      <c r="B329" s="110">
        <v>71</v>
      </c>
      <c r="C329" s="110">
        <v>65</v>
      </c>
      <c r="D329" s="110">
        <v>86</v>
      </c>
      <c r="E329" s="110">
        <v>77</v>
      </c>
      <c r="F329" s="110">
        <v>103</v>
      </c>
      <c r="G329" s="110">
        <v>90</v>
      </c>
      <c r="H329" s="110">
        <v>111</v>
      </c>
      <c r="I329" s="110">
        <v>96</v>
      </c>
      <c r="J329" s="110">
        <v>35</v>
      </c>
      <c r="U329" s="110">
        <v>2.1</v>
      </c>
      <c r="V329" s="110">
        <v>2.1</v>
      </c>
      <c r="W329" s="110">
        <v>1.8</v>
      </c>
      <c r="X329" s="110">
        <v>35</v>
      </c>
    </row>
    <row r="330" spans="2:29">
      <c r="B330" s="110">
        <v>86</v>
      </c>
      <c r="C330" s="110">
        <v>78</v>
      </c>
      <c r="D330" s="110">
        <v>104</v>
      </c>
      <c r="E330" s="110">
        <v>92</v>
      </c>
      <c r="F330" s="110">
        <v>125</v>
      </c>
      <c r="G330" s="110">
        <v>110</v>
      </c>
      <c r="H330" s="110">
        <v>135</v>
      </c>
      <c r="I330" s="110">
        <v>117</v>
      </c>
      <c r="J330" s="110">
        <v>50</v>
      </c>
      <c r="U330" s="110">
        <v>1.55</v>
      </c>
      <c r="V330" s="110">
        <v>1.55</v>
      </c>
      <c r="W330" s="110">
        <v>1.35</v>
      </c>
      <c r="X330" s="110">
        <v>50</v>
      </c>
    </row>
    <row r="331" spans="2:29">
      <c r="B331" s="110">
        <v>108</v>
      </c>
      <c r="C331" s="110">
        <v>98</v>
      </c>
      <c r="D331" s="110">
        <v>131</v>
      </c>
      <c r="E331" s="110">
        <v>116</v>
      </c>
      <c r="F331" s="110">
        <v>160</v>
      </c>
      <c r="G331" s="110">
        <v>140</v>
      </c>
      <c r="H331" s="110">
        <v>173</v>
      </c>
      <c r="I331" s="110">
        <v>150</v>
      </c>
      <c r="J331" s="110">
        <v>70</v>
      </c>
      <c r="U331" s="110">
        <v>1.05</v>
      </c>
      <c r="V331" s="110">
        <v>1.05</v>
      </c>
      <c r="W331" s="110">
        <v>0.9</v>
      </c>
      <c r="X331" s="110">
        <v>70</v>
      </c>
    </row>
    <row r="332" spans="2:29">
      <c r="B332" s="110">
        <v>130</v>
      </c>
      <c r="C332" s="110">
        <v>118</v>
      </c>
      <c r="D332" s="110">
        <v>157</v>
      </c>
      <c r="E332" s="110">
        <v>139</v>
      </c>
      <c r="F332" s="110">
        <v>195</v>
      </c>
      <c r="G332" s="110">
        <v>170</v>
      </c>
      <c r="H332" s="110">
        <v>210</v>
      </c>
      <c r="I332" s="110">
        <v>183</v>
      </c>
      <c r="J332" s="110">
        <v>95</v>
      </c>
      <c r="U332" s="110">
        <v>0.77</v>
      </c>
      <c r="V332" s="110">
        <v>0.77</v>
      </c>
      <c r="W332" s="110">
        <v>0.67</v>
      </c>
      <c r="X332" s="110">
        <v>95</v>
      </c>
    </row>
    <row r="333" spans="2:29">
      <c r="C333" s="110">
        <v>135</v>
      </c>
      <c r="E333" s="110">
        <v>160</v>
      </c>
      <c r="G333" s="110">
        <v>197</v>
      </c>
      <c r="I333" s="110">
        <v>212</v>
      </c>
      <c r="J333" s="110">
        <v>120</v>
      </c>
      <c r="W333" s="110">
        <v>0.53</v>
      </c>
      <c r="X333" s="110">
        <v>120</v>
      </c>
    </row>
    <row r="334" spans="2:29">
      <c r="C334" s="110">
        <v>155</v>
      </c>
      <c r="E334" s="110">
        <v>176</v>
      </c>
      <c r="G334" s="110">
        <v>227</v>
      </c>
      <c r="I334" s="110">
        <v>245</v>
      </c>
      <c r="J334" s="110">
        <v>150</v>
      </c>
      <c r="W334" s="110">
        <v>0.42</v>
      </c>
      <c r="X334" s="110">
        <v>150</v>
      </c>
    </row>
    <row r="335" spans="2:29">
      <c r="C335" s="110">
        <v>176</v>
      </c>
      <c r="E335" s="110">
        <v>199</v>
      </c>
      <c r="G335" s="110">
        <v>259</v>
      </c>
      <c r="I335" s="110">
        <v>280</v>
      </c>
      <c r="J335" s="110">
        <v>185</v>
      </c>
      <c r="W335" s="110">
        <v>0.34</v>
      </c>
      <c r="X335" s="110">
        <v>185</v>
      </c>
    </row>
    <row r="336" spans="2:29">
      <c r="C336" s="110">
        <v>207</v>
      </c>
      <c r="E336" s="110">
        <v>232</v>
      </c>
      <c r="G336" s="110">
        <v>305</v>
      </c>
      <c r="I336" s="110">
        <v>330</v>
      </c>
      <c r="J336" s="110">
        <v>240</v>
      </c>
      <c r="W336" s="110">
        <v>0.26</v>
      </c>
      <c r="X336" s="110">
        <v>240</v>
      </c>
    </row>
    <row r="337" spans="2:27">
      <c r="C337" s="110">
        <v>237</v>
      </c>
      <c r="E337" s="110">
        <v>265</v>
      </c>
      <c r="G337" s="110">
        <v>351</v>
      </c>
      <c r="I337" s="110">
        <v>381</v>
      </c>
      <c r="J337" s="110">
        <v>300</v>
      </c>
      <c r="W337" s="110">
        <v>0.21</v>
      </c>
      <c r="X337" s="110">
        <v>300</v>
      </c>
    </row>
    <row r="340" spans="2:27">
      <c r="B340" s="110" t="s">
        <v>2050</v>
      </c>
      <c r="U340" s="110" t="s">
        <v>2051</v>
      </c>
    </row>
    <row r="341" spans="2:27">
      <c r="I341" s="112"/>
    </row>
    <row r="342" spans="2:27" ht="68">
      <c r="B342" s="113" t="s">
        <v>1968</v>
      </c>
      <c r="C342" s="113" t="s">
        <v>1990</v>
      </c>
      <c r="D342" s="113" t="s">
        <v>1970</v>
      </c>
      <c r="E342" s="113" t="s">
        <v>1971</v>
      </c>
      <c r="F342" s="113" t="s">
        <v>1972</v>
      </c>
      <c r="G342" s="113" t="s">
        <v>1991</v>
      </c>
      <c r="H342" s="113" t="s">
        <v>1992</v>
      </c>
      <c r="I342" s="113" t="s">
        <v>1993</v>
      </c>
      <c r="J342" s="113" t="s">
        <v>1994</v>
      </c>
      <c r="K342" s="113" t="s">
        <v>1995</v>
      </c>
      <c r="L342" s="113" t="s">
        <v>1996</v>
      </c>
      <c r="M342" s="114" t="s">
        <v>1975</v>
      </c>
      <c r="U342" s="113" t="s">
        <v>1964</v>
      </c>
      <c r="V342" s="113" t="s">
        <v>1965</v>
      </c>
      <c r="W342" s="113" t="s">
        <v>1966</v>
      </c>
      <c r="X342" s="113" t="s">
        <v>1967</v>
      </c>
      <c r="Y342" s="113" t="s">
        <v>1978</v>
      </c>
      <c r="Z342" s="113" t="s">
        <v>1979</v>
      </c>
      <c r="AA342" s="113" t="s">
        <v>1975</v>
      </c>
    </row>
    <row r="343" spans="2:27">
      <c r="B343" s="110">
        <v>143</v>
      </c>
      <c r="C343" s="110">
        <v>133</v>
      </c>
      <c r="D343" s="110">
        <v>152</v>
      </c>
      <c r="E343" s="110">
        <v>141</v>
      </c>
      <c r="F343" s="110">
        <v>131</v>
      </c>
      <c r="G343" s="110">
        <v>167</v>
      </c>
      <c r="H343" s="110">
        <v>157</v>
      </c>
      <c r="I343" s="110">
        <v>168</v>
      </c>
      <c r="J343" s="110">
        <v>159</v>
      </c>
      <c r="K343" s="110">
        <v>169</v>
      </c>
      <c r="L343" s="110">
        <v>155</v>
      </c>
      <c r="M343" s="115">
        <v>50</v>
      </c>
      <c r="U343" s="110">
        <v>1.55</v>
      </c>
      <c r="V343" s="110">
        <v>1.55</v>
      </c>
      <c r="W343" s="110">
        <v>1.55</v>
      </c>
      <c r="X343" s="110">
        <v>1.35</v>
      </c>
      <c r="Y343" s="110">
        <v>1.35</v>
      </c>
      <c r="Z343" s="110">
        <v>1.3</v>
      </c>
      <c r="AA343" s="110">
        <v>50</v>
      </c>
    </row>
    <row r="344" spans="2:27">
      <c r="B344" s="110">
        <v>183</v>
      </c>
      <c r="C344" s="110">
        <v>168</v>
      </c>
      <c r="D344" s="110">
        <v>194</v>
      </c>
      <c r="E344" s="110">
        <v>178</v>
      </c>
      <c r="F344" s="110">
        <v>168</v>
      </c>
      <c r="G344" s="110">
        <v>214</v>
      </c>
      <c r="H344" s="110">
        <v>202</v>
      </c>
      <c r="I344" s="110">
        <v>212</v>
      </c>
      <c r="J344" s="110">
        <v>200</v>
      </c>
      <c r="K344" s="110">
        <v>213</v>
      </c>
      <c r="L344" s="110">
        <v>196</v>
      </c>
      <c r="M344" s="110">
        <v>70</v>
      </c>
      <c r="U344" s="110">
        <v>1.05</v>
      </c>
      <c r="V344" s="110">
        <v>1.05</v>
      </c>
      <c r="W344" s="110">
        <v>1.05</v>
      </c>
      <c r="X344" s="110">
        <v>0.92</v>
      </c>
      <c r="Y344" s="110">
        <v>0.93</v>
      </c>
      <c r="Z344" s="110">
        <v>0.95</v>
      </c>
      <c r="AA344" s="110">
        <v>70</v>
      </c>
    </row>
    <row r="345" spans="2:27">
      <c r="B345" s="110">
        <v>221</v>
      </c>
      <c r="C345" s="110">
        <v>202</v>
      </c>
      <c r="D345" s="110">
        <v>234</v>
      </c>
      <c r="E345" s="110">
        <v>214</v>
      </c>
      <c r="F345" s="110">
        <v>205</v>
      </c>
      <c r="G345" s="110">
        <v>261</v>
      </c>
      <c r="H345" s="110">
        <v>247</v>
      </c>
      <c r="I345" s="110">
        <v>259</v>
      </c>
      <c r="J345" s="110">
        <v>245</v>
      </c>
      <c r="K345" s="110">
        <v>255</v>
      </c>
      <c r="L345" s="110">
        <v>236</v>
      </c>
      <c r="M345" s="115">
        <v>95</v>
      </c>
      <c r="U345" s="110">
        <v>0.77</v>
      </c>
      <c r="V345" s="110">
        <v>0.78</v>
      </c>
      <c r="W345" s="110">
        <v>0.81</v>
      </c>
      <c r="X345" s="110">
        <v>0.68</v>
      </c>
      <c r="Y345" s="110">
        <v>0.7</v>
      </c>
      <c r="Z345" s="110">
        <v>0.73</v>
      </c>
      <c r="AA345" s="110">
        <v>95</v>
      </c>
    </row>
    <row r="346" spans="2:27">
      <c r="B346" s="110">
        <v>255</v>
      </c>
      <c r="C346" s="110">
        <v>233</v>
      </c>
      <c r="D346" s="110">
        <v>270</v>
      </c>
      <c r="E346" s="110">
        <v>246</v>
      </c>
      <c r="F346" s="110">
        <v>238</v>
      </c>
      <c r="G346" s="110">
        <v>303</v>
      </c>
      <c r="H346" s="110">
        <v>288</v>
      </c>
      <c r="I346" s="110">
        <v>299</v>
      </c>
      <c r="J346" s="110">
        <v>285</v>
      </c>
      <c r="K346" s="110">
        <v>293</v>
      </c>
      <c r="L346" s="110">
        <v>272</v>
      </c>
      <c r="M346" s="110">
        <v>120</v>
      </c>
      <c r="U346" s="110">
        <v>0.61</v>
      </c>
      <c r="V346" s="110">
        <v>0.62</v>
      </c>
      <c r="W346" s="110">
        <v>0.65</v>
      </c>
      <c r="X346" s="110">
        <v>0.54</v>
      </c>
      <c r="Y346" s="110">
        <v>0.56999999999999995</v>
      </c>
      <c r="Z346" s="110">
        <v>0.6</v>
      </c>
      <c r="AA346" s="110">
        <v>120</v>
      </c>
    </row>
    <row r="347" spans="2:27">
      <c r="B347" s="110">
        <v>294</v>
      </c>
      <c r="C347" s="110">
        <v>267</v>
      </c>
      <c r="D347" s="110">
        <v>310</v>
      </c>
      <c r="E347" s="110">
        <v>282</v>
      </c>
      <c r="F347" s="110">
        <v>275</v>
      </c>
      <c r="G347" s="110">
        <v>349</v>
      </c>
      <c r="H347" s="110">
        <v>333</v>
      </c>
      <c r="I347" s="110">
        <v>340</v>
      </c>
      <c r="J347" s="110">
        <v>323</v>
      </c>
      <c r="K347" s="110">
        <v>334</v>
      </c>
      <c r="L347" s="110">
        <v>312</v>
      </c>
      <c r="M347" s="115">
        <v>150</v>
      </c>
      <c r="U347" s="110">
        <v>0.49</v>
      </c>
      <c r="V347" s="110">
        <v>0.5</v>
      </c>
      <c r="W347" s="110">
        <v>0.53</v>
      </c>
      <c r="X347" s="110">
        <v>0.44</v>
      </c>
      <c r="Y347" s="110">
        <v>0.46</v>
      </c>
      <c r="Z347" s="110">
        <v>0.5</v>
      </c>
      <c r="AA347" s="110">
        <v>150</v>
      </c>
    </row>
    <row r="348" spans="2:27">
      <c r="B348" s="110">
        <v>334</v>
      </c>
      <c r="C348" s="110">
        <v>303</v>
      </c>
      <c r="D348" s="110">
        <v>352</v>
      </c>
      <c r="E348" s="110">
        <v>319</v>
      </c>
      <c r="F348" s="110">
        <v>315</v>
      </c>
      <c r="G348" s="110">
        <v>400</v>
      </c>
      <c r="H348" s="110">
        <v>382</v>
      </c>
      <c r="I348" s="110">
        <v>389</v>
      </c>
      <c r="J348" s="110">
        <v>371</v>
      </c>
      <c r="K348" s="110">
        <v>379</v>
      </c>
      <c r="L348" s="110">
        <v>354</v>
      </c>
      <c r="M348" s="110">
        <v>185</v>
      </c>
      <c r="U348" s="110">
        <v>0.39</v>
      </c>
      <c r="V348" s="110">
        <v>0.41</v>
      </c>
      <c r="W348" s="110">
        <v>0.44</v>
      </c>
      <c r="X348" s="110">
        <v>0.35</v>
      </c>
      <c r="Y348" s="110">
        <v>0.38</v>
      </c>
      <c r="Z348" s="110">
        <v>0.45100000000000001</v>
      </c>
      <c r="AA348" s="110">
        <v>185</v>
      </c>
    </row>
    <row r="349" spans="2:27">
      <c r="B349" s="110">
        <v>393</v>
      </c>
      <c r="C349" s="110">
        <v>354</v>
      </c>
      <c r="D349" s="110">
        <v>413</v>
      </c>
      <c r="E349" s="110">
        <v>374</v>
      </c>
      <c r="F349" s="110">
        <v>372</v>
      </c>
      <c r="G349" s="110">
        <v>472</v>
      </c>
      <c r="H349" s="110">
        <v>452</v>
      </c>
      <c r="I349" s="110">
        <v>457</v>
      </c>
      <c r="J349" s="110">
        <v>437</v>
      </c>
      <c r="K349" s="110">
        <v>443</v>
      </c>
      <c r="L349" s="110">
        <v>415</v>
      </c>
      <c r="M349" s="115">
        <v>240</v>
      </c>
      <c r="U349" s="110">
        <v>0.3</v>
      </c>
      <c r="V349" s="110">
        <v>0.32</v>
      </c>
      <c r="W349" s="110">
        <v>0.34</v>
      </c>
      <c r="X349" s="110">
        <v>28</v>
      </c>
      <c r="Y349" s="110">
        <v>0.3</v>
      </c>
      <c r="Z349" s="110">
        <v>0.33</v>
      </c>
      <c r="AA349" s="110">
        <v>240</v>
      </c>
    </row>
    <row r="350" spans="2:27">
      <c r="B350" s="110">
        <v>452</v>
      </c>
      <c r="C350" s="110">
        <v>405</v>
      </c>
      <c r="D350" s="110">
        <v>474</v>
      </c>
      <c r="E350" s="110">
        <v>427</v>
      </c>
      <c r="F350" s="110">
        <v>430</v>
      </c>
      <c r="G350" s="110">
        <v>545</v>
      </c>
      <c r="H350" s="110">
        <v>523</v>
      </c>
      <c r="I350" s="110">
        <v>520</v>
      </c>
      <c r="J350" s="110">
        <v>498</v>
      </c>
      <c r="K350" s="110">
        <v>505</v>
      </c>
      <c r="L350" s="110">
        <v>475</v>
      </c>
      <c r="M350" s="110">
        <v>300</v>
      </c>
      <c r="U350" s="110">
        <v>0.24</v>
      </c>
      <c r="V350" s="110">
        <v>0.26</v>
      </c>
      <c r="W350" s="110">
        <v>0.28000000000000003</v>
      </c>
      <c r="X350" s="110">
        <v>0.22</v>
      </c>
      <c r="Y350" s="110">
        <v>0.24</v>
      </c>
      <c r="Z350" s="110">
        <v>0.28000000000000003</v>
      </c>
      <c r="AA350" s="110">
        <v>300</v>
      </c>
    </row>
    <row r="351" spans="2:27">
      <c r="B351" s="110">
        <v>518</v>
      </c>
      <c r="C351" s="110">
        <v>452</v>
      </c>
      <c r="D351" s="110">
        <v>543</v>
      </c>
      <c r="E351" s="110">
        <v>479</v>
      </c>
      <c r="F351" s="110">
        <v>497</v>
      </c>
      <c r="G351" s="110">
        <v>638</v>
      </c>
      <c r="H351" s="110">
        <v>613</v>
      </c>
      <c r="I351" s="110">
        <v>583</v>
      </c>
      <c r="J351" s="110">
        <v>559</v>
      </c>
      <c r="K351" s="110">
        <v>551</v>
      </c>
      <c r="L351" s="110">
        <v>518</v>
      </c>
      <c r="M351" s="110">
        <v>380</v>
      </c>
      <c r="U351" s="110">
        <v>0.19</v>
      </c>
      <c r="V351" s="110">
        <v>0.22</v>
      </c>
      <c r="W351" s="110">
        <v>0.26</v>
      </c>
      <c r="X351" s="110">
        <v>0.185</v>
      </c>
      <c r="Y351" s="110">
        <v>0.22</v>
      </c>
      <c r="Z351" s="110">
        <v>0.27</v>
      </c>
      <c r="AA351" s="110">
        <v>380</v>
      </c>
    </row>
    <row r="352" spans="2:27">
      <c r="B352" s="110">
        <v>586</v>
      </c>
      <c r="C352" s="110">
        <v>501</v>
      </c>
      <c r="D352" s="110">
        <v>616</v>
      </c>
      <c r="E352" s="110">
        <v>534</v>
      </c>
      <c r="F352" s="110">
        <v>568</v>
      </c>
      <c r="G352" s="110">
        <v>742</v>
      </c>
      <c r="H352" s="110">
        <v>715</v>
      </c>
      <c r="I352" s="110">
        <v>655</v>
      </c>
      <c r="J352" s="110">
        <v>629</v>
      </c>
      <c r="K352" s="110">
        <v>604</v>
      </c>
      <c r="L352" s="110">
        <v>568</v>
      </c>
      <c r="M352" s="110">
        <v>480</v>
      </c>
      <c r="U352" s="110">
        <v>0.15</v>
      </c>
      <c r="V352" s="110">
        <v>0.18</v>
      </c>
      <c r="W352" s="110">
        <v>0.22</v>
      </c>
      <c r="X352" s="110">
        <v>0.155</v>
      </c>
      <c r="Y352" s="110">
        <v>0.19500000000000001</v>
      </c>
      <c r="Z352" s="110">
        <v>0.24</v>
      </c>
      <c r="AA352" s="110">
        <v>480</v>
      </c>
    </row>
    <row r="353" spans="2:27">
      <c r="B353" s="110">
        <v>658</v>
      </c>
      <c r="C353" s="110">
        <v>550</v>
      </c>
      <c r="D353" s="110">
        <v>692</v>
      </c>
      <c r="E353" s="110">
        <v>589</v>
      </c>
      <c r="F353" s="110">
        <v>642</v>
      </c>
      <c r="G353" s="110">
        <v>859</v>
      </c>
      <c r="H353" s="110">
        <v>828</v>
      </c>
      <c r="I353" s="110">
        <v>724</v>
      </c>
      <c r="J353" s="110">
        <v>696</v>
      </c>
      <c r="K353" s="110">
        <v>656</v>
      </c>
      <c r="L353" s="110">
        <v>618</v>
      </c>
      <c r="M353" s="110">
        <v>600</v>
      </c>
      <c r="U353" s="110">
        <v>0.12</v>
      </c>
      <c r="V353" s="110">
        <v>0.15</v>
      </c>
      <c r="W353" s="110">
        <v>0.19500000000000001</v>
      </c>
      <c r="X353" s="110">
        <v>0.13</v>
      </c>
      <c r="Y353" s="110">
        <v>0.17</v>
      </c>
      <c r="Z353" s="110">
        <v>0.21</v>
      </c>
      <c r="AA353" s="110">
        <v>600</v>
      </c>
    </row>
    <row r="354" spans="2:27">
      <c r="B354" s="110">
        <v>728</v>
      </c>
      <c r="C354" s="110">
        <v>596</v>
      </c>
      <c r="D354" s="110">
        <v>769</v>
      </c>
      <c r="E354" s="110">
        <v>642</v>
      </c>
      <c r="F354" s="110">
        <v>715</v>
      </c>
      <c r="G354" s="110">
        <v>986</v>
      </c>
      <c r="H354" s="110">
        <v>952</v>
      </c>
      <c r="I354" s="110">
        <v>802</v>
      </c>
      <c r="J354" s="110">
        <v>770</v>
      </c>
      <c r="K354" s="110">
        <v>707</v>
      </c>
      <c r="L354" s="110">
        <v>666</v>
      </c>
      <c r="M354" s="110">
        <v>740</v>
      </c>
      <c r="U354" s="110">
        <v>9.7000000000000003E-2</v>
      </c>
      <c r="V354" s="110">
        <v>0.13500000000000001</v>
      </c>
      <c r="W354" s="110">
        <v>0.18</v>
      </c>
      <c r="X354" s="110">
        <v>0.115</v>
      </c>
      <c r="Y354" s="110">
        <v>0.16</v>
      </c>
      <c r="Z354" s="110">
        <v>0.2</v>
      </c>
      <c r="AA354" s="110">
        <v>740</v>
      </c>
    </row>
    <row r="355" spans="2:27">
      <c r="B355" s="110">
        <v>819</v>
      </c>
      <c r="C355" s="110">
        <v>651</v>
      </c>
      <c r="D355" s="110">
        <v>868</v>
      </c>
      <c r="E355" s="110">
        <v>706</v>
      </c>
      <c r="F355" s="110">
        <v>808</v>
      </c>
      <c r="G355" s="110">
        <v>1171</v>
      </c>
      <c r="H355" s="110">
        <v>1133</v>
      </c>
      <c r="I355" s="110">
        <v>866</v>
      </c>
      <c r="J355" s="110">
        <v>832</v>
      </c>
      <c r="K355" s="110">
        <v>770</v>
      </c>
      <c r="L355" s="110">
        <v>726</v>
      </c>
      <c r="M355" s="110">
        <v>960</v>
      </c>
      <c r="U355" s="110">
        <v>7.4999999999999997E-2</v>
      </c>
      <c r="V355" s="110">
        <v>0.115</v>
      </c>
      <c r="W355" s="110">
        <v>0.16500000000000001</v>
      </c>
      <c r="X355" s="110">
        <v>0.1</v>
      </c>
      <c r="Y355" s="110">
        <v>0.15</v>
      </c>
      <c r="Z355" s="110">
        <v>0.19</v>
      </c>
      <c r="AA355" s="110">
        <v>960</v>
      </c>
    </row>
    <row r="356" spans="2:27">
      <c r="B356" s="110">
        <v>893</v>
      </c>
      <c r="C356" s="110">
        <v>692</v>
      </c>
      <c r="D356" s="110">
        <v>952</v>
      </c>
      <c r="E356" s="110">
        <v>756</v>
      </c>
      <c r="F356" s="110">
        <v>880</v>
      </c>
      <c r="G356" s="110">
        <v>1360</v>
      </c>
      <c r="H356" s="110">
        <v>1317</v>
      </c>
      <c r="I356" s="110">
        <v>938</v>
      </c>
      <c r="J356" s="110">
        <v>902</v>
      </c>
      <c r="K356" s="110">
        <v>822</v>
      </c>
      <c r="L356" s="110">
        <v>774</v>
      </c>
      <c r="M356" s="110">
        <v>1200</v>
      </c>
      <c r="U356" s="110">
        <v>0.06</v>
      </c>
      <c r="V356" s="110">
        <v>0.11</v>
      </c>
      <c r="W356" s="110">
        <v>0.16</v>
      </c>
      <c r="X356" s="110">
        <v>9.4E-2</v>
      </c>
      <c r="Y356" s="110">
        <v>0.14499999999999999</v>
      </c>
      <c r="Z356" s="110">
        <v>0.185</v>
      </c>
      <c r="AA356" s="110">
        <v>1200</v>
      </c>
    </row>
    <row r="359" spans="2:27">
      <c r="B359" s="110" t="s">
        <v>2052</v>
      </c>
      <c r="U359" s="110" t="s">
        <v>2053</v>
      </c>
    </row>
    <row r="360" spans="2:27">
      <c r="I360" s="112"/>
    </row>
    <row r="361" spans="2:27" ht="34">
      <c r="B361" s="113" t="s">
        <v>1978</v>
      </c>
      <c r="C361" s="113" t="s">
        <v>1999</v>
      </c>
      <c r="D361" s="113" t="s">
        <v>1980</v>
      </c>
      <c r="E361" s="113" t="s">
        <v>2000</v>
      </c>
      <c r="F361" s="113" t="s">
        <v>2001</v>
      </c>
      <c r="G361" s="113" t="s">
        <v>2002</v>
      </c>
      <c r="H361" s="113" t="s">
        <v>1975</v>
      </c>
      <c r="U361" s="113" t="s">
        <v>1964</v>
      </c>
      <c r="V361" s="113" t="s">
        <v>1965</v>
      </c>
      <c r="W361" s="113" t="s">
        <v>1966</v>
      </c>
      <c r="X361" s="113" t="s">
        <v>1975</v>
      </c>
    </row>
    <row r="362" spans="2:27">
      <c r="B362" s="110">
        <v>68</v>
      </c>
      <c r="C362" s="110">
        <v>58</v>
      </c>
      <c r="D362" s="110">
        <v>71</v>
      </c>
      <c r="E362" s="110">
        <v>61</v>
      </c>
      <c r="H362" s="110">
        <v>16</v>
      </c>
      <c r="U362" s="110">
        <v>4.5</v>
      </c>
      <c r="V362" s="110">
        <v>4.5</v>
      </c>
      <c r="W362" s="110">
        <v>3.9</v>
      </c>
      <c r="X362" s="110">
        <v>16</v>
      </c>
    </row>
    <row r="363" spans="2:27">
      <c r="B363" s="110">
        <v>89</v>
      </c>
      <c r="C363" s="110">
        <v>76</v>
      </c>
      <c r="D363" s="110">
        <v>94</v>
      </c>
      <c r="E363" s="110">
        <v>80</v>
      </c>
      <c r="F363" s="110">
        <v>77</v>
      </c>
      <c r="G363" s="110">
        <v>64</v>
      </c>
      <c r="H363" s="110">
        <v>25</v>
      </c>
      <c r="U363" s="110">
        <v>2.9</v>
      </c>
      <c r="V363" s="110">
        <v>2.9</v>
      </c>
      <c r="W363" s="110">
        <v>2.5</v>
      </c>
      <c r="X363" s="110">
        <v>25</v>
      </c>
    </row>
    <row r="364" spans="2:27">
      <c r="B364" s="110">
        <v>109</v>
      </c>
      <c r="C364" s="110">
        <v>94</v>
      </c>
      <c r="D364" s="110">
        <v>115</v>
      </c>
      <c r="E364" s="110">
        <v>99</v>
      </c>
      <c r="F364" s="110">
        <v>93</v>
      </c>
      <c r="G364" s="110">
        <v>77</v>
      </c>
      <c r="H364" s="110">
        <v>35</v>
      </c>
      <c r="U364" s="110">
        <v>2.1</v>
      </c>
      <c r="V364" s="110">
        <v>2.1</v>
      </c>
      <c r="W364" s="110">
        <v>1.8</v>
      </c>
      <c r="X364" s="110">
        <v>35</v>
      </c>
    </row>
    <row r="365" spans="2:27">
      <c r="B365" s="110">
        <v>131</v>
      </c>
      <c r="C365" s="110">
        <v>113</v>
      </c>
      <c r="D365" s="110">
        <v>139</v>
      </c>
      <c r="E365" s="110">
        <v>119</v>
      </c>
      <c r="F365" s="110">
        <v>109</v>
      </c>
      <c r="G365" s="110">
        <v>91</v>
      </c>
      <c r="H365" s="110">
        <v>50</v>
      </c>
      <c r="U365" s="110">
        <v>1.55</v>
      </c>
      <c r="V365" s="110">
        <v>1.55</v>
      </c>
      <c r="W365" s="110">
        <v>1.35</v>
      </c>
      <c r="X365" s="110">
        <v>50</v>
      </c>
    </row>
    <row r="366" spans="2:27">
      <c r="B366" s="110">
        <v>165</v>
      </c>
      <c r="C366" s="110">
        <v>143</v>
      </c>
      <c r="D366" s="110">
        <v>175</v>
      </c>
      <c r="E366" s="110">
        <v>151</v>
      </c>
      <c r="F366" s="110">
        <v>135</v>
      </c>
      <c r="G366" s="110">
        <v>112</v>
      </c>
      <c r="H366" s="110">
        <v>70</v>
      </c>
      <c r="U366" s="110">
        <v>1.05</v>
      </c>
      <c r="V366" s="110">
        <v>1.05</v>
      </c>
      <c r="W366" s="110">
        <v>0.9</v>
      </c>
      <c r="X366" s="110">
        <v>70</v>
      </c>
    </row>
    <row r="367" spans="2:27">
      <c r="B367" s="110">
        <v>199</v>
      </c>
      <c r="C367" s="110">
        <v>174</v>
      </c>
      <c r="D367" s="110">
        <v>211</v>
      </c>
      <c r="E367" s="110">
        <v>186</v>
      </c>
      <c r="F367" s="110">
        <v>159</v>
      </c>
      <c r="G367" s="110">
        <v>132</v>
      </c>
      <c r="H367" s="110">
        <v>95</v>
      </c>
      <c r="U367" s="110">
        <v>0.77</v>
      </c>
      <c r="V367" s="110">
        <v>0.77</v>
      </c>
      <c r="W367" s="110">
        <v>0.67</v>
      </c>
      <c r="X367" s="110">
        <v>95</v>
      </c>
    </row>
    <row r="368" spans="2:27">
      <c r="C368" s="110">
        <v>202</v>
      </c>
      <c r="E368" s="110">
        <v>216</v>
      </c>
      <c r="G368" s="110">
        <v>150</v>
      </c>
      <c r="H368" s="110">
        <v>120</v>
      </c>
      <c r="W368" s="110">
        <v>0.53</v>
      </c>
      <c r="X368" s="110">
        <v>120</v>
      </c>
    </row>
    <row r="369" spans="2:29">
      <c r="C369" s="110">
        <v>232</v>
      </c>
      <c r="E369" s="110">
        <v>250</v>
      </c>
      <c r="G369" s="110">
        <v>169</v>
      </c>
      <c r="H369" s="110">
        <v>150</v>
      </c>
      <c r="W369" s="110">
        <v>0.42</v>
      </c>
      <c r="X369" s="110">
        <v>150</v>
      </c>
    </row>
    <row r="370" spans="2:29">
      <c r="C370" s="110">
        <v>265</v>
      </c>
      <c r="E370" s="110">
        <v>287</v>
      </c>
      <c r="G370" s="110">
        <v>190</v>
      </c>
      <c r="H370" s="110">
        <v>185</v>
      </c>
      <c r="W370" s="110">
        <v>0.34</v>
      </c>
      <c r="X370" s="110">
        <v>185</v>
      </c>
    </row>
    <row r="371" spans="2:29">
      <c r="C371" s="110">
        <v>312</v>
      </c>
      <c r="E371" s="110">
        <v>342</v>
      </c>
      <c r="G371" s="110">
        <v>218</v>
      </c>
      <c r="H371" s="110">
        <v>240</v>
      </c>
      <c r="W371" s="110">
        <v>0.26</v>
      </c>
      <c r="X371" s="110">
        <v>240</v>
      </c>
    </row>
    <row r="372" spans="2:29">
      <c r="C372" s="110">
        <v>360</v>
      </c>
      <c r="E372" s="110">
        <v>399</v>
      </c>
      <c r="G372" s="110">
        <v>247</v>
      </c>
      <c r="H372" s="110">
        <v>300</v>
      </c>
      <c r="W372" s="110">
        <v>0.21</v>
      </c>
      <c r="X372" s="110">
        <v>300</v>
      </c>
    </row>
    <row r="375" spans="2:29">
      <c r="B375" s="110" t="s">
        <v>2054</v>
      </c>
      <c r="U375" s="110" t="s">
        <v>2055</v>
      </c>
    </row>
    <row r="376" spans="2:29">
      <c r="I376" s="112"/>
    </row>
    <row r="377" spans="2:29" ht="68">
      <c r="B377" s="113" t="s">
        <v>1964</v>
      </c>
      <c r="C377" s="113" t="s">
        <v>1965</v>
      </c>
      <c r="D377" s="113" t="s">
        <v>1966</v>
      </c>
      <c r="E377" s="113" t="s">
        <v>1967</v>
      </c>
      <c r="F377" s="113" t="s">
        <v>1968</v>
      </c>
      <c r="G377" s="113" t="s">
        <v>1969</v>
      </c>
      <c r="H377" s="113" t="s">
        <v>1970</v>
      </c>
      <c r="I377" s="113" t="s">
        <v>1971</v>
      </c>
      <c r="J377" s="113" t="s">
        <v>1972</v>
      </c>
      <c r="K377" s="113" t="s">
        <v>2014</v>
      </c>
      <c r="L377" s="113" t="s">
        <v>1974</v>
      </c>
      <c r="M377" s="114" t="s">
        <v>1975</v>
      </c>
      <c r="U377" s="113" t="s">
        <v>1964</v>
      </c>
      <c r="V377" s="113" t="s">
        <v>1965</v>
      </c>
      <c r="W377" s="113" t="s">
        <v>1966</v>
      </c>
      <c r="X377" s="113" t="s">
        <v>1967</v>
      </c>
      <c r="Y377" s="113" t="s">
        <v>1978</v>
      </c>
      <c r="Z377" s="113" t="s">
        <v>1979</v>
      </c>
      <c r="AA377" s="113" t="s">
        <v>2046</v>
      </c>
      <c r="AB377" s="113" t="s">
        <v>2047</v>
      </c>
      <c r="AC377" s="113" t="s">
        <v>1975</v>
      </c>
    </row>
    <row r="378" spans="2:29">
      <c r="B378" s="110">
        <v>125</v>
      </c>
      <c r="C378" s="110">
        <v>113</v>
      </c>
      <c r="D378" s="110">
        <v>157</v>
      </c>
      <c r="E378" s="110">
        <v>140</v>
      </c>
      <c r="F378" s="110">
        <v>154</v>
      </c>
      <c r="G378" s="110">
        <v>136</v>
      </c>
      <c r="H378" s="110">
        <v>184</v>
      </c>
      <c r="I378" s="110">
        <v>165</v>
      </c>
      <c r="J378" s="110">
        <v>159</v>
      </c>
      <c r="K378" s="110">
        <v>210</v>
      </c>
      <c r="L378" s="110">
        <v>188</v>
      </c>
      <c r="M378" s="110">
        <v>50</v>
      </c>
      <c r="U378" s="110">
        <v>1.65</v>
      </c>
      <c r="V378" s="110">
        <v>1.7</v>
      </c>
      <c r="W378" s="110">
        <v>1.65</v>
      </c>
      <c r="X378" s="110">
        <v>1.65</v>
      </c>
      <c r="Y378" s="110">
        <v>1.44</v>
      </c>
      <c r="Z378" s="110">
        <v>1.44</v>
      </c>
      <c r="AA378" s="110">
        <v>1.44</v>
      </c>
      <c r="AB378" s="110">
        <v>1.44</v>
      </c>
      <c r="AC378" s="110">
        <v>50</v>
      </c>
    </row>
    <row r="379" spans="2:29">
      <c r="B379" s="110">
        <v>158</v>
      </c>
      <c r="C379" s="110">
        <v>142</v>
      </c>
      <c r="D379" s="110">
        <v>200</v>
      </c>
      <c r="E379" s="110">
        <v>179</v>
      </c>
      <c r="F379" s="110">
        <v>198</v>
      </c>
      <c r="G379" s="110">
        <v>174</v>
      </c>
      <c r="H379" s="110">
        <v>237</v>
      </c>
      <c r="I379" s="110">
        <v>215</v>
      </c>
      <c r="J379" s="110">
        <v>206</v>
      </c>
      <c r="K379" s="110">
        <v>271</v>
      </c>
      <c r="L379" s="110">
        <v>244</v>
      </c>
      <c r="M379" s="110">
        <v>70</v>
      </c>
      <c r="U379" s="110">
        <v>1.1299999999999999</v>
      </c>
      <c r="V379" s="110">
        <v>1.17</v>
      </c>
      <c r="W379" s="110">
        <v>1.1200000000000001</v>
      </c>
      <c r="X379" s="110">
        <v>1.1200000000000001</v>
      </c>
      <c r="Y379" s="110">
        <v>1</v>
      </c>
      <c r="Z379" s="110">
        <v>0.97</v>
      </c>
      <c r="AA379" s="110">
        <v>0.97</v>
      </c>
      <c r="AB379" s="110">
        <v>0.97</v>
      </c>
      <c r="AC379" s="110">
        <v>70</v>
      </c>
    </row>
    <row r="380" spans="2:29">
      <c r="B380" s="110">
        <v>191</v>
      </c>
      <c r="C380" s="110">
        <v>171</v>
      </c>
      <c r="D380" s="110">
        <v>242</v>
      </c>
      <c r="E380" s="110">
        <v>217</v>
      </c>
      <c r="F380" s="110">
        <v>241</v>
      </c>
      <c r="G380" s="110">
        <v>211</v>
      </c>
      <c r="H380" s="110">
        <v>289</v>
      </c>
      <c r="I380" s="110">
        <v>264</v>
      </c>
      <c r="J380" s="110">
        <v>253</v>
      </c>
      <c r="K380" s="110">
        <v>332</v>
      </c>
      <c r="L380" s="110">
        <v>300</v>
      </c>
      <c r="M380" s="110">
        <v>95</v>
      </c>
      <c r="U380" s="110">
        <v>0.82</v>
      </c>
      <c r="V380" s="110">
        <v>0.86</v>
      </c>
      <c r="W380" s="110">
        <v>0.82</v>
      </c>
      <c r="X380" s="110">
        <v>0.82</v>
      </c>
      <c r="Y380" s="110">
        <v>0.75</v>
      </c>
      <c r="Z380" s="110">
        <v>0.71</v>
      </c>
      <c r="AA380" s="110">
        <v>0.71</v>
      </c>
      <c r="AB380" s="110">
        <v>0.71</v>
      </c>
      <c r="AC380" s="110">
        <v>95</v>
      </c>
    </row>
    <row r="381" spans="2:29">
      <c r="B381" s="110">
        <v>220</v>
      </c>
      <c r="C381" s="110">
        <v>197</v>
      </c>
      <c r="D381" s="110">
        <v>281</v>
      </c>
      <c r="E381" s="110">
        <v>251</v>
      </c>
      <c r="F381" s="110">
        <v>280</v>
      </c>
      <c r="G381" s="110">
        <v>245</v>
      </c>
      <c r="H381" s="110">
        <v>337</v>
      </c>
      <c r="I381" s="110">
        <v>308</v>
      </c>
      <c r="J381" s="110">
        <v>296</v>
      </c>
      <c r="K381" s="110">
        <v>387</v>
      </c>
      <c r="L381" s="110">
        <v>351</v>
      </c>
      <c r="M381" s="110">
        <v>120</v>
      </c>
      <c r="U381" s="110">
        <v>0.65</v>
      </c>
      <c r="V381" s="110">
        <v>0.68</v>
      </c>
      <c r="W381" s="110">
        <v>0.65</v>
      </c>
      <c r="X381" s="110">
        <v>0.65</v>
      </c>
      <c r="Y381" s="110">
        <v>0.59</v>
      </c>
      <c r="Z381" s="110">
        <v>0.56999999999999995</v>
      </c>
      <c r="AA381" s="110">
        <v>0.56999999999999995</v>
      </c>
      <c r="AB381" s="110">
        <v>0.56999999999999995</v>
      </c>
      <c r="AC381" s="110">
        <v>120</v>
      </c>
    </row>
    <row r="382" spans="2:29">
      <c r="B382" s="110">
        <v>253</v>
      </c>
      <c r="C382" s="110">
        <v>226</v>
      </c>
      <c r="D382" s="110">
        <v>307</v>
      </c>
      <c r="E382" s="110">
        <v>267</v>
      </c>
      <c r="F382" s="110">
        <v>324</v>
      </c>
      <c r="G382" s="110">
        <v>283</v>
      </c>
      <c r="H382" s="110">
        <v>389</v>
      </c>
      <c r="I382" s="110">
        <v>358</v>
      </c>
      <c r="J382" s="110">
        <v>343</v>
      </c>
      <c r="K382" s="110">
        <v>448</v>
      </c>
      <c r="L382" s="110">
        <v>408</v>
      </c>
      <c r="M382" s="110">
        <v>150</v>
      </c>
      <c r="U382" s="110">
        <v>0.53</v>
      </c>
      <c r="V382" s="110">
        <v>0.54</v>
      </c>
      <c r="W382" s="110">
        <v>0.52</v>
      </c>
      <c r="X382" s="110">
        <v>0.52</v>
      </c>
      <c r="Y382" s="110">
        <v>0.48</v>
      </c>
      <c r="Z382" s="110">
        <v>0.45</v>
      </c>
      <c r="AA382" s="110">
        <v>0.45</v>
      </c>
      <c r="AB382" s="110">
        <v>0.45</v>
      </c>
      <c r="AC382" s="110">
        <v>150</v>
      </c>
    </row>
    <row r="383" spans="2:29">
      <c r="B383" s="110">
        <v>288</v>
      </c>
      <c r="C383" s="110">
        <v>256</v>
      </c>
      <c r="D383" s="110">
        <v>351</v>
      </c>
      <c r="E383" s="110">
        <v>300</v>
      </c>
      <c r="F383" s="110">
        <v>371</v>
      </c>
      <c r="G383" s="110">
        <v>323</v>
      </c>
      <c r="H383" s="110">
        <v>447</v>
      </c>
      <c r="I383" s="110">
        <v>413</v>
      </c>
      <c r="J383" s="110">
        <v>395</v>
      </c>
      <c r="K383" s="110">
        <v>515</v>
      </c>
      <c r="L383" s="110">
        <v>470</v>
      </c>
      <c r="M383" s="110">
        <v>185</v>
      </c>
      <c r="U383" s="110">
        <v>0.42</v>
      </c>
      <c r="V383" s="110">
        <v>0.45</v>
      </c>
      <c r="W383" s="110">
        <v>0.43</v>
      </c>
      <c r="X383" s="110">
        <v>0.42</v>
      </c>
      <c r="Y383" s="110">
        <v>0.38</v>
      </c>
      <c r="Z383" s="110">
        <v>0.36</v>
      </c>
      <c r="AA383" s="110">
        <v>0.36</v>
      </c>
      <c r="AB383" s="110">
        <v>0.36</v>
      </c>
      <c r="AC383" s="110">
        <v>185</v>
      </c>
    </row>
    <row r="384" spans="2:29">
      <c r="B384" s="110">
        <v>338</v>
      </c>
      <c r="C384" s="110">
        <v>300</v>
      </c>
      <c r="D384" s="110">
        <v>412</v>
      </c>
      <c r="E384" s="110">
        <v>351</v>
      </c>
      <c r="F384" s="110">
        <v>439</v>
      </c>
      <c r="G384" s="110">
        <v>382</v>
      </c>
      <c r="H384" s="110">
        <v>530</v>
      </c>
      <c r="I384" s="110">
        <v>492</v>
      </c>
      <c r="J384" s="110">
        <v>471</v>
      </c>
      <c r="K384" s="110">
        <v>611</v>
      </c>
      <c r="L384" s="110">
        <v>561</v>
      </c>
      <c r="M384" s="110">
        <v>240</v>
      </c>
      <c r="U384" s="110">
        <v>0.32</v>
      </c>
      <c r="V384" s="110">
        <v>0.34</v>
      </c>
      <c r="W384" s="110">
        <v>0.32</v>
      </c>
      <c r="X384" s="110">
        <v>0.32</v>
      </c>
      <c r="Y384" s="110">
        <v>0.3</v>
      </c>
      <c r="Z384" s="110">
        <v>0.28000000000000003</v>
      </c>
      <c r="AA384" s="110">
        <v>0.28000000000000003</v>
      </c>
      <c r="AB384" s="110">
        <v>0.28000000000000003</v>
      </c>
      <c r="AC384" s="110">
        <v>240</v>
      </c>
    </row>
    <row r="385" spans="2:29">
      <c r="B385" s="110">
        <v>387</v>
      </c>
      <c r="C385" s="110">
        <v>344</v>
      </c>
      <c r="D385" s="110">
        <v>471</v>
      </c>
      <c r="E385" s="110">
        <v>402</v>
      </c>
      <c r="F385" s="110">
        <v>508</v>
      </c>
      <c r="G385" s="110">
        <v>440</v>
      </c>
      <c r="H385" s="110">
        <v>613</v>
      </c>
      <c r="I385" s="110">
        <v>571</v>
      </c>
      <c r="J385" s="110">
        <v>544</v>
      </c>
      <c r="K385" s="110">
        <v>708</v>
      </c>
      <c r="L385" s="110">
        <v>652</v>
      </c>
      <c r="M385" s="110">
        <v>300</v>
      </c>
      <c r="U385" s="110">
        <v>0.26</v>
      </c>
      <c r="V385" s="110">
        <v>0.28000000000000003</v>
      </c>
      <c r="W385" s="110">
        <v>0.26</v>
      </c>
      <c r="X385" s="110">
        <v>0.26</v>
      </c>
      <c r="Y385" s="110">
        <v>0.25</v>
      </c>
      <c r="Z385" s="110">
        <v>0.22</v>
      </c>
      <c r="AA385" s="110">
        <v>0.22</v>
      </c>
      <c r="AB385" s="110">
        <v>0.22</v>
      </c>
      <c r="AC385" s="110">
        <v>300</v>
      </c>
    </row>
    <row r="386" spans="2:29">
      <c r="F386" s="110">
        <v>658</v>
      </c>
      <c r="G386" s="110">
        <v>594</v>
      </c>
      <c r="H386" s="110">
        <v>679</v>
      </c>
      <c r="I386" s="110">
        <v>628</v>
      </c>
      <c r="J386" s="110">
        <v>638</v>
      </c>
      <c r="K386" s="110">
        <v>798</v>
      </c>
      <c r="L386" s="110">
        <v>742</v>
      </c>
      <c r="M386" s="115">
        <v>380</v>
      </c>
      <c r="U386" s="110">
        <v>0.2</v>
      </c>
      <c r="W386" s="110">
        <v>0.21</v>
      </c>
      <c r="X386" s="110">
        <v>0.21</v>
      </c>
      <c r="Y386" s="110">
        <v>0.2</v>
      </c>
      <c r="Z386" s="110">
        <v>0.18</v>
      </c>
      <c r="AA386" s="110">
        <v>0.18</v>
      </c>
      <c r="AB386" s="110">
        <v>0.18</v>
      </c>
      <c r="AC386" s="110">
        <v>380</v>
      </c>
    </row>
    <row r="387" spans="2:29">
      <c r="F387" s="110">
        <v>765</v>
      </c>
      <c r="G387" s="110">
        <v>692</v>
      </c>
      <c r="H387" s="110">
        <v>786</v>
      </c>
      <c r="I387" s="110">
        <v>728</v>
      </c>
      <c r="J387" s="110">
        <v>743</v>
      </c>
      <c r="K387" s="110">
        <v>927</v>
      </c>
      <c r="L387" s="110">
        <v>865</v>
      </c>
      <c r="M387" s="110">
        <v>480</v>
      </c>
      <c r="U387" s="110">
        <v>0.16</v>
      </c>
      <c r="W387" s="110">
        <v>0.17</v>
      </c>
      <c r="X387" s="110">
        <v>0.16500000000000001</v>
      </c>
      <c r="Y387" s="110">
        <v>0.16500000000000001</v>
      </c>
      <c r="Z387" s="110">
        <v>0.15</v>
      </c>
      <c r="AA387" s="110">
        <v>0.15</v>
      </c>
      <c r="AB387" s="110">
        <v>0.14499999999999999</v>
      </c>
      <c r="AC387" s="110">
        <v>480</v>
      </c>
    </row>
    <row r="388" spans="2:29">
      <c r="F388" s="110">
        <v>871</v>
      </c>
      <c r="G388" s="110">
        <v>791</v>
      </c>
      <c r="H388" s="110">
        <v>903</v>
      </c>
      <c r="I388" s="110">
        <v>836</v>
      </c>
      <c r="J388" s="110">
        <v>849</v>
      </c>
      <c r="K388" s="110">
        <v>1058</v>
      </c>
      <c r="L388" s="110">
        <v>990</v>
      </c>
      <c r="M388" s="110">
        <v>600</v>
      </c>
      <c r="U388" s="110">
        <v>0.13</v>
      </c>
      <c r="W388" s="110">
        <v>0.14000000000000001</v>
      </c>
      <c r="X388" s="110">
        <v>0.13500000000000001</v>
      </c>
      <c r="Y388" s="110">
        <v>0.13500000000000001</v>
      </c>
      <c r="Z388" s="110">
        <v>0.12</v>
      </c>
      <c r="AA388" s="110">
        <v>0.12</v>
      </c>
      <c r="AB388" s="110">
        <v>0.12</v>
      </c>
      <c r="AC388" s="110">
        <v>600</v>
      </c>
    </row>
    <row r="389" spans="2:29">
      <c r="F389" s="110">
        <v>1001</v>
      </c>
      <c r="G389" s="110">
        <v>991</v>
      </c>
      <c r="H389" s="110">
        <v>1025</v>
      </c>
      <c r="I389" s="110">
        <v>951</v>
      </c>
      <c r="J389" s="110">
        <v>979</v>
      </c>
      <c r="K389" s="110">
        <v>1218</v>
      </c>
      <c r="L389" s="110">
        <v>1143</v>
      </c>
      <c r="M389" s="110">
        <v>740</v>
      </c>
      <c r="U389" s="110">
        <v>0.105</v>
      </c>
      <c r="W389" s="110">
        <v>0.115</v>
      </c>
      <c r="X389" s="110">
        <v>0.11</v>
      </c>
      <c r="Z389" s="110">
        <v>0.1</v>
      </c>
      <c r="AA389" s="110">
        <v>0.1</v>
      </c>
      <c r="AB389" s="110">
        <v>9.5000000000000001E-2</v>
      </c>
      <c r="AC389" s="110">
        <v>740</v>
      </c>
    </row>
    <row r="390" spans="2:29">
      <c r="F390" s="110">
        <v>1176</v>
      </c>
      <c r="G390" s="110">
        <v>1072</v>
      </c>
      <c r="H390" s="110">
        <v>1191</v>
      </c>
      <c r="I390" s="110">
        <v>1108</v>
      </c>
      <c r="J390" s="110">
        <v>1151</v>
      </c>
      <c r="K390" s="110">
        <v>1440</v>
      </c>
      <c r="L390" s="110">
        <v>1355</v>
      </c>
      <c r="M390" s="110">
        <v>960</v>
      </c>
      <c r="U390" s="110">
        <v>0.08</v>
      </c>
      <c r="W390" s="110">
        <v>9.1999999999999998E-2</v>
      </c>
      <c r="X390" s="110">
        <v>8.6999999999999994E-2</v>
      </c>
      <c r="Z390" s="110">
        <v>8.2000000000000003E-2</v>
      </c>
      <c r="AA390" s="110">
        <v>8.2000000000000003E-2</v>
      </c>
      <c r="AB390" s="110">
        <v>7.5999999999999998E-2</v>
      </c>
      <c r="AC390" s="110">
        <v>960</v>
      </c>
    </row>
    <row r="391" spans="2:29">
      <c r="F391" s="110">
        <v>1333</v>
      </c>
      <c r="G391" s="110">
        <v>1217</v>
      </c>
      <c r="H391" s="110">
        <v>1341</v>
      </c>
      <c r="I391" s="110">
        <v>1249</v>
      </c>
      <c r="J391" s="110">
        <v>1307</v>
      </c>
      <c r="K391" s="110">
        <v>1643</v>
      </c>
      <c r="L391" s="110">
        <v>1550</v>
      </c>
      <c r="M391" s="110">
        <v>1200</v>
      </c>
      <c r="U391" s="110">
        <v>6.4000000000000001E-2</v>
      </c>
      <c r="W391" s="110">
        <v>7.9000000000000001E-2</v>
      </c>
      <c r="X391" s="110">
        <v>7.2999999999999995E-2</v>
      </c>
      <c r="Z391" s="110">
        <v>7.0000000000000007E-2</v>
      </c>
      <c r="AA391" s="110">
        <v>7.0000000000000007E-2</v>
      </c>
      <c r="AB391" s="110">
        <v>6.3E-2</v>
      </c>
      <c r="AC391" s="110">
        <v>1200</v>
      </c>
    </row>
    <row r="394" spans="2:29">
      <c r="B394" s="110" t="s">
        <v>2056</v>
      </c>
      <c r="U394" s="110" t="s">
        <v>2057</v>
      </c>
    </row>
    <row r="395" spans="2:29">
      <c r="I395" s="112"/>
    </row>
    <row r="396" spans="2:29" ht="34">
      <c r="B396" s="113" t="s">
        <v>1964</v>
      </c>
      <c r="C396" s="113" t="s">
        <v>1965</v>
      </c>
      <c r="D396" s="113" t="s">
        <v>1966</v>
      </c>
      <c r="E396" s="113" t="s">
        <v>1967</v>
      </c>
      <c r="F396" s="113" t="s">
        <v>1978</v>
      </c>
      <c r="G396" s="113" t="s">
        <v>2017</v>
      </c>
      <c r="H396" s="113" t="s">
        <v>1980</v>
      </c>
      <c r="I396" s="113" t="s">
        <v>2018</v>
      </c>
      <c r="J396" s="113" t="s">
        <v>1975</v>
      </c>
      <c r="U396" s="113" t="s">
        <v>1964</v>
      </c>
      <c r="V396" s="113" t="s">
        <v>1965</v>
      </c>
      <c r="W396" s="113" t="s">
        <v>1966</v>
      </c>
      <c r="X396" s="113" t="s">
        <v>1975</v>
      </c>
    </row>
    <row r="397" spans="2:29">
      <c r="B397" s="110">
        <v>60</v>
      </c>
      <c r="C397" s="110">
        <v>55</v>
      </c>
      <c r="D397" s="110">
        <v>72</v>
      </c>
      <c r="E397" s="110">
        <v>64</v>
      </c>
      <c r="F397" s="110">
        <v>84</v>
      </c>
      <c r="G397" s="110">
        <v>76</v>
      </c>
      <c r="H397" s="110">
        <v>91</v>
      </c>
      <c r="I397" s="110">
        <v>77</v>
      </c>
      <c r="J397" s="110">
        <v>16</v>
      </c>
      <c r="U397" s="110">
        <v>4.8</v>
      </c>
      <c r="V397" s="110">
        <v>4.8</v>
      </c>
      <c r="W397" s="110">
        <v>4.2</v>
      </c>
      <c r="X397" s="110">
        <v>16</v>
      </c>
    </row>
    <row r="398" spans="2:29">
      <c r="B398" s="110">
        <v>78</v>
      </c>
      <c r="C398" s="110">
        <v>71</v>
      </c>
      <c r="D398" s="110">
        <v>94</v>
      </c>
      <c r="E398" s="110">
        <v>84</v>
      </c>
      <c r="F398" s="110">
        <v>101</v>
      </c>
      <c r="G398" s="110">
        <v>90</v>
      </c>
      <c r="H398" s="110">
        <v>108</v>
      </c>
      <c r="I398" s="110">
        <v>97</v>
      </c>
      <c r="J398" s="110">
        <v>25</v>
      </c>
      <c r="U398" s="110">
        <v>3.1</v>
      </c>
      <c r="V398" s="110">
        <v>3.1</v>
      </c>
      <c r="W398" s="110">
        <v>2.7</v>
      </c>
      <c r="X398" s="110">
        <v>25</v>
      </c>
    </row>
    <row r="399" spans="2:29">
      <c r="B399" s="110">
        <v>96</v>
      </c>
      <c r="C399" s="110">
        <v>87</v>
      </c>
      <c r="D399" s="110">
        <v>115</v>
      </c>
      <c r="E399" s="110">
        <v>103</v>
      </c>
      <c r="F399" s="110">
        <v>126</v>
      </c>
      <c r="G399" s="110">
        <v>112</v>
      </c>
      <c r="H399" s="110">
        <v>135</v>
      </c>
      <c r="I399" s="110">
        <v>120</v>
      </c>
      <c r="J399" s="110">
        <v>35</v>
      </c>
      <c r="U399" s="110">
        <v>2.2000000000000002</v>
      </c>
      <c r="V399" s="110">
        <v>2.2000000000000002</v>
      </c>
      <c r="W399" s="110">
        <v>1.9</v>
      </c>
      <c r="X399" s="110">
        <v>35</v>
      </c>
    </row>
    <row r="400" spans="2:29">
      <c r="B400" s="110">
        <v>115</v>
      </c>
      <c r="C400" s="110">
        <v>104</v>
      </c>
      <c r="D400" s="110">
        <v>138</v>
      </c>
      <c r="E400" s="110">
        <v>124</v>
      </c>
      <c r="F400" s="110">
        <v>154</v>
      </c>
      <c r="G400" s="110">
        <v>136</v>
      </c>
      <c r="H400" s="110">
        <v>164</v>
      </c>
      <c r="I400" s="110">
        <v>146</v>
      </c>
      <c r="J400" s="110">
        <v>50</v>
      </c>
      <c r="U400" s="110">
        <v>1.6</v>
      </c>
      <c r="V400" s="110">
        <v>1.65</v>
      </c>
      <c r="W400" s="110">
        <v>1.4</v>
      </c>
      <c r="X400" s="110">
        <v>50</v>
      </c>
    </row>
    <row r="401" spans="2:27">
      <c r="B401" s="110">
        <v>145</v>
      </c>
      <c r="C401" s="110">
        <v>131</v>
      </c>
      <c r="D401" s="110">
        <v>175</v>
      </c>
      <c r="E401" s="110">
        <v>156</v>
      </c>
      <c r="F401" s="110">
        <v>198</v>
      </c>
      <c r="G401" s="110">
        <v>174</v>
      </c>
      <c r="H401" s="110">
        <v>211</v>
      </c>
      <c r="I401" s="110">
        <v>187</v>
      </c>
      <c r="J401" s="110">
        <v>70</v>
      </c>
      <c r="U401" s="110">
        <v>1.1000000000000001</v>
      </c>
      <c r="V401" s="110">
        <v>1.1000000000000001</v>
      </c>
      <c r="W401" s="110">
        <v>0.96</v>
      </c>
      <c r="X401" s="110">
        <v>70</v>
      </c>
    </row>
    <row r="402" spans="2:27">
      <c r="B402" s="110">
        <v>175</v>
      </c>
      <c r="C402" s="110">
        <v>157</v>
      </c>
      <c r="D402" s="110">
        <v>210</v>
      </c>
      <c r="E402" s="110">
        <v>188</v>
      </c>
      <c r="F402" s="110">
        <v>241</v>
      </c>
      <c r="G402" s="110">
        <v>211</v>
      </c>
      <c r="H402" s="110">
        <v>257</v>
      </c>
      <c r="I402" s="110">
        <v>227</v>
      </c>
      <c r="J402" s="110">
        <v>95</v>
      </c>
      <c r="U402" s="110">
        <v>0.82</v>
      </c>
      <c r="V402" s="110">
        <v>0.82</v>
      </c>
      <c r="W402" s="110">
        <v>0.71</v>
      </c>
      <c r="X402" s="110">
        <v>95</v>
      </c>
    </row>
    <row r="403" spans="2:27">
      <c r="C403" s="110">
        <v>180</v>
      </c>
      <c r="E403" s="110">
        <v>216</v>
      </c>
      <c r="G403" s="110">
        <v>245</v>
      </c>
      <c r="I403" s="110">
        <v>263</v>
      </c>
      <c r="J403" s="110">
        <v>120</v>
      </c>
      <c r="W403" s="110">
        <v>0.56000000000000005</v>
      </c>
      <c r="X403" s="110">
        <v>120</v>
      </c>
    </row>
    <row r="404" spans="2:27">
      <c r="C404" s="110">
        <v>206</v>
      </c>
      <c r="E404" s="110">
        <v>240</v>
      </c>
      <c r="G404" s="110">
        <v>283</v>
      </c>
      <c r="I404" s="110">
        <v>304</v>
      </c>
      <c r="J404" s="110">
        <v>150</v>
      </c>
      <c r="W404" s="110">
        <v>0.45</v>
      </c>
      <c r="X404" s="110">
        <v>150</v>
      </c>
    </row>
    <row r="405" spans="2:27">
      <c r="C405" s="110">
        <v>233</v>
      </c>
      <c r="E405" s="110">
        <v>272</v>
      </c>
      <c r="G405" s="110">
        <v>323</v>
      </c>
      <c r="I405" s="110">
        <v>347</v>
      </c>
      <c r="J405" s="110">
        <v>185</v>
      </c>
      <c r="W405" s="110">
        <v>0.37</v>
      </c>
      <c r="X405" s="110">
        <v>185</v>
      </c>
    </row>
    <row r="406" spans="2:27">
      <c r="C406" s="110">
        <v>273</v>
      </c>
      <c r="E406" s="110">
        <v>318</v>
      </c>
      <c r="G406" s="110">
        <v>382</v>
      </c>
      <c r="I406" s="110">
        <v>409</v>
      </c>
      <c r="J406" s="110">
        <v>240</v>
      </c>
      <c r="W406" s="110">
        <v>0.28000000000000003</v>
      </c>
      <c r="X406" s="110">
        <v>240</v>
      </c>
    </row>
    <row r="407" spans="2:27">
      <c r="C407" s="110">
        <v>313</v>
      </c>
      <c r="E407" s="110">
        <v>364</v>
      </c>
      <c r="G407" s="110">
        <v>440</v>
      </c>
      <c r="I407" s="110">
        <v>471</v>
      </c>
      <c r="J407" s="110">
        <v>300</v>
      </c>
      <c r="W407" s="110">
        <v>0.23</v>
      </c>
      <c r="X407" s="110">
        <v>300</v>
      </c>
    </row>
    <row r="410" spans="2:27">
      <c r="B410" s="110" t="s">
        <v>2058</v>
      </c>
      <c r="U410" s="110" t="s">
        <v>2059</v>
      </c>
    </row>
    <row r="411" spans="2:27">
      <c r="I411" s="112"/>
    </row>
    <row r="412" spans="2:27" ht="68">
      <c r="B412" s="113" t="s">
        <v>1968</v>
      </c>
      <c r="C412" s="113" t="s">
        <v>1990</v>
      </c>
      <c r="D412" s="113" t="s">
        <v>1970</v>
      </c>
      <c r="E412" s="113" t="s">
        <v>1971</v>
      </c>
      <c r="F412" s="113" t="s">
        <v>1972</v>
      </c>
      <c r="G412" s="113" t="s">
        <v>1991</v>
      </c>
      <c r="H412" s="113" t="s">
        <v>1992</v>
      </c>
      <c r="I412" s="113" t="s">
        <v>1993</v>
      </c>
      <c r="J412" s="113" t="s">
        <v>1994</v>
      </c>
      <c r="K412" s="113" t="s">
        <v>1995</v>
      </c>
      <c r="L412" s="113" t="s">
        <v>1996</v>
      </c>
      <c r="M412" s="114" t="s">
        <v>1975</v>
      </c>
      <c r="U412" s="113" t="s">
        <v>1964</v>
      </c>
      <c r="V412" s="113" t="s">
        <v>1965</v>
      </c>
      <c r="W412" s="113" t="s">
        <v>1966</v>
      </c>
      <c r="X412" s="113" t="s">
        <v>1967</v>
      </c>
      <c r="Y412" s="113" t="s">
        <v>1978</v>
      </c>
      <c r="Z412" s="113" t="s">
        <v>1979</v>
      </c>
      <c r="AA412" s="113" t="s">
        <v>1975</v>
      </c>
    </row>
    <row r="413" spans="2:27">
      <c r="B413" s="110">
        <v>179</v>
      </c>
      <c r="C413" s="110">
        <v>165</v>
      </c>
      <c r="D413" s="110">
        <v>192</v>
      </c>
      <c r="E413" s="110">
        <v>176</v>
      </c>
      <c r="F413" s="110">
        <v>162</v>
      </c>
      <c r="G413" s="110">
        <v>216</v>
      </c>
      <c r="H413" s="110">
        <v>197</v>
      </c>
      <c r="I413" s="110">
        <v>212</v>
      </c>
      <c r="J413" s="110">
        <v>199</v>
      </c>
      <c r="K413" s="110">
        <v>215</v>
      </c>
      <c r="L413" s="110">
        <v>192</v>
      </c>
      <c r="M413" s="115">
        <v>50</v>
      </c>
      <c r="U413" s="110">
        <v>1.6</v>
      </c>
      <c r="V413" s="110">
        <v>1.6</v>
      </c>
      <c r="W413" s="110">
        <v>1.6</v>
      </c>
      <c r="X413" s="110">
        <v>1.4</v>
      </c>
      <c r="Y413" s="110">
        <v>1.4</v>
      </c>
      <c r="Z413" s="110">
        <v>1.35</v>
      </c>
      <c r="AA413" s="110">
        <v>50</v>
      </c>
    </row>
    <row r="414" spans="2:27">
      <c r="B414" s="110">
        <v>228</v>
      </c>
      <c r="C414" s="110">
        <v>209</v>
      </c>
      <c r="D414" s="110">
        <v>244</v>
      </c>
      <c r="E414" s="110">
        <v>222</v>
      </c>
      <c r="F414" s="110">
        <v>207</v>
      </c>
      <c r="G414" s="110">
        <v>275</v>
      </c>
      <c r="H414" s="110">
        <v>253</v>
      </c>
      <c r="I414" s="110">
        <v>269</v>
      </c>
      <c r="J414" s="110">
        <v>254</v>
      </c>
      <c r="K414" s="110">
        <v>270</v>
      </c>
      <c r="L414" s="110">
        <v>244</v>
      </c>
      <c r="M414" s="110">
        <v>70</v>
      </c>
      <c r="U414" s="110">
        <v>1.1000000000000001</v>
      </c>
      <c r="V414" s="110">
        <v>1.1000000000000001</v>
      </c>
      <c r="W414" s="110">
        <v>1.1000000000000001</v>
      </c>
      <c r="X414" s="110">
        <v>0.96</v>
      </c>
      <c r="Y414" s="110">
        <v>0.97</v>
      </c>
      <c r="Z414" s="110">
        <v>0.99</v>
      </c>
      <c r="AA414" s="110">
        <v>70</v>
      </c>
    </row>
    <row r="415" spans="2:27">
      <c r="B415" s="110">
        <v>276</v>
      </c>
      <c r="C415" s="110">
        <v>252</v>
      </c>
      <c r="D415" s="110">
        <v>294</v>
      </c>
      <c r="E415" s="110">
        <v>267</v>
      </c>
      <c r="F415" s="110">
        <v>252</v>
      </c>
      <c r="G415" s="110">
        <v>332</v>
      </c>
      <c r="H415" s="110">
        <v>307</v>
      </c>
      <c r="I415" s="110">
        <v>328</v>
      </c>
      <c r="J415" s="110">
        <v>310</v>
      </c>
      <c r="K415" s="110">
        <v>324</v>
      </c>
      <c r="L415" s="110">
        <v>296</v>
      </c>
      <c r="M415" s="115">
        <v>95</v>
      </c>
      <c r="U415" s="110">
        <v>0.82</v>
      </c>
      <c r="V415" s="110">
        <v>0.83</v>
      </c>
      <c r="W415" s="110">
        <v>0.85</v>
      </c>
      <c r="X415" s="110">
        <v>0.71</v>
      </c>
      <c r="Y415" s="110">
        <v>0.74</v>
      </c>
      <c r="Z415" s="110">
        <v>0.76</v>
      </c>
      <c r="AA415" s="110">
        <v>95</v>
      </c>
    </row>
    <row r="416" spans="2:27">
      <c r="B416" s="110">
        <v>320</v>
      </c>
      <c r="C416" s="110">
        <v>291</v>
      </c>
      <c r="D416" s="110">
        <v>340</v>
      </c>
      <c r="E416" s="110">
        <v>308</v>
      </c>
      <c r="F416" s="110">
        <v>292</v>
      </c>
      <c r="G416" s="110">
        <v>384</v>
      </c>
      <c r="H416" s="110">
        <v>357</v>
      </c>
      <c r="I416" s="110">
        <v>378</v>
      </c>
      <c r="J416" s="110">
        <v>358</v>
      </c>
      <c r="K416" s="110">
        <v>372</v>
      </c>
      <c r="L416" s="110">
        <v>343</v>
      </c>
      <c r="M416" s="110">
        <v>120</v>
      </c>
      <c r="U416" s="110">
        <v>0.66</v>
      </c>
      <c r="V416" s="110">
        <v>0.66</v>
      </c>
      <c r="W416" s="110">
        <v>0.69</v>
      </c>
      <c r="X416" s="110">
        <v>0.56999999999999995</v>
      </c>
      <c r="Y416" s="110">
        <v>0.6</v>
      </c>
      <c r="Z416" s="110">
        <v>0.63</v>
      </c>
      <c r="AA416" s="110">
        <v>120</v>
      </c>
    </row>
    <row r="417" spans="2:27">
      <c r="B417" s="110">
        <v>368</v>
      </c>
      <c r="C417" s="110">
        <v>333</v>
      </c>
      <c r="D417" s="110">
        <v>390</v>
      </c>
      <c r="E417" s="110">
        <v>352</v>
      </c>
      <c r="F417" s="110">
        <v>337</v>
      </c>
      <c r="G417" s="110">
        <v>441</v>
      </c>
      <c r="H417" s="110">
        <v>411</v>
      </c>
      <c r="I417" s="110">
        <v>429</v>
      </c>
      <c r="J417" s="110">
        <v>409</v>
      </c>
      <c r="K417" s="110">
        <v>424</v>
      </c>
      <c r="L417" s="110">
        <v>394</v>
      </c>
      <c r="M417" s="115">
        <v>150</v>
      </c>
      <c r="U417" s="110">
        <v>0.52</v>
      </c>
      <c r="V417" s="110">
        <v>0.53</v>
      </c>
      <c r="W417" s="110">
        <v>0.56000000000000005</v>
      </c>
      <c r="X417" s="110">
        <v>0.46</v>
      </c>
      <c r="Y417" s="110">
        <v>0.49</v>
      </c>
      <c r="Z417" s="110">
        <v>0.52</v>
      </c>
      <c r="AA417" s="110">
        <v>150</v>
      </c>
    </row>
    <row r="418" spans="2:27">
      <c r="B418" s="110">
        <v>419</v>
      </c>
      <c r="C418" s="110">
        <v>378</v>
      </c>
      <c r="D418" s="110">
        <v>444</v>
      </c>
      <c r="E418" s="110">
        <v>400</v>
      </c>
      <c r="F418" s="110">
        <v>391</v>
      </c>
      <c r="G418" s="110">
        <v>511</v>
      </c>
      <c r="H418" s="110">
        <v>480</v>
      </c>
      <c r="I418" s="110">
        <v>490</v>
      </c>
      <c r="J418" s="110">
        <v>467</v>
      </c>
      <c r="K418" s="110">
        <v>477</v>
      </c>
      <c r="L418" s="110">
        <v>447</v>
      </c>
      <c r="M418" s="110">
        <v>185</v>
      </c>
      <c r="U418" s="110">
        <v>0.42</v>
      </c>
      <c r="V418" s="110">
        <v>0.43</v>
      </c>
      <c r="W418" s="110">
        <v>0.46</v>
      </c>
      <c r="X418" s="110">
        <v>0.38</v>
      </c>
      <c r="Y418" s="110">
        <v>0.4</v>
      </c>
      <c r="Z418" s="110">
        <v>0.44</v>
      </c>
      <c r="AA418" s="110">
        <v>185</v>
      </c>
    </row>
    <row r="419" spans="2:27">
      <c r="B419" s="110">
        <v>494</v>
      </c>
      <c r="C419" s="110">
        <v>443</v>
      </c>
      <c r="D419" s="110">
        <v>521</v>
      </c>
      <c r="E419" s="110">
        <v>468</v>
      </c>
      <c r="F419" s="110">
        <v>465</v>
      </c>
      <c r="G419" s="110">
        <v>605</v>
      </c>
      <c r="H419" s="110">
        <v>572</v>
      </c>
      <c r="I419" s="110">
        <v>576</v>
      </c>
      <c r="J419" s="110">
        <v>549</v>
      </c>
      <c r="K419" s="110">
        <v>554</v>
      </c>
      <c r="L419" s="110">
        <v>523</v>
      </c>
      <c r="M419" s="115">
        <v>240</v>
      </c>
      <c r="U419" s="110">
        <v>0.32</v>
      </c>
      <c r="V419" s="110">
        <v>0.34</v>
      </c>
      <c r="W419" s="110">
        <v>0.37</v>
      </c>
      <c r="X419" s="110">
        <v>0.28999999999999998</v>
      </c>
      <c r="Y419" s="110">
        <v>0.32</v>
      </c>
      <c r="Z419" s="110">
        <v>0.35</v>
      </c>
      <c r="AA419" s="110">
        <v>240</v>
      </c>
    </row>
    <row r="420" spans="2:27">
      <c r="B420" s="110">
        <v>568</v>
      </c>
      <c r="C420" s="110">
        <v>508</v>
      </c>
      <c r="D420" s="110">
        <v>597</v>
      </c>
      <c r="E420" s="110">
        <v>536</v>
      </c>
      <c r="F420" s="110">
        <v>540</v>
      </c>
      <c r="G420" s="110">
        <v>701</v>
      </c>
      <c r="H420" s="110">
        <v>666</v>
      </c>
      <c r="I420" s="110">
        <v>654</v>
      </c>
      <c r="J420" s="110">
        <v>624</v>
      </c>
      <c r="K420" s="110">
        <v>626</v>
      </c>
      <c r="L420" s="110">
        <v>595</v>
      </c>
      <c r="M420" s="110">
        <v>300</v>
      </c>
      <c r="U420" s="110">
        <v>0.26</v>
      </c>
      <c r="V420" s="110">
        <v>0.27</v>
      </c>
      <c r="W420" s="110">
        <v>0.3</v>
      </c>
      <c r="X420" s="110">
        <v>0.24</v>
      </c>
      <c r="Y420" s="110">
        <v>0.26</v>
      </c>
      <c r="Z420" s="110">
        <v>0.28999999999999998</v>
      </c>
      <c r="AA420" s="110">
        <v>300</v>
      </c>
    </row>
    <row r="421" spans="2:27">
      <c r="B421" s="110">
        <v>655</v>
      </c>
      <c r="C421" s="110">
        <v>573</v>
      </c>
      <c r="D421" s="110">
        <v>688</v>
      </c>
      <c r="E421" s="110">
        <v>608</v>
      </c>
      <c r="F421" s="110">
        <v>625</v>
      </c>
      <c r="G421" s="110">
        <v>812</v>
      </c>
      <c r="H421" s="110">
        <v>780</v>
      </c>
      <c r="I421" s="110">
        <v>735</v>
      </c>
      <c r="J421" s="110">
        <v>704</v>
      </c>
      <c r="K421" s="110">
        <v>693</v>
      </c>
      <c r="L421" s="110">
        <v>649</v>
      </c>
      <c r="M421" s="110">
        <v>380</v>
      </c>
      <c r="U421" s="110">
        <v>0.21</v>
      </c>
      <c r="V421" s="110">
        <v>0.23</v>
      </c>
      <c r="W421" s="110">
        <v>0.26</v>
      </c>
      <c r="X421" s="110">
        <v>0.19500000000000001</v>
      </c>
      <c r="Y421" s="110">
        <v>0.23</v>
      </c>
      <c r="Z421" s="110">
        <v>0.27</v>
      </c>
      <c r="AA421" s="110">
        <v>380</v>
      </c>
    </row>
    <row r="422" spans="2:27">
      <c r="B422" s="110">
        <v>747</v>
      </c>
      <c r="C422" s="110">
        <v>642</v>
      </c>
      <c r="D422" s="110">
        <v>786</v>
      </c>
      <c r="E422" s="110">
        <v>685</v>
      </c>
      <c r="F422" s="110">
        <v>714</v>
      </c>
      <c r="G422" s="110">
        <v>942</v>
      </c>
      <c r="H422" s="110">
        <v>906</v>
      </c>
      <c r="I422" s="110">
        <v>825</v>
      </c>
      <c r="J422" s="110">
        <v>790</v>
      </c>
      <c r="K422" s="110">
        <v>765</v>
      </c>
      <c r="L422" s="110">
        <v>717</v>
      </c>
      <c r="M422" s="110">
        <v>480</v>
      </c>
      <c r="U422" s="110">
        <v>0.16</v>
      </c>
      <c r="V422" s="110">
        <v>0.185</v>
      </c>
      <c r="W422" s="110">
        <v>0.23</v>
      </c>
      <c r="X422" s="110">
        <v>0.16</v>
      </c>
      <c r="Y422" s="110">
        <v>0.2</v>
      </c>
      <c r="Z422" s="110">
        <v>0.24</v>
      </c>
      <c r="AA422" s="110">
        <v>480</v>
      </c>
    </row>
    <row r="423" spans="2:27">
      <c r="B423" s="110">
        <v>836</v>
      </c>
      <c r="C423" s="110">
        <v>706</v>
      </c>
      <c r="D423" s="110">
        <v>880</v>
      </c>
      <c r="E423" s="110">
        <v>757</v>
      </c>
      <c r="F423" s="110">
        <v>801</v>
      </c>
      <c r="G423" s="110">
        <v>1076</v>
      </c>
      <c r="H423" s="110">
        <v>1036</v>
      </c>
      <c r="I423" s="110">
        <v>909</v>
      </c>
      <c r="J423" s="110">
        <v>872</v>
      </c>
      <c r="K423" s="110">
        <v>832</v>
      </c>
      <c r="L423" s="110">
        <v>780</v>
      </c>
      <c r="M423" s="110">
        <v>600</v>
      </c>
      <c r="U423" s="110">
        <v>0.13</v>
      </c>
      <c r="V423" s="110">
        <v>0.16</v>
      </c>
      <c r="W423" s="110">
        <v>0.2</v>
      </c>
      <c r="X423" s="110">
        <v>0.13500000000000001</v>
      </c>
      <c r="Y423" s="110">
        <v>0.17499999999999999</v>
      </c>
      <c r="Z423" s="110">
        <v>0.22</v>
      </c>
      <c r="AA423" s="110">
        <v>600</v>
      </c>
    </row>
    <row r="424" spans="2:27">
      <c r="B424" s="110">
        <v>934</v>
      </c>
      <c r="C424" s="110">
        <v>764</v>
      </c>
      <c r="D424" s="110">
        <v>988</v>
      </c>
      <c r="E424" s="110">
        <v>824</v>
      </c>
      <c r="F424" s="110">
        <v>897</v>
      </c>
      <c r="G424" s="110">
        <v>1250</v>
      </c>
      <c r="H424" s="110">
        <v>1205</v>
      </c>
      <c r="I424" s="110">
        <v>989</v>
      </c>
      <c r="J424" s="110">
        <v>950</v>
      </c>
      <c r="K424" s="110">
        <v>890</v>
      </c>
      <c r="L424" s="110">
        <v>835</v>
      </c>
      <c r="M424" s="110">
        <v>740</v>
      </c>
      <c r="U424" s="110">
        <v>0.105</v>
      </c>
      <c r="V424" s="110">
        <v>0.14000000000000001</v>
      </c>
      <c r="W424" s="110">
        <v>0.19</v>
      </c>
      <c r="X424" s="110">
        <v>0.12</v>
      </c>
      <c r="Y424" s="110">
        <v>0.16500000000000001</v>
      </c>
      <c r="Z424" s="110">
        <v>0.21</v>
      </c>
      <c r="AA424" s="110">
        <v>740</v>
      </c>
    </row>
    <row r="425" spans="2:27">
      <c r="B425" s="110">
        <v>1056</v>
      </c>
      <c r="C425" s="110">
        <v>838</v>
      </c>
      <c r="D425" s="110">
        <v>1121</v>
      </c>
      <c r="E425" s="110">
        <v>911</v>
      </c>
      <c r="F425" s="110">
        <v>1014</v>
      </c>
      <c r="G425" s="110">
        <v>1488</v>
      </c>
      <c r="H425" s="110">
        <v>1435</v>
      </c>
      <c r="I425" s="110">
        <v>1094</v>
      </c>
      <c r="J425" s="110">
        <v>1052</v>
      </c>
      <c r="K425" s="110">
        <v>970</v>
      </c>
      <c r="L425" s="110">
        <v>900</v>
      </c>
      <c r="M425" s="110">
        <v>960</v>
      </c>
      <c r="U425" s="110">
        <v>0.08</v>
      </c>
      <c r="V425" s="110">
        <v>0.12</v>
      </c>
      <c r="W425" s="110">
        <v>0.17</v>
      </c>
      <c r="X425" s="110">
        <v>0.105</v>
      </c>
      <c r="Y425" s="110">
        <v>0.15</v>
      </c>
      <c r="Z425" s="110">
        <v>0.19500000000000001</v>
      </c>
      <c r="AA425" s="110">
        <v>960</v>
      </c>
    </row>
    <row r="426" spans="2:27">
      <c r="B426" s="110">
        <v>1163</v>
      </c>
      <c r="C426" s="110">
        <v>903</v>
      </c>
      <c r="D426" s="110">
        <v>1236</v>
      </c>
      <c r="E426" s="110">
        <v>990</v>
      </c>
      <c r="F426" s="110">
        <v>1118</v>
      </c>
      <c r="G426" s="110">
        <v>1715</v>
      </c>
      <c r="H426" s="110">
        <v>1658</v>
      </c>
      <c r="I426" s="110">
        <v>1187</v>
      </c>
      <c r="J426" s="110">
        <v>1141</v>
      </c>
      <c r="K426" s="110">
        <v>1043</v>
      </c>
      <c r="L426" s="110">
        <v>980</v>
      </c>
      <c r="M426" s="110">
        <v>1200</v>
      </c>
      <c r="U426" s="110">
        <v>6.4000000000000001E-2</v>
      </c>
      <c r="V426" s="110">
        <v>0.105</v>
      </c>
      <c r="W426" s="110">
        <v>0.155</v>
      </c>
      <c r="X426" s="110">
        <v>9.2999999999999999E-2</v>
      </c>
      <c r="Y426" s="110">
        <v>0.14000000000000001</v>
      </c>
      <c r="Z426" s="110">
        <v>0.18</v>
      </c>
      <c r="AA426" s="110">
        <v>1200</v>
      </c>
    </row>
    <row r="429" spans="2:27">
      <c r="B429" s="110" t="s">
        <v>2060</v>
      </c>
      <c r="U429" s="110" t="s">
        <v>2061</v>
      </c>
    </row>
    <row r="431" spans="2:27" ht="34">
      <c r="B431" s="113" t="s">
        <v>1978</v>
      </c>
      <c r="C431" s="113" t="s">
        <v>1999</v>
      </c>
      <c r="D431" s="113" t="s">
        <v>1980</v>
      </c>
      <c r="E431" s="113" t="s">
        <v>2000</v>
      </c>
      <c r="F431" s="113" t="s">
        <v>2001</v>
      </c>
      <c r="G431" s="113" t="s">
        <v>2002</v>
      </c>
      <c r="H431" s="113" t="s">
        <v>1975</v>
      </c>
      <c r="U431" s="113" t="s">
        <v>1964</v>
      </c>
      <c r="V431" s="113" t="s">
        <v>1965</v>
      </c>
      <c r="W431" s="113" t="s">
        <v>1966</v>
      </c>
      <c r="X431" s="113" t="s">
        <v>1975</v>
      </c>
    </row>
    <row r="432" spans="2:27">
      <c r="B432" s="110">
        <v>82</v>
      </c>
      <c r="C432" s="110">
        <v>71</v>
      </c>
      <c r="D432" s="110">
        <v>85</v>
      </c>
      <c r="E432" s="110">
        <v>74</v>
      </c>
      <c r="F432" s="110">
        <v>71</v>
      </c>
      <c r="G432" s="110">
        <v>59</v>
      </c>
      <c r="H432" s="110">
        <v>16</v>
      </c>
      <c r="U432" s="110">
        <v>4.8</v>
      </c>
      <c r="V432" s="110">
        <v>4.8</v>
      </c>
      <c r="W432" s="110">
        <v>4.2</v>
      </c>
      <c r="X432" s="110">
        <v>16</v>
      </c>
    </row>
    <row r="433" spans="2:24">
      <c r="B433" s="110">
        <v>108</v>
      </c>
      <c r="C433" s="110">
        <v>92</v>
      </c>
      <c r="D433" s="110">
        <v>112</v>
      </c>
      <c r="E433" s="110">
        <v>98</v>
      </c>
      <c r="F433" s="110">
        <v>90</v>
      </c>
      <c r="G433" s="110">
        <v>75</v>
      </c>
      <c r="H433" s="110">
        <v>25</v>
      </c>
      <c r="U433" s="110">
        <v>3.1</v>
      </c>
      <c r="V433" s="110">
        <v>3.1</v>
      </c>
      <c r="W433" s="110">
        <v>2.7</v>
      </c>
      <c r="X433" s="110">
        <v>25</v>
      </c>
    </row>
    <row r="434" spans="2:24">
      <c r="B434" s="110">
        <v>132</v>
      </c>
      <c r="C434" s="110">
        <v>113</v>
      </c>
      <c r="D434" s="110">
        <v>138</v>
      </c>
      <c r="E434" s="110">
        <v>120</v>
      </c>
      <c r="F434" s="110">
        <v>108</v>
      </c>
      <c r="G434" s="110">
        <v>90</v>
      </c>
      <c r="H434" s="110">
        <v>35</v>
      </c>
      <c r="U434" s="110">
        <v>2.2000000000000002</v>
      </c>
      <c r="V434" s="110">
        <v>2.2000000000000002</v>
      </c>
      <c r="W434" s="110">
        <v>1.9</v>
      </c>
      <c r="X434" s="110">
        <v>35</v>
      </c>
    </row>
    <row r="435" spans="2:24">
      <c r="B435" s="110">
        <v>159</v>
      </c>
      <c r="C435" s="110">
        <v>137</v>
      </c>
      <c r="D435" s="110">
        <v>166</v>
      </c>
      <c r="E435" s="110">
        <v>145</v>
      </c>
      <c r="F435" s="110">
        <v>128</v>
      </c>
      <c r="G435" s="110">
        <v>106</v>
      </c>
      <c r="H435" s="110">
        <v>50</v>
      </c>
      <c r="U435" s="110">
        <v>1.6</v>
      </c>
      <c r="V435" s="110">
        <v>1.65</v>
      </c>
      <c r="W435" s="110">
        <v>1.4</v>
      </c>
      <c r="X435" s="110">
        <v>50</v>
      </c>
    </row>
    <row r="436" spans="2:24">
      <c r="B436" s="110">
        <v>201</v>
      </c>
      <c r="C436" s="110">
        <v>174</v>
      </c>
      <c r="D436" s="110">
        <v>211</v>
      </c>
      <c r="E436" s="110">
        <v>185</v>
      </c>
      <c r="F436" s="110">
        <v>158</v>
      </c>
      <c r="G436" s="110">
        <v>130</v>
      </c>
      <c r="H436" s="110">
        <v>70</v>
      </c>
      <c r="U436" s="110">
        <v>1.1000000000000001</v>
      </c>
      <c r="V436" s="110">
        <v>1.1000000000000001</v>
      </c>
      <c r="W436" s="110">
        <v>0.96</v>
      </c>
      <c r="X436" s="110">
        <v>70</v>
      </c>
    </row>
    <row r="437" spans="2:24">
      <c r="B437" s="110">
        <v>242</v>
      </c>
      <c r="C437" s="110">
        <v>214</v>
      </c>
      <c r="D437" s="110">
        <v>254</v>
      </c>
      <c r="E437" s="110">
        <v>224</v>
      </c>
      <c r="F437" s="110">
        <v>186</v>
      </c>
      <c r="G437" s="110">
        <v>154</v>
      </c>
      <c r="H437" s="110">
        <v>95</v>
      </c>
      <c r="U437" s="110">
        <v>0.82</v>
      </c>
      <c r="V437" s="110">
        <v>0.82</v>
      </c>
      <c r="W437" s="110">
        <v>0.71</v>
      </c>
      <c r="X437" s="110">
        <v>95</v>
      </c>
    </row>
    <row r="438" spans="2:24">
      <c r="C438" s="110">
        <v>249</v>
      </c>
      <c r="E438" s="110">
        <v>264</v>
      </c>
      <c r="G438" s="110">
        <v>174</v>
      </c>
      <c r="H438" s="110">
        <v>120</v>
      </c>
      <c r="W438" s="110">
        <v>0.56000000000000005</v>
      </c>
      <c r="X438" s="110">
        <v>120</v>
      </c>
    </row>
    <row r="439" spans="2:24">
      <c r="C439" s="110">
        <v>284</v>
      </c>
      <c r="E439" s="110">
        <v>305</v>
      </c>
      <c r="G439" s="110">
        <v>197</v>
      </c>
      <c r="H439" s="110">
        <v>150</v>
      </c>
      <c r="W439" s="110">
        <v>0.45</v>
      </c>
      <c r="X439" s="110">
        <v>150</v>
      </c>
    </row>
    <row r="440" spans="2:24">
      <c r="C440" s="110">
        <v>328</v>
      </c>
      <c r="E440" s="110">
        <v>350</v>
      </c>
      <c r="G440" s="110">
        <v>220</v>
      </c>
      <c r="H440" s="110">
        <v>185</v>
      </c>
      <c r="W440" s="110">
        <v>0.37</v>
      </c>
      <c r="X440" s="110">
        <v>185</v>
      </c>
    </row>
    <row r="441" spans="2:24">
      <c r="C441" s="110">
        <v>386</v>
      </c>
      <c r="E441" s="110">
        <v>418</v>
      </c>
      <c r="G441" s="110">
        <v>253</v>
      </c>
      <c r="H441" s="110">
        <v>240</v>
      </c>
      <c r="W441" s="110">
        <v>0.28000000000000003</v>
      </c>
      <c r="X441" s="110">
        <v>240</v>
      </c>
    </row>
    <row r="442" spans="2:24">
      <c r="C442" s="110">
        <v>441</v>
      </c>
      <c r="E442" s="110">
        <v>488</v>
      </c>
      <c r="G442" s="110">
        <v>286</v>
      </c>
      <c r="H442" s="110">
        <v>300</v>
      </c>
      <c r="W442" s="110">
        <v>0.23</v>
      </c>
      <c r="X442" s="110">
        <v>300</v>
      </c>
    </row>
  </sheetData>
  <pageMargins left="0.7" right="0.7" top="0.75" bottom="0.75" header="0.3" footer="0.3"/>
  <pageSetup paperSize="9" orientation="portrait" horizontalDpi="0" verticalDpi="0"/>
  <tableParts count="43">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C7B85-C148-DE4B-A69F-CF4232C53C03}">
  <sheetPr codeName="Sheet11"/>
  <dimension ref="A1:BF286"/>
  <sheetViews>
    <sheetView showGridLines="0" zoomScale="85" zoomScaleNormal="85" workbookViewId="0">
      <pane xSplit="3" ySplit="8" topLeftCell="D9" activePane="bottomRight" state="frozen"/>
      <selection activeCell="O51" sqref="O51"/>
      <selection pane="topRight" activeCell="O51" sqref="O51"/>
      <selection pane="bottomLeft" activeCell="O51" sqref="O51"/>
      <selection pane="bottomRight" activeCell="D9" sqref="D9"/>
    </sheetView>
  </sheetViews>
  <sheetFormatPr baseColWidth="10" defaultColWidth="9.1640625" defaultRowHeight="13"/>
  <cols>
    <col min="1" max="1" width="9.6640625" style="117" customWidth="1"/>
    <col min="2" max="2" width="51.33203125" style="117" customWidth="1"/>
    <col min="3" max="3" width="9.6640625" style="117" hidden="1" customWidth="1"/>
    <col min="4" max="4" width="9.83203125" style="117" customWidth="1"/>
    <col min="5" max="8" width="10.33203125" style="117" bestFit="1" customWidth="1"/>
    <col min="9" max="13" width="9.6640625" style="117" customWidth="1"/>
    <col min="14" max="14" width="10" style="117" customWidth="1"/>
    <col min="15" max="42" width="9.6640625" style="117" customWidth="1"/>
    <col min="43" max="43" width="9.6640625" style="119" customWidth="1"/>
    <col min="44" max="16384" width="9.1640625" style="117"/>
  </cols>
  <sheetData>
    <row r="1" spans="1:43" ht="12.75" customHeight="1">
      <c r="B1" s="118" t="s">
        <v>2062</v>
      </c>
    </row>
    <row r="2" spans="1:43" ht="15.75" customHeight="1">
      <c r="B2" s="120" t="s">
        <v>2063</v>
      </c>
      <c r="I2" s="121"/>
      <c r="J2" s="122"/>
      <c r="K2" s="122"/>
      <c r="L2" s="121"/>
      <c r="M2" s="121"/>
      <c r="N2" s="123">
        <f ca="1">NOW()</f>
        <v>45610.320045138891</v>
      </c>
    </row>
    <row r="3" spans="1:43" ht="16">
      <c r="B3" s="124" t="str">
        <f ca="1">MID(CELL("filename",A1),FIND("]",CELL("filename",A1))+1,255)</f>
        <v>CABLE SIZING TOOL</v>
      </c>
      <c r="I3" s="125"/>
      <c r="J3" s="126"/>
      <c r="K3" s="126"/>
      <c r="L3" s="126"/>
      <c r="M3" s="126"/>
      <c r="N3" s="126"/>
    </row>
    <row r="4" spans="1:43" ht="16">
      <c r="A4" s="127"/>
      <c r="C4" s="128"/>
      <c r="D4" s="128"/>
      <c r="E4" s="128"/>
      <c r="F4" s="128"/>
      <c r="G4" s="128"/>
      <c r="H4" s="128"/>
      <c r="I4" s="125"/>
      <c r="J4" s="125"/>
      <c r="K4" s="125"/>
      <c r="L4" s="126"/>
      <c r="M4" s="126"/>
      <c r="N4" s="126"/>
      <c r="Q4" s="128"/>
      <c r="Z4" s="129"/>
      <c r="AA4" s="130"/>
    </row>
    <row r="5" spans="1:43" ht="16">
      <c r="A5" s="129"/>
      <c r="B5" s="129"/>
      <c r="C5" s="128"/>
      <c r="D5" s="128"/>
      <c r="E5" s="128"/>
      <c r="F5" s="128"/>
      <c r="G5" s="128"/>
      <c r="H5" s="128"/>
      <c r="I5" s="125"/>
      <c r="J5" s="125"/>
      <c r="K5" s="125"/>
      <c r="L5" s="126"/>
      <c r="M5" s="126"/>
      <c r="N5" s="126"/>
      <c r="Q5" s="128"/>
      <c r="Z5" s="129"/>
      <c r="AA5" s="130"/>
    </row>
    <row r="6" spans="1:43" ht="16">
      <c r="A6" s="129"/>
      <c r="B6" s="129"/>
      <c r="C6" s="128"/>
      <c r="D6" s="125"/>
      <c r="E6" s="125"/>
      <c r="F6" s="125"/>
      <c r="G6" s="131"/>
      <c r="H6" s="131"/>
      <c r="I6" s="125"/>
      <c r="J6" s="126"/>
      <c r="K6" s="126"/>
      <c r="L6" s="128"/>
      <c r="M6" s="128"/>
      <c r="N6" s="128"/>
      <c r="O6" s="128"/>
      <c r="P6" s="129"/>
      <c r="Q6" s="129"/>
      <c r="R6" s="129"/>
      <c r="S6" s="129"/>
      <c r="T6" s="130"/>
      <c r="Y6" s="119"/>
      <c r="AQ6" s="117"/>
    </row>
    <row r="7" spans="1:43" ht="17">
      <c r="A7" s="132"/>
      <c r="B7" s="133" t="s">
        <v>12</v>
      </c>
      <c r="C7" s="134" t="s">
        <v>2064</v>
      </c>
      <c r="D7" s="135" t="s">
        <v>2065</v>
      </c>
      <c r="E7" s="135" t="s">
        <v>2066</v>
      </c>
      <c r="F7" s="135" t="s">
        <v>2067</v>
      </c>
      <c r="G7" s="135" t="s">
        <v>2068</v>
      </c>
      <c r="H7" s="135" t="s">
        <v>2069</v>
      </c>
      <c r="I7" s="135" t="s">
        <v>2070</v>
      </c>
      <c r="J7" s="135" t="s">
        <v>2071</v>
      </c>
      <c r="K7" s="135" t="s">
        <v>2072</v>
      </c>
      <c r="L7" s="135" t="s">
        <v>2073</v>
      </c>
      <c r="M7" s="136"/>
      <c r="N7" s="137" t="s">
        <v>1813</v>
      </c>
      <c r="O7" s="138" t="s">
        <v>2074</v>
      </c>
      <c r="AQ7" s="117"/>
    </row>
    <row r="8" spans="1:43" ht="68">
      <c r="A8" s="139"/>
      <c r="B8" s="140"/>
      <c r="C8" s="141"/>
      <c r="D8" s="142" t="s">
        <v>2606</v>
      </c>
      <c r="E8" s="142" t="s">
        <v>2607</v>
      </c>
      <c r="F8" s="142" t="s">
        <v>2608</v>
      </c>
      <c r="G8" s="142" t="s">
        <v>2609</v>
      </c>
      <c r="H8" s="142" t="s">
        <v>2610</v>
      </c>
      <c r="I8" s="142" t="s">
        <v>2611</v>
      </c>
      <c r="J8" s="142" t="s">
        <v>2612</v>
      </c>
      <c r="K8" s="142" t="s">
        <v>2716</v>
      </c>
      <c r="L8" s="142" t="s">
        <v>2715</v>
      </c>
      <c r="M8" s="140"/>
      <c r="N8" s="140"/>
      <c r="O8" s="143"/>
      <c r="AQ8" s="117"/>
    </row>
    <row r="9" spans="1:43" ht="16">
      <c r="A9" s="136"/>
      <c r="B9" s="153" t="s">
        <v>2075</v>
      </c>
      <c r="C9" s="154"/>
      <c r="D9" s="155">
        <f>INVOICE!O8/'Customer Base'!D15</f>
        <v>5</v>
      </c>
      <c r="E9" s="155">
        <f ca="1">IF(SUMPRODUCT(Items!A$6:A$120,Items!AP$6:AP$120)&gt;0,(INVOICE!O$8/'Customer Base'!D$15),IF(SUMPRODUCT(Items!A$257:A$289,Items!AP$257:AP$289)&gt;0,(INVOICE!O$8/'Customer Base'!D$15),""))</f>
        <v>5</v>
      </c>
      <c r="F9" s="155">
        <f ca="1">E9</f>
        <v>5</v>
      </c>
      <c r="G9" s="155">
        <f ca="1">E9</f>
        <v>5</v>
      </c>
      <c r="H9" s="155">
        <f ca="1">E9</f>
        <v>5</v>
      </c>
      <c r="I9" s="155">
        <v>162</v>
      </c>
      <c r="J9" s="155">
        <f>D9*'Customer Base'!D15</f>
        <v>5</v>
      </c>
      <c r="K9" s="155">
        <v>100</v>
      </c>
      <c r="L9" s="155">
        <v>250</v>
      </c>
      <c r="M9" s="155"/>
      <c r="N9" s="155">
        <v>180</v>
      </c>
      <c r="O9" s="136" t="str">
        <f>IF(N9&gt;0,"kW","")</f>
        <v>kW</v>
      </c>
      <c r="P9" s="129"/>
      <c r="AQ9" s="117"/>
    </row>
    <row r="10" spans="1:43" ht="16">
      <c r="A10" s="156"/>
      <c r="B10" s="156"/>
      <c r="C10" s="157"/>
      <c r="D10" s="157"/>
      <c r="E10" s="157"/>
      <c r="F10" s="157"/>
      <c r="G10" s="157"/>
      <c r="H10" s="157"/>
      <c r="I10" s="157"/>
      <c r="J10" s="157"/>
      <c r="K10" s="157"/>
      <c r="L10" s="157"/>
      <c r="M10" s="149"/>
      <c r="N10" s="157"/>
      <c r="O10" s="158"/>
      <c r="AQ10" s="117"/>
    </row>
    <row r="11" spans="1:43" ht="16">
      <c r="A11" s="156"/>
      <c r="B11" s="156" t="s">
        <v>2076</v>
      </c>
      <c r="C11" s="157"/>
      <c r="D11" s="159">
        <f>D9*100%</f>
        <v>5</v>
      </c>
      <c r="E11" s="159">
        <f ca="1">IFERROR(E9*100%,0)</f>
        <v>5</v>
      </c>
      <c r="F11" s="159">
        <f t="shared" ref="F11:H11" ca="1" si="0">IFERROR(F9*100%,0)</f>
        <v>5</v>
      </c>
      <c r="G11" s="159">
        <f t="shared" ca="1" si="0"/>
        <v>5</v>
      </c>
      <c r="H11" s="159">
        <f t="shared" ca="1" si="0"/>
        <v>5</v>
      </c>
      <c r="I11" s="159">
        <f t="shared" ref="I11:L11" si="1">I9*100%</f>
        <v>162</v>
      </c>
      <c r="J11" s="159">
        <f t="shared" si="1"/>
        <v>5</v>
      </c>
      <c r="K11" s="159">
        <f>K9*100%</f>
        <v>100</v>
      </c>
      <c r="L11" s="159">
        <f t="shared" si="1"/>
        <v>250</v>
      </c>
      <c r="M11" s="149"/>
      <c r="N11" s="160">
        <f>N9*100%</f>
        <v>180</v>
      </c>
      <c r="O11" s="148" t="str">
        <f>IF(N11&gt;0,"kW","")</f>
        <v>kW</v>
      </c>
      <c r="AQ11" s="117"/>
    </row>
    <row r="12" spans="1:43" ht="16">
      <c r="A12" s="156"/>
      <c r="B12" s="156"/>
      <c r="C12" s="157"/>
      <c r="D12" s="157"/>
      <c r="E12" s="157"/>
      <c r="F12" s="157"/>
      <c r="G12" s="157"/>
      <c r="H12" s="157"/>
      <c r="I12" s="157"/>
      <c r="J12" s="157"/>
      <c r="K12" s="157"/>
      <c r="L12" s="157"/>
      <c r="M12" s="149"/>
      <c r="N12" s="157"/>
      <c r="O12" s="158"/>
      <c r="AQ12" s="117"/>
    </row>
    <row r="13" spans="1:43" ht="16">
      <c r="A13" s="156"/>
      <c r="B13" s="156" t="s">
        <v>2077</v>
      </c>
      <c r="C13" s="157"/>
      <c r="D13" s="157">
        <f>D11/0.8</f>
        <v>6.25</v>
      </c>
      <c r="E13" s="157">
        <f ca="1">E11/1</f>
        <v>5</v>
      </c>
      <c r="F13" s="157">
        <f t="shared" ref="F13:H13" ca="1" si="2">F11/1</f>
        <v>5</v>
      </c>
      <c r="G13" s="157">
        <f t="shared" ca="1" si="2"/>
        <v>5</v>
      </c>
      <c r="H13" s="157">
        <f t="shared" ca="1" si="2"/>
        <v>5</v>
      </c>
      <c r="I13" s="157">
        <f t="shared" ref="I13:L13" si="3">I11/0.8</f>
        <v>202.5</v>
      </c>
      <c r="J13" s="157">
        <f t="shared" si="3"/>
        <v>6.25</v>
      </c>
      <c r="K13" s="157">
        <f t="shared" si="3"/>
        <v>125</v>
      </c>
      <c r="L13" s="157">
        <f t="shared" si="3"/>
        <v>312.5</v>
      </c>
      <c r="M13" s="149"/>
      <c r="N13" s="151">
        <f>N11/0.8</f>
        <v>225</v>
      </c>
      <c r="O13" s="148" t="str">
        <f>IF(N13&gt;0,"kVA","")</f>
        <v>kVA</v>
      </c>
      <c r="AQ13" s="117"/>
    </row>
    <row r="14" spans="1:43" ht="16">
      <c r="A14" s="156"/>
      <c r="B14" s="156"/>
      <c r="C14" s="157"/>
      <c r="D14" s="157"/>
      <c r="E14" s="157"/>
      <c r="F14" s="157"/>
      <c r="G14" s="157"/>
      <c r="H14" s="157"/>
      <c r="I14" s="157"/>
      <c r="J14" s="157"/>
      <c r="K14" s="157"/>
      <c r="L14" s="157"/>
      <c r="M14" s="149"/>
      <c r="N14" s="157"/>
      <c r="O14" s="158"/>
      <c r="AQ14" s="117"/>
    </row>
    <row r="15" spans="1:43" ht="16">
      <c r="A15" s="156"/>
      <c r="B15" s="156" t="s">
        <v>2078</v>
      </c>
      <c r="C15" s="157"/>
      <c r="D15" s="151">
        <f>D13*0%</f>
        <v>0</v>
      </c>
      <c r="E15" s="151">
        <f ca="1">E13*0%</f>
        <v>0</v>
      </c>
      <c r="F15" s="151">
        <f t="shared" ref="F15:L15" ca="1" si="4">F13*0%</f>
        <v>0</v>
      </c>
      <c r="G15" s="151">
        <f t="shared" ca="1" si="4"/>
        <v>0</v>
      </c>
      <c r="H15" s="151">
        <f ca="1">H13*0%</f>
        <v>0</v>
      </c>
      <c r="I15" s="151">
        <f t="shared" si="4"/>
        <v>0</v>
      </c>
      <c r="J15" s="151">
        <f t="shared" si="4"/>
        <v>0</v>
      </c>
      <c r="K15" s="151">
        <f>K13*0%</f>
        <v>0</v>
      </c>
      <c r="L15" s="151">
        <f t="shared" si="4"/>
        <v>0</v>
      </c>
      <c r="M15" s="149"/>
      <c r="N15" s="151">
        <f>N13*0%</f>
        <v>0</v>
      </c>
      <c r="O15" s="148" t="str">
        <f>IF(N15&gt;0,"kVA","")</f>
        <v/>
      </c>
      <c r="AQ15" s="117"/>
    </row>
    <row r="16" spans="1:43" ht="16">
      <c r="A16" s="156"/>
      <c r="B16" s="156"/>
      <c r="C16" s="157"/>
      <c r="D16" s="157"/>
      <c r="E16" s="157"/>
      <c r="F16" s="157"/>
      <c r="G16" s="157"/>
      <c r="H16" s="157"/>
      <c r="I16" s="157"/>
      <c r="J16" s="157"/>
      <c r="K16" s="157"/>
      <c r="L16" s="157"/>
      <c r="M16" s="149"/>
      <c r="N16" s="157"/>
      <c r="O16" s="158"/>
      <c r="AQ16" s="117"/>
    </row>
    <row r="17" spans="1:43" ht="16">
      <c r="A17" s="156"/>
      <c r="B17" s="156" t="s">
        <v>2079</v>
      </c>
      <c r="C17" s="157"/>
      <c r="D17" s="151">
        <f>SUM(D13,D15)</f>
        <v>6.25</v>
      </c>
      <c r="E17" s="151">
        <f ca="1">SUM(E13,E15)</f>
        <v>5</v>
      </c>
      <c r="F17" s="151">
        <f t="shared" ref="F17:L17" ca="1" si="5">SUM(F13,F15)</f>
        <v>5</v>
      </c>
      <c r="G17" s="151">
        <f t="shared" ca="1" si="5"/>
        <v>5</v>
      </c>
      <c r="H17" s="151">
        <f ca="1">SUM(H13,H15)</f>
        <v>5</v>
      </c>
      <c r="I17" s="151">
        <f t="shared" si="5"/>
        <v>202.5</v>
      </c>
      <c r="J17" s="151">
        <f t="shared" si="5"/>
        <v>6.25</v>
      </c>
      <c r="K17" s="151">
        <f>SUM(K13,K15)</f>
        <v>125</v>
      </c>
      <c r="L17" s="151">
        <f t="shared" si="5"/>
        <v>312.5</v>
      </c>
      <c r="M17" s="149"/>
      <c r="N17" s="151">
        <f>SUM(N13,N15)</f>
        <v>225</v>
      </c>
      <c r="O17" s="148" t="str">
        <f>IF(N17&gt;0,"kVA","")</f>
        <v>kVA</v>
      </c>
      <c r="AQ17" s="117"/>
    </row>
    <row r="18" spans="1:43" ht="16">
      <c r="A18" s="156"/>
      <c r="B18" s="156"/>
      <c r="C18" s="157"/>
      <c r="D18" s="157"/>
      <c r="E18" s="157"/>
      <c r="F18" s="157"/>
      <c r="G18" s="157"/>
      <c r="H18" s="157"/>
      <c r="I18" s="157"/>
      <c r="J18" s="157"/>
      <c r="K18" s="157"/>
      <c r="L18" s="157"/>
      <c r="M18" s="149"/>
      <c r="N18" s="157"/>
      <c r="O18" s="158"/>
      <c r="AQ18" s="117"/>
    </row>
    <row r="19" spans="1:43" ht="15.75" customHeight="1">
      <c r="A19" s="395" t="s">
        <v>2080</v>
      </c>
      <c r="B19" s="132" t="s">
        <v>2081</v>
      </c>
      <c r="C19" s="134"/>
      <c r="D19" s="162">
        <v>1</v>
      </c>
      <c r="E19" s="162">
        <v>1</v>
      </c>
      <c r="F19" s="162">
        <v>1</v>
      </c>
      <c r="G19" s="162">
        <v>1</v>
      </c>
      <c r="H19" s="162">
        <v>1</v>
      </c>
      <c r="I19" s="162">
        <v>1</v>
      </c>
      <c r="J19" s="162">
        <v>1</v>
      </c>
      <c r="K19" s="162">
        <v>1</v>
      </c>
      <c r="L19" s="162">
        <v>1</v>
      </c>
      <c r="M19" s="146"/>
      <c r="N19" s="162">
        <v>1</v>
      </c>
      <c r="O19" s="133" t="str">
        <f>IF(N19&gt;0,"A","")</f>
        <v>A</v>
      </c>
      <c r="AQ19" s="117"/>
    </row>
    <row r="20" spans="1:43" ht="16">
      <c r="A20" s="396"/>
      <c r="B20" s="156" t="s">
        <v>2082</v>
      </c>
      <c r="C20" s="157"/>
      <c r="D20" s="147">
        <v>1</v>
      </c>
      <c r="E20" s="147"/>
      <c r="F20" s="147"/>
      <c r="G20" s="147"/>
      <c r="H20" s="147"/>
      <c r="I20" s="147"/>
      <c r="J20" s="147">
        <v>1</v>
      </c>
      <c r="K20" s="147">
        <v>1</v>
      </c>
      <c r="L20" s="147">
        <v>1</v>
      </c>
      <c r="M20" s="149"/>
      <c r="N20" s="147">
        <v>1</v>
      </c>
      <c r="O20" s="148" t="str">
        <f>IF(N20&gt;0,"A","")</f>
        <v>A</v>
      </c>
      <c r="AQ20" s="117"/>
    </row>
    <row r="21" spans="1:43" ht="16">
      <c r="A21" s="397"/>
      <c r="B21" s="139" t="s">
        <v>2083</v>
      </c>
      <c r="C21" s="141"/>
      <c r="D21" s="150">
        <v>1</v>
      </c>
      <c r="E21" s="150"/>
      <c r="F21" s="150"/>
      <c r="G21" s="150"/>
      <c r="H21" s="150"/>
      <c r="I21" s="150"/>
      <c r="J21" s="150">
        <v>1</v>
      </c>
      <c r="K21" s="150">
        <v>1</v>
      </c>
      <c r="L21" s="150">
        <v>1</v>
      </c>
      <c r="M21" s="165"/>
      <c r="N21" s="150">
        <v>1</v>
      </c>
      <c r="O21" s="140" t="str">
        <f>IF(N21&gt;0,"A","")</f>
        <v>A</v>
      </c>
      <c r="AQ21" s="117"/>
    </row>
    <row r="22" spans="1:43" s="129" customFormat="1" ht="16">
      <c r="A22" s="166"/>
      <c r="B22" s="156"/>
      <c r="C22" s="157"/>
      <c r="D22" s="157"/>
      <c r="E22" s="157"/>
      <c r="F22" s="157"/>
      <c r="G22" s="157"/>
      <c r="H22" s="157"/>
      <c r="I22" s="157"/>
      <c r="J22" s="157"/>
      <c r="K22" s="157"/>
      <c r="L22" s="157"/>
      <c r="M22" s="157"/>
      <c r="N22" s="157"/>
      <c r="O22" s="148"/>
    </row>
    <row r="23" spans="1:43" s="129" customFormat="1" ht="19">
      <c r="A23" s="166" t="s">
        <v>2084</v>
      </c>
      <c r="B23" s="156" t="s">
        <v>2085</v>
      </c>
      <c r="C23" s="157"/>
      <c r="D23" s="157">
        <f>IF(D55&lt;&gt;"",D$17*1000/(IF(D57=1,240,IF(D57=3,(SQRT(3)*400)))),"")</f>
        <v>26.041666666666668</v>
      </c>
      <c r="E23" s="157">
        <f ca="1">IFERROR(IF(E55&lt;&gt;"",(SUMPRODUCT(Items!A$242:A$254,Items!AP$242:AP$254)/SUM(Items!A$242:A$254))*IF(OR('Client List'!EE474&gt;0,'Client List'!AA501&gt;0),MAX('Client List'!EE474,'Client List'!IM474,IF(AND('Client List'!EE474=0,'Client List'!IM474=0),'Client List'!EC474,0)),IF(OR('Customer Base'!D7="Grid-Tied",AND('Customer Base'!D7="Hybrid",SUMPRODUCT(Items!A6:A132,Items!AP6:AP132)&gt;0)),1,Items!L1)),0),"")</f>
        <v>42.929999999999993</v>
      </c>
      <c r="F23" s="157">
        <f ca="1">E23</f>
        <v>42.929999999999993</v>
      </c>
      <c r="G23" s="157">
        <f ca="1">E23</f>
        <v>42.929999999999993</v>
      </c>
      <c r="H23" s="157">
        <f ca="1">E23</f>
        <v>42.929999999999993</v>
      </c>
      <c r="I23" s="157">
        <f>SUMPRODUCT(Items!A$6:A$132,Items!AW$6:AW$132)/'Customer Base'!D15</f>
        <v>70</v>
      </c>
      <c r="J23" s="157">
        <f t="shared" ref="J23" si="6">IF(J55&lt;&gt;"",J$17*1000/(IF(J57=1,240,IF(J57=3,(SQRT(3)*400)))),"")</f>
        <v>26.041666666666668</v>
      </c>
      <c r="K23" s="157">
        <f>SUMPRODUCT(Items!A$242:A$254,Items!AP$242:AP$254)/SUM(Items!A$242:A$254)</f>
        <v>14.309999999999999</v>
      </c>
      <c r="L23" s="157">
        <f>SUMPRODUCT(Items!A$242:A$254,Items!AP$242:AP$254)/SUM(Items!A$242:A$254)</f>
        <v>14.309999999999999</v>
      </c>
      <c r="M23" s="157" t="str">
        <f>IF(M55&lt;&gt;"",M$17*1000/(IF(M57=1,240,IF(M57=3,(SQRT(3)*415)))),"")</f>
        <v/>
      </c>
      <c r="N23" s="157">
        <f>IF(N55&lt;&gt;"",N$17*1000/(IF(N57=1,240,IF(N57=3,(SQRT(3)*415)))),"")</f>
        <v>313.02123028353208</v>
      </c>
      <c r="O23" s="148" t="str">
        <f>IF(N23&gt;0,"A","")</f>
        <v>A</v>
      </c>
    </row>
    <row r="24" spans="1:43">
      <c r="A24" s="149"/>
      <c r="B24" s="149"/>
      <c r="C24" s="149"/>
      <c r="D24" s="149"/>
      <c r="E24" s="149"/>
      <c r="F24" s="149"/>
      <c r="G24" s="149"/>
      <c r="H24" s="149"/>
      <c r="I24" s="149"/>
      <c r="J24" s="149"/>
      <c r="K24" s="149"/>
      <c r="L24" s="149"/>
      <c r="M24" s="149"/>
      <c r="N24" s="149"/>
      <c r="O24" s="158"/>
      <c r="AQ24" s="117"/>
    </row>
    <row r="25" spans="1:43" s="129" customFormat="1" ht="16">
      <c r="A25" s="166"/>
      <c r="B25" s="156" t="s">
        <v>2086</v>
      </c>
      <c r="C25" s="157"/>
      <c r="D25" s="157">
        <f>IF(ISNUMBER(SEARCH("CU",D$7)),SUM(D19:D21),MAX(D19:D21))</f>
        <v>1</v>
      </c>
      <c r="E25" s="157">
        <f t="shared" ref="E25:L25" si="7">IF(ISNUMBER(SEARCH("CU",E$7)),SUM(E19:E21),MAX(E19:E21))</f>
        <v>1</v>
      </c>
      <c r="F25" s="157">
        <f t="shared" si="7"/>
        <v>1</v>
      </c>
      <c r="G25" s="157">
        <f t="shared" si="7"/>
        <v>1</v>
      </c>
      <c r="H25" s="157">
        <f>IF(ISNUMBER(SEARCH("CU",H$7)),SUM(H19:H21),MAX(H19:H21))</f>
        <v>1</v>
      </c>
      <c r="I25" s="157">
        <f t="shared" si="7"/>
        <v>1</v>
      </c>
      <c r="J25" s="157">
        <f t="shared" si="7"/>
        <v>1</v>
      </c>
      <c r="K25" s="157">
        <f>IF(ISNUMBER(SEARCH("CU",K$7)),SUM(K19:K21),MAX(K19:K21))</f>
        <v>1</v>
      </c>
      <c r="L25" s="157">
        <f t="shared" si="7"/>
        <v>1</v>
      </c>
      <c r="M25" s="157">
        <f>IF(ISNUMBER(SEARCH("CU",M$7)),SUM(M19:M21),MAX(M19:M21))</f>
        <v>0</v>
      </c>
      <c r="N25" s="157">
        <f>IF(ISNUMBER(SEARCH("CU",N$7)),SUM(N19:N21),MAX(N19:N21))</f>
        <v>1</v>
      </c>
      <c r="O25" s="148" t="str">
        <f>IF(N25&gt;0,"A","")</f>
        <v>A</v>
      </c>
    </row>
    <row r="26" spans="1:43" s="129" customFormat="1" ht="16">
      <c r="A26" s="166"/>
      <c r="B26" s="156"/>
      <c r="C26" s="157"/>
      <c r="D26" s="157"/>
      <c r="E26" s="157"/>
      <c r="F26" s="157"/>
      <c r="G26" s="157"/>
      <c r="H26" s="157"/>
      <c r="I26" s="157"/>
      <c r="J26" s="157"/>
      <c r="K26" s="157"/>
      <c r="L26" s="157"/>
      <c r="M26" s="157"/>
      <c r="N26" s="157"/>
      <c r="O26" s="148"/>
    </row>
    <row r="27" spans="1:43" s="129" customFormat="1" ht="19">
      <c r="A27" s="166" t="s">
        <v>2087</v>
      </c>
      <c r="B27" s="156" t="s">
        <v>2088</v>
      </c>
      <c r="C27" s="157"/>
      <c r="D27" s="157">
        <f>IF(D$23&lt;&gt;0,IF(D$23*1.2&lt;3,3,IF(D$23*1.2&lt;6,6,IF(D$23*1.2&lt;10,10,IF(D$23*1.2&lt;16,16,IF(D$23*1.2&lt;20,20,IF(D$23*1.2&lt;25,25,IF(D$23*1.2&lt;32,32,IF(D$23*1.2&lt;40,40,IF(D$23*1.2&lt;50,50,IF(D$23*1.2&lt;63,63,IF(D$23*1.2&lt;80,80,IF(D$23*1.2&lt;100,100,IF(D$23*1.2&lt;125,125,IF(D$23*1.2&lt;150,150,IF(D$23*1.2&lt;200,200,IF(D$23*1.2&lt;250,250,IF(D$23*1.2&lt;320,320,IF(D$23*1.2&lt;400,400,IF(D$23*1.2&lt;500,500,IF(D$23*1.2&lt;630,630,IF(D$23*1.2&lt;800,800,IF(D$23*1.2&lt;1000,1000,IF(D$23*1.2&lt;1200,1200,IF(D$23*1.2&lt;1400,1400,IF(D$23*1.2&lt;1600,1600,""))))))))))))))))))))))))),"")</f>
        <v>32</v>
      </c>
      <c r="E27" s="157">
        <f t="shared" ref="E27:N27" ca="1" si="8">IF(E$23&lt;&gt;0,IF(E$23&lt;3,3,IF(E$23&lt;6,6,IF(E$23&lt;10,10,IF(E$23&lt;16,16,IF(E$23&lt;20,20,IF(E$23&lt;25,25,IF(E$23&lt;32,32,IF(E$23&lt;40,40,IF(E$23&lt;50,50,IF(E$23&lt;63,63,IF(E$23&lt;80,80,IF(E$23&lt;100,100,IF(E$23&lt;125,125,IF(E$23&lt;150,150,IF(E$23&lt;200,200,IF(E$23&lt;250,250,IF(E$23&lt;320,320,IF(E$23&lt;400,400,IF(E$23&lt;500,500,IF(E$23&lt;630,630,IF(E$23&lt;800,800,IF(E$23&lt;1000,1000,IF(E$23&lt;1200,1200,IF(E$23&lt;1400,1400,IF(E$23&lt;1600,1600,""))))))))))))))))))))))))),"")</f>
        <v>50</v>
      </c>
      <c r="F27" s="157">
        <f t="shared" ca="1" si="8"/>
        <v>50</v>
      </c>
      <c r="G27" s="157">
        <f t="shared" ca="1" si="8"/>
        <v>50</v>
      </c>
      <c r="H27" s="157">
        <f t="shared" ca="1" si="8"/>
        <v>50</v>
      </c>
      <c r="I27" s="157">
        <f t="shared" si="8"/>
        <v>80</v>
      </c>
      <c r="J27" s="157">
        <f>IF(J$23&lt;&gt;0,IF(J$23*1.2&lt;3,3,IF(J$23*1.2&lt;6,6,IF(J$23*1.2&lt;10,10,IF(J$23*1.2&lt;16,16,IF(J$23*1.2&lt;20,20,IF(J$23*1.2&lt;25,25,IF(J$23*1.2&lt;32,32,IF(J$23*1.2&lt;40,40,IF(J$23*1.2&lt;50,50,IF(J$23*1.2&lt;63,63,IF(J$23*1.2&lt;80,80,IF(J$23*1.2&lt;100,100,IF(J$23*1.2&lt;125,125,IF(J$23*1.2&lt;150,150,IF(J$23*1.2&lt;200,200,IF(J$23*1.2&lt;250,250,IF(J$23*1.2&lt;320,320,IF(J$23*1.2&lt;400,400,IF(J$23*1.2&lt;500,500,IF(J$23*1.2&lt;630,630,IF(J$23*1.2&lt;800,800,IF(J$23*1.2&lt;1000,1000,IF(J$23*1.2&lt;1200,1200,IF(J$23*1.2&lt;1400,1400,IF(J$23*1.2&lt;1600,1600,""))))))))))))))))))))))))),"")</f>
        <v>32</v>
      </c>
      <c r="K27" s="157">
        <f t="shared" si="8"/>
        <v>16</v>
      </c>
      <c r="L27" s="157">
        <f t="shared" si="8"/>
        <v>16</v>
      </c>
      <c r="M27" s="157" t="str">
        <f t="shared" si="8"/>
        <v/>
      </c>
      <c r="N27" s="167">
        <f t="shared" si="8"/>
        <v>320</v>
      </c>
      <c r="O27" s="148" t="str">
        <f>IF(N27&lt;&gt;"","A","")</f>
        <v>A</v>
      </c>
    </row>
    <row r="28" spans="1:43" s="129" customFormat="1" ht="16">
      <c r="A28" s="166"/>
      <c r="B28" s="156"/>
      <c r="C28" s="157"/>
      <c r="D28" s="157"/>
      <c r="E28" s="157"/>
      <c r="F28" s="157"/>
      <c r="G28" s="157"/>
      <c r="H28" s="157"/>
      <c r="I28" s="157"/>
      <c r="J28" s="157"/>
      <c r="K28" s="157"/>
      <c r="L28" s="157"/>
      <c r="M28" s="157"/>
      <c r="N28" s="157"/>
      <c r="O28" s="148"/>
    </row>
    <row r="29" spans="1:43" s="129" customFormat="1" ht="18.75" customHeight="1">
      <c r="A29" s="168" t="s">
        <v>2089</v>
      </c>
      <c r="B29" s="156" t="s">
        <v>2090</v>
      </c>
      <c r="C29" s="157"/>
      <c r="D29" s="157">
        <f>IF(D$25=0,"",D27/(PRODUCT(D61:D67)))</f>
        <v>35.555555555555557</v>
      </c>
      <c r="E29" s="157">
        <f ca="1">IFERROR(IF(E$25=0,"",E27/(PRODUCT(E61:E67))),"")</f>
        <v>50</v>
      </c>
      <c r="F29" s="157">
        <f t="shared" ref="F29:H29" ca="1" si="9">IFERROR(IF(F$25=0,"",F27/(PRODUCT(F61:F67))),"")</f>
        <v>50</v>
      </c>
      <c r="G29" s="157">
        <f t="shared" ca="1" si="9"/>
        <v>50</v>
      </c>
      <c r="H29" s="157">
        <f t="shared" ca="1" si="9"/>
        <v>50</v>
      </c>
      <c r="I29" s="157">
        <f t="shared" ref="I29:L29" si="10">IF(I$25=0,"",I27/(PRODUCT(I61:I67)))</f>
        <v>98.76543209876543</v>
      </c>
      <c r="J29" s="157">
        <f t="shared" si="10"/>
        <v>32</v>
      </c>
      <c r="K29" s="157">
        <f>IF(K$25=0,"",K27/(PRODUCT(K61:K67)))</f>
        <v>16</v>
      </c>
      <c r="L29" s="157">
        <f t="shared" si="10"/>
        <v>16</v>
      </c>
      <c r="M29" s="157" t="str">
        <f>IF(M$25=0,"",M23/(PRODUCT(M61:M67)))</f>
        <v/>
      </c>
      <c r="N29" s="157">
        <f>IF(N$25=0,"",N27/(PRODUCT(N61:N67)))</f>
        <v>355.55555555555554</v>
      </c>
      <c r="O29" s="148" t="str">
        <f>IF(N29&lt;&gt;"","A","")</f>
        <v>A</v>
      </c>
    </row>
    <row r="30" spans="1:43" s="129" customFormat="1" ht="15.75" customHeight="1">
      <c r="A30" s="168"/>
      <c r="B30" s="156"/>
      <c r="C30" s="157"/>
      <c r="D30" s="157"/>
      <c r="E30" s="157"/>
      <c r="F30" s="157"/>
      <c r="G30" s="157"/>
      <c r="H30" s="157"/>
      <c r="I30" s="157"/>
      <c r="J30" s="157"/>
      <c r="K30" s="157"/>
      <c r="L30" s="157"/>
      <c r="M30" s="157"/>
      <c r="N30" s="157"/>
      <c r="O30" s="148"/>
    </row>
    <row r="31" spans="1:43" s="129" customFormat="1" ht="19">
      <c r="A31" s="166" t="s">
        <v>2091</v>
      </c>
      <c r="B31" s="156" t="s">
        <v>2092</v>
      </c>
      <c r="C31" s="157"/>
      <c r="D31" s="157">
        <f>IF(D$25=0,"",MAX(D33:D35)*(PRODUCT(D61:D67)))</f>
        <v>32.4</v>
      </c>
      <c r="E31" s="157">
        <f t="shared" ref="E31:L31" ca="1" si="11">IF(E$25=0,"",MAX(E33:E35)*(PRODUCT(E61:E67)))</f>
        <v>37</v>
      </c>
      <c r="F31" s="157">
        <f t="shared" ca="1" si="11"/>
        <v>47</v>
      </c>
      <c r="G31" s="157">
        <f t="shared" ca="1" si="11"/>
        <v>65</v>
      </c>
      <c r="H31" s="157">
        <f ca="1">IF(H$25=0,"",MAX(H33:H35)*(PRODUCT(H61:H67)))</f>
        <v>87</v>
      </c>
      <c r="I31" s="157">
        <f t="shared" si="11"/>
        <v>105.30000000000001</v>
      </c>
      <c r="J31" s="157">
        <f t="shared" si="11"/>
        <v>36</v>
      </c>
      <c r="K31" s="157">
        <f>IF(K$25=0,"",MAX(K33:K35)*(PRODUCT(K61:K67)))</f>
        <v>37</v>
      </c>
      <c r="L31" s="157">
        <f t="shared" si="11"/>
        <v>47</v>
      </c>
      <c r="M31" s="157" t="str">
        <f>IF(M$25=0,"",MAX(M33:M35)*(PRODUCT(M61:M67)))</f>
        <v/>
      </c>
      <c r="N31" s="157">
        <f>IF(N$25=0,"",MAX(N33:N35)*(PRODUCT(N61:N67)))</f>
        <v>356.40000000000003</v>
      </c>
      <c r="O31" s="148" t="str">
        <f>IF(L31&lt;&gt;"","A","")</f>
        <v>A</v>
      </c>
    </row>
    <row r="32" spans="1:43" s="129" customFormat="1" ht="16">
      <c r="A32" s="156"/>
      <c r="B32" s="156"/>
      <c r="C32" s="157"/>
      <c r="D32" s="157"/>
      <c r="E32" s="157"/>
      <c r="F32" s="157"/>
      <c r="G32" s="157"/>
      <c r="H32" s="157"/>
      <c r="I32" s="157"/>
      <c r="J32" s="157"/>
      <c r="K32" s="157"/>
      <c r="L32" s="157"/>
      <c r="M32" s="157"/>
      <c r="N32" s="157"/>
      <c r="O32" s="148"/>
    </row>
    <row r="33" spans="1:15" s="129" customFormat="1" ht="16">
      <c r="A33" s="134"/>
      <c r="B33" s="132"/>
      <c r="C33" s="134"/>
      <c r="D33" s="134">
        <f>IF(D29="","",IF(ISNUMBER(SEARCH("4D",D51)),IF(AND(D51="4D1",D53=2),LOOKUP(D84,T!$M6:$M27,T!$B6:$B22),IF(AND(D51="4D1",D53=3),LOOKUP(D84,T!$M6:$M27,T!$C6:$C22),IF(AND(D51="4D1",D53=4),LOOKUP(D84,T!$M6:$M27,T!$D6:$D25),IF(AND(D51="4D1",D53=5),LOOKUP(D84,T!$M6:$M27,T!$E6:$E25),IF(AND(D51="4D1",D53=6),LOOKUP(D84,T!$M6:$M27,T!$F6:$F27),IF(AND(D51="4D1",D53=7),LOOKUP(D84,T!$M6:$M27,T!$G6:$G27),IF(AND(D51="4D1",D53=8),LOOKUP(D84,T!$M13:$M27,T!$H13:$H27),IF(AND(D51="4D1",D53=9),LOOKUP(D84,T!$M13:$M27,T!$I13:$I27),IF(AND(D51="4D1",D53=10),LOOKUP(D84,T!$M13:$M27,T!$J13:$J27),IF(AND(D51="4D1",D53=11),LOOKUP(D84,T!$M13:$M27,T!$K13:$K27),IF(AND(D51="4D1",D53=12),LOOKUP(D84,T!$M13:$M27,T!$L13:$L27),IF(AND(D51="4D2",D53=2),LOOKUP(D84,T!$J33:$J50,T!$B33:$B49),IF(AND(D51="4D2",D53=3),LOOKUP(D84,T!$J33:$J50,T!$C33:$C49),IF(AND(D51="4D2",D53=4),LOOKUP(D84,T!$J33:$J50,T!$D33:$D50),IF(AND(D51="4D2",D53=5),LOOKUP(D84,T!$J33:$J50,T!$E33:$E50),IF(AND(D51="4D2",D53=6),LOOKUP(D84,T!$J33:$J50,T!$F33:$F50),IF(AND(D51="4D2",D53=7),LOOKUP(D84,T!$J33:$J50,T!$G33:$G50),IF(AND(D51="4D2",D53=8),LOOKUP(D84,T!$J33:$J50,T!$H33:$H50),IF(AND(D51="4D2",D53=9),LOOKUP(D84,T!$J33:$J50,T!$I33:$I50),IF(AND(D51="4D3",D53=2),LOOKUP(D84,T!$M56:$M68,T!$B56:$B68),IF(AND(D51="4D3",D53=3),LOOKUP(D84,T!$M56:$M68,T!$C56:$C68),IF(AND(D51="4D3",D53=4),LOOKUP(D84,T!$M56:$M68,T!$D56:$D$68),IF(AND(D51="4D3",D53=5),LOOKUP(D84,T!$M56:$M68,T!$E56:$E68),IF(AND(D51="4D3",D53=6),LOOKUP(D84,T!$M56:$M68,T!$F56:$F68),IF(AND(D51="4D3",D53=7),LOOKUP(D84,T!$M56:$M68,T!$G56:$G68),IF(AND(D51="4D3",D53=8),LOOKUP(D84,T!$M56:$M68,T!$H56:$H68),IF(AND(D51="4D3",D53=9),LOOKUP(D84,T!$M56:$M68,T!$I56:$I68),IF(AND(D51="4D3",D53=10),LOOKUP(D84,T!$M56:$M68,T!$J56:$J68),IF(AND(D51="4D3",D53=11),LOOKUP(D84,T!$M56:$M68,T!$K56:$K68),IF(AND(D51="4D3",D53=12),LOOKUP(D84,T!$M56:$M68,T!$L56:$L68),IF(AND(D51="4D4",D53=2),LOOKUP(D84,T!$H74:$H90,T!$B74:$B90),IF(AND(D51="4D4",D53=3),LOOKUP(D84,T!$H74:$H90,T!$C74:$C90),IF(AND(D51="4D4",D53=4),LOOKUP(D84,T!$H74:$H90,T!$D74:$D90),IF(AND(D51="4D4",D53=5),LOOKUP(D84,T!$H74:$H90,T!$E74:$E90),IF(AND(D51="4D4",D53=6),LOOKUP(D84,T!$H74:$H90,T!$F74:$F89),IF(AND(D51="4D4",D53=7),LOOKUP(D84,T!$H74:$H90,T!$G74:$G89),IF(AND(D51="4D5",D53=2),LOOKUP(D84,T!$I96:$I102,T!$B96:$B102),IF(AND(D51="4D5",D53=3),LOOKUP(D84,T!$I96:$I102,T!$C96:$C102),IF(AND(D51="4D5",D53=4),LOOKUP(D84,T!$I96:$I102,T!$D96:$D102),IF(AND(D51="4D5",D53=5),LOOKUP(D84,T!$I96:$I102,T!$E96:$E102),IF(AND(D51="4D5",D53=6),LOOKUP(D84,T!$I96:$I102,T!$F96:$F102),IF(AND(D51="4D5",D53=7),LOOKUP(D84,T!$I96:$I102,T!$G96:$G102),"-")))))))))))))))))))))))))))))))))))))))))),IF(ISNUMBER(SEARCH("4E",D51)),IF(AND(D51="4E1",D53=2),LOOKUP(D84,T!$M108:$M129,T!$B108:$B124),IF(AND(D51="4E1",D53=3),LOOKUP(D84,T!$M108:$M129,T!$C108:$C124),IF(AND(D51="4E1",D53=4),LOOKUP(D84,T!$M108:$M129,T!$D108:$D127),IF(AND(D51="4E1",D53=5),LOOKUP(D84,T!$M108:$M129,T!$E108:$E127),IF(AND(D51="4E1",D53=6),LOOKUP(D84,T!$M108:$M129,T!$F108:$F129),IF(AND(D51="4E1",D53=7),LOOKUP(D84,T!$M108:$M129,T!$G108:$G129),IF(AND(D51="4E1",D53=8),LOOKUP(D84,T!$M115:$M129,T!$H115:$H129),IF(AND(D51="4E1",D53=9),LOOKUP(D84,T!$M115:$M129,T!$I115:$I129),IF(AND(D51="4E1",D53=10),LOOKUP(D84,T!$M115:$M129,T!$J115:$J129),IF(AND(D51="4E1",D53=11),LOOKUP(D84,T!$M115:$M129,T!$K115:$K129),IF(AND(D51="4E1",D53=12),LOOKUP(D84,T!$M115:$M129,T!$L115:$L129),IF(AND(D51="4E2",D53=2),LOOKUP(D84,T!$J135:$J152,T!$B135:$B151),IF(AND(D51="4E2",D53=3),LOOKUP(D84,T!$J135:$J152,T!$C135:$C151),IF(AND(D51="4E2",D53=4),LOOKUP(D84,T!$J135:$J152,T!$D135:$D152),IF(AND(D51="4E2",D53=5),LOOKUP(D84,T!$J135:$J152,T!$E135:$E152),IF(AND(D51="4E2",D53=6),LOOKUP(D84,T!$J135:$J152,T!$F135:$F152),IF(AND(D51="4E2",D53=7),LOOKUP(D84,T!$J135:$J152,T!$G135:$G152),IF(AND(D51="4E2",D53=8),LOOKUP(D84,T!$J135:$J152,T!$H135:$H152),IF(AND(D51="4E2",D53=9),LOOKUP(D84,T!$J135:$J152,T!$I135:$I152),IF(AND(D51="4E3",D53=2),LOOKUP(D84,T!$M158:$M170,T!$B158:$B170),IF(AND(D51="4E3",D53=3),LOOKUP(D84,T!$M158:$M170,T!$C158:$C170),IF(AND(D51="4E3",D53=4),LOOKUP(D84,T!$M158:$M170,T!$D158:$D170),IF(AND(D51="4E3",D53=5),LOOKUP(D84,T!$M158:$M170,T!$E158:$E170),IF(AND(D51="4E3",D53=6),LOOKUP(D84,T!$M158:$M170,T!$F158:$F170),IF(AND(D51="4E3",D53=7),LOOKUP(D84,T!$M158:$M170,T!$G158:$G170),IF(AND(D51="4E3",D53=8),LOOKUP(D84,T!$M158:$M170,T!$H158:$H170),IF(AND(D51="4E3",D53=9),LOOKUP(D84,T!$M158:$M170,T!$I158:$I170),IF(AND(D51="4E3",D53=10),LOOKUP(D84,T!$M158:$M170,T!$J158:$J170),IF(AND(D51="4E3",D53=11),LOOKUP(D84,T!$M158:$M170,T!$K158:$K170),IF(AND(D51="4E3",D53=12),LOOKUP(D84,T!$M158:$M170,T!$L158:$L170),IF(AND(D51="4E4",D53=2),LOOKUP(D84,T!$H176:$H192,T!$B176:$B192),IF(AND(D51="4E4",D53=3),LOOKUP(D84,T!$H176:$H192,T!$C176:$C192),IF(AND(D51="4E4",D53=4),LOOKUP(D84,T!$H176:$H192,T!$D176:$D192),IF(AND(D51="4E4",D53=5),LOOKUP(D84,T!$H176:$H192,T!$E176:$E192),IF(AND(D51="4E4",D53=6),LOOKUP(D84,T!$H176:$H192,T!$F176:$F191),IF(AND(D51="4E4",D53=7),LOOKUP(D84,T!$H176:$H192,T!$G176:$G191),"-")))))))))))))))))))))))))))))))))))),IF(ISNUMBER(SEARCH("4F",D51)),IF(AND(D51="4F1",D53=2),LOOKUP(D84,T!$E198:$E214,T!$B198:$B202),IF(AND(D51="4F1",D53=3),LOOKUP(D84,T!$E198:$E214,T!$C198:$C211),IF(AND(D51="4F1",D53=4),LOOKUP(D84,T!$E203:$E214,T!$D203:$D214),IF(AND(D51="4F2",D53=2),LOOKUP(D84,T!$E220:$E236,T!$B220:$B224),IF(AND(D51="4F2",D53=3),LOOKUP(D84,T!$E220:$E236,T!$C220:$C233),IF(AND(D51="4F2",D53=4),LOOKUP(D84,T!$E225:$E236,T!$D225:$D236),IF(AND(D51="4F3",D53=2),LOOKUP(D84,T!$E242:$E248,T!$B242:$B248),IF(AND(D51="4F3",D53=3),LOOKUP(D84,T!$E242:$E248,T!$C242:$C248),"-")))))))),""))))</f>
        <v>36</v>
      </c>
      <c r="E33" s="134">
        <f ca="1">IF(E29="","",IF(ISNUMBER(SEARCH("4D",E51)),IF(AND(E51="4D1",E53=2),LOOKUP(E84,T!$M6:$M27,T!$B6:$B22),IF(AND(E51="4D1",E53=3),LOOKUP(E84,T!$M6:$M27,T!$C6:$C22),IF(AND(E51="4D1",E53=4),LOOKUP(E84,T!$M6:$M27,T!$D6:$D25),IF(AND(E51="4D1",E53=5),LOOKUP(E84,T!$M6:$M27,T!$E6:$E25),IF(AND(E51="4D1",E53=6),LOOKUP(E84,T!$M6:$M27,T!$F6:$F27),IF(AND(E51="4D1",E53=7),LOOKUP(E84,T!$M6:$M27,T!$G6:$G27),IF(AND(E51="4D1",E53=8),LOOKUP(E84,T!$M13:$M27,T!$H13:$H27),IF(AND(E51="4D1",E53=9),LOOKUP(E84,T!$M13:$M27,T!$I13:$I27),IF(AND(E51="4D1",E53=10),LOOKUP(E84,T!$M13:$M27,T!$J13:$J27),IF(AND(E51="4D1",E53=11),LOOKUP(E84,T!$M13:$M27,T!$K13:$K27),IF(AND(E51="4D1",E53=12),LOOKUP(E84,T!$M13:$M27,T!$L13:$L27),IF(AND(E51="4D2",E53=2),LOOKUP(E84,T!$J33:$J50,T!$B33:$B49),IF(AND(E51="4D2",E53=3),LOOKUP(E84,T!$J33:$J50,T!$C33:$C49),IF(AND(E51="4D2",E53=4),LOOKUP(E84,T!$J33:$J50,T!$D33:$D50),IF(AND(E51="4D2",E53=5),LOOKUP(E84,T!$J33:$J50,T!$E33:$E50),IF(AND(E51="4D2",E53=6),LOOKUP(E84,T!$J33:$J50,T!$F33:$F50),IF(AND(E51="4D2",E53=7),LOOKUP(E84,T!$J33:$J50,T!$G33:$G50),IF(AND(E51="4D2",E53=8),LOOKUP(E84,T!$J33:$J50,T!$H33:$H50),IF(AND(E51="4D2",E53=9),LOOKUP(E84,T!$J33:$J50,T!$I33:$I50),IF(AND(E51="4D3",E53=2),LOOKUP(E84,T!$M56:$M68,T!$B56:$B68),IF(AND(E51="4D3",E53=3),LOOKUP(E84,T!$M56:$M68,T!$C56:$C68),IF(AND(E51="4D3",E53=4),LOOKUP(E84,T!$M56:$M68,T!$D56:$D$68),IF(AND(E51="4D3",E53=5),LOOKUP(E84,T!$M56:$M68,T!$E56:$E68),IF(AND(E51="4D3",E53=6),LOOKUP(E84,T!$M56:$M68,T!$F56:$F68),IF(AND(E51="4D3",E53=7),LOOKUP(E84,T!$M56:$M68,T!$G56:$G68),IF(AND(E51="4D3",E53=8),LOOKUP(E84,T!$M56:$M68,T!$H56:$H68),IF(AND(E51="4D3",E53=9),LOOKUP(E84,T!$M56:$M68,T!$I56:$I68),IF(AND(E51="4D3",E53=10),LOOKUP(E84,T!$M56:$M68,T!$J56:$J68),IF(AND(E51="4D3",E53=11),LOOKUP(E84,T!$M56:$M68,T!$K56:$K68),IF(AND(E51="4D3",E53=12),LOOKUP(E84,T!$M56:$M68,T!$L56:$L68),IF(AND(E51="4D4",E53=2),LOOKUP(E84,T!$H74:$H90,T!$B74:$B90),IF(AND(E51="4D4",E53=3),LOOKUP(E84,T!$H74:$H90,T!$C74:$C90),IF(AND(E51="4D4",E53=4),LOOKUP(E84,T!$H74:$H90,T!$D74:$D90),IF(AND(E51="4D4",E53=5),LOOKUP(E84,T!$H74:$H90,T!$E74:$E90),IF(AND(E51="4D4",E53=6),LOOKUP(E84,T!$H74:$H90,T!$F74:$F89),IF(AND(E51="4D4",E53=7),LOOKUP(E84,T!$H74:$H90,T!$G74:$G89),IF(AND(E51="4D5",E53=2),LOOKUP(E84,T!$I96:$I102,T!$B96:$B102),IF(AND(E51="4D5",E53=3),LOOKUP(E84,T!$I96:$I102,T!$C96:$C102),IF(AND(E51="4D5",E53=4),LOOKUP(E84,T!$I96:$I102,T!$D96:$D102),IF(AND(E51="4D5",E53=5),LOOKUP(E84,T!$I96:$I102,T!$E96:$E102),IF(AND(E51="4D5",E53=6),LOOKUP(E84,T!$I96:$I102,T!$F96:$F102),IF(AND(E51="4D5",E53=7),LOOKUP(E84,T!$I96:$I102,T!$G96:$G102),"-")))))))))))))))))))))))))))))))))))))))))),IF(ISNUMBER(SEARCH("4E",E51)),IF(AND(E51="4E1",E53=2),LOOKUP(E84,T!$M108:$M129,T!$B108:$B124),IF(AND(E51="4E1",E53=3),LOOKUP(E84,T!$M108:$M129,T!$C108:$C124),IF(AND(E51="4E1",E53=4),LOOKUP(E84,T!$M108:$M129,T!$D108:$D127),IF(AND(E51="4E1",E53=5),LOOKUP(E84,T!$M108:$M129,T!$E108:$E127),IF(AND(E51="4E1",E53=6),LOOKUP(E84,T!$M108:$M129,T!$F108:$F129),IF(AND(E51="4E1",E53=7),LOOKUP(E84,T!$M108:$M129,T!$G108:$G129),IF(AND(E51="4E1",E53=8),LOOKUP(E84,T!$M115:$M129,T!$H115:$H129),IF(AND(E51="4E1",E53=9),LOOKUP(E84,T!$M115:$M129,T!$I115:$I129),IF(AND(E51="4E1",E53=10),LOOKUP(E84,T!$M115:$M129,T!$J115:$J129),IF(AND(E51="4E1",E53=11),LOOKUP(E84,T!$M115:$M129,T!$K115:$K129),IF(AND(E51="4E1",E53=12),LOOKUP(E84,T!$M115:$M129,T!$L115:$L129),IF(AND(E51="4E2",E53=2),LOOKUP(E84,T!$J135:$J152,T!$B135:$B151),IF(AND(E51="4E2",E53=3),LOOKUP(E84,T!$J135:$J152,T!$C135:$C151),IF(AND(E51="4E2",E53=4),LOOKUP(E84,T!$J135:$J152,T!$D135:$D152),IF(AND(E51="4E2",E53=5),LOOKUP(E84,T!$J135:$J152,T!$E135:$E152),IF(AND(E51="4E2",E53=6),LOOKUP(E84,T!$J135:$J152,T!$F135:$F152),IF(AND(E51="4E2",E53=7),LOOKUP(E84,T!$J135:$J152,T!$G135:$G152),IF(AND(E51="4E2",E53=8),LOOKUP(E84,T!$J135:$J152,T!$H135:$H152),IF(AND(E51="4E2",E53=9),LOOKUP(E84,T!$J135:$J152,T!$I135:$I152),IF(AND(E51="4E3",E53=2),LOOKUP(E84,T!$M158:$M170,T!$B158:$B170),IF(AND(E51="4E3",E53=3),LOOKUP(E84,T!$M158:$M170,T!$C158:$C170),IF(AND(E51="4E3",E53=4),LOOKUP(E84,T!$M158:$M170,T!$D158:$D170),IF(AND(E51="4E3",E53=5),LOOKUP(E84,T!$M158:$M170,T!$E158:$E170),IF(AND(E51="4E3",E53=6),LOOKUP(E84,T!$M158:$M170,T!$F158:$F170),IF(AND(E51="4E3",E53=7),LOOKUP(E84,T!$M158:$M170,T!$G158:$G170),IF(AND(E51="4E3",E53=8),LOOKUP(E84,T!$M158:$M170,T!$H158:$H170),IF(AND(E51="4E3",E53=9),LOOKUP(E84,T!$M158:$M170,T!$I158:$I170),IF(AND(E51="4E3",E53=10),LOOKUP(E84,T!$M158:$M170,T!$J158:$J170),IF(AND(E51="4E3",E53=11),LOOKUP(E84,T!$M158:$M170,T!$K158:$K170),IF(AND(E51="4E3",E53=12),LOOKUP(E84,T!$M158:$M170,T!$L158:$L170),IF(AND(E51="4E4",E53=2),LOOKUP(E84,T!$H176:$H192,T!$B176:$B192),IF(AND(E51="4E4",E53=3),LOOKUP(E84,T!$H176:$H192,T!$C176:$C192),IF(AND(E51="4E4",E53=4),LOOKUP(E84,T!$H176:$H192,T!$D176:$D192),IF(AND(E51="4E4",E53=5),LOOKUP(E84,T!$H176:$H192,T!$E176:$E192),IF(AND(E51="4E4",E53=6),LOOKUP(E84,T!$H176:$H192,T!$F176:$F191),IF(AND(E51="4E4",E53=7),LOOKUP(E84,T!$H176:$H192,T!$G176:$G191),"-")))))))))))))))))))))))))))))))))))),IF(ISNUMBER(SEARCH("4F",E51)),IF(AND(E51="4F1",E53=2),LOOKUP(E84,T!$E198:$E214,T!$B198:$B202),IF(AND(E51="4F1",E53=3),LOOKUP(E84,T!$E198:$E214,T!$C198:$C211),IF(AND(E51="4F1",E53=4),LOOKUP(E84,T!$E203:$E214,T!$D203:$D214),IF(AND(E51="4F2",E53=2),LOOKUP(E84,T!$E220:$E236,T!$B220:$B224),IF(AND(E51="4F2",E53=3),LOOKUP(E84,T!$E220:$E236,T!$C220:$C233),IF(AND(E51="4F2",E53=4),LOOKUP(E84,T!$E225:$E236,T!$D225:$D236),IF(AND(E51="4F3",E53=2),LOOKUP(E84,T!$E242:$E248,T!$B242:$B248),IF(AND(E51="4F3",E53=3),LOOKUP(E84,T!$E242:$E248,T!$C242:$C248),"-")))))))),""))))</f>
        <v>37</v>
      </c>
      <c r="F33" s="134">
        <f ca="1">IF(F29="","",IF(ISNUMBER(SEARCH("4D",F51)),IF(AND(F51="4D1",F53=2),LOOKUP(F84,T!$M6:$M27,T!$B6:$B22),IF(AND(F51="4D1",F53=3),LOOKUP(F84,T!$M6:$M27,T!$C6:$C22),IF(AND(F51="4D1",F53=4),LOOKUP(F84,T!$M6:$M27,T!$D6:$D25),IF(AND(F51="4D1",F53=5),LOOKUP(F84,T!$M6:$M27,T!$E6:$E25),IF(AND(F51="4D1",F53=6),LOOKUP(F84,T!$M6:$M27,T!$F6:$F27),IF(AND(F51="4D1",F53=7),LOOKUP(F84,T!$M6:$M27,T!$G6:$G27),IF(AND(F51="4D1",F53=8),LOOKUP(F84,T!$M13:$M27,T!$H13:$H27),IF(AND(F51="4D1",F53=9),LOOKUP(F84,T!$M13:$M27,T!$I13:$I27),IF(AND(F51="4D1",F53=10),LOOKUP(F84,T!$M13:$M27,T!$J13:$J27),IF(AND(F51="4D1",F53=11),LOOKUP(F84,T!$M13:$M27,T!$K13:$K27),IF(AND(F51="4D1",F53=12),LOOKUP(F84,T!$M13:$M27,T!$L13:$L27),IF(AND(F51="4D2",F53=2),LOOKUP(F84,T!$J33:$J50,T!$B33:$B49),IF(AND(F51="4D2",F53=3),LOOKUP(F84,T!$J33:$J50,T!$C33:$C49),IF(AND(F51="4D2",F53=4),LOOKUP(F84,T!$J33:$J50,T!$D33:$D50),IF(AND(F51="4D2",F53=5),LOOKUP(F84,T!$J33:$J50,T!$E33:$E50),IF(AND(F51="4D2",F53=6),LOOKUP(F84,T!$J33:$J50,T!$F33:$F50),IF(AND(F51="4D2",F53=7),LOOKUP(F84,T!$J33:$J50,T!$G33:$G50),IF(AND(F51="4D2",F53=8),LOOKUP(F84,T!$J33:$J50,T!$H33:$H50),IF(AND(F51="4D2",F53=9),LOOKUP(F84,T!$J33:$J50,T!$I33:$I50),IF(AND(F51="4D3",F53=2),LOOKUP(F84,T!$M56:$M68,T!$B56:$B68),IF(AND(F51="4D3",F53=3),LOOKUP(F84,T!$M56:$M68,T!$C56:$C68),IF(AND(F51="4D3",F53=4),LOOKUP(F84,T!$M56:$M68,T!$D56:$D$68),IF(AND(F51="4D3",F53=5),LOOKUP(F84,T!$M56:$M68,T!$E56:$E68),IF(AND(F51="4D3",F53=6),LOOKUP(F84,T!$M56:$M68,T!$F56:$F68),IF(AND(F51="4D3",F53=7),LOOKUP(F84,T!$M56:$M68,T!$G56:$G68),IF(AND(F51="4D3",F53=8),LOOKUP(F84,T!$M56:$M68,T!$H56:$H68),IF(AND(F51="4D3",F53=9),LOOKUP(F84,T!$M56:$M68,T!$I56:$I68),IF(AND(F51="4D3",F53=10),LOOKUP(F84,T!$M56:$M68,T!$J56:$J68),IF(AND(F51="4D3",F53=11),LOOKUP(F84,T!$M56:$M68,T!$K56:$K68),IF(AND(F51="4D3",F53=12),LOOKUP(F84,T!$M56:$M68,T!$L56:$L68),IF(AND(F51="4D4",F53=2),LOOKUP(F84,T!$H74:$H90,T!$B74:$B90),IF(AND(F51="4D4",F53=3),LOOKUP(F84,T!$H74:$H90,T!$C74:$C90),IF(AND(F51="4D4",F53=4),LOOKUP(F84,T!$H74:$H90,T!$D74:$D90),IF(AND(F51="4D4",F53=5),LOOKUP(F84,T!$H74:$H90,T!$E74:$E90),IF(AND(F51="4D4",F53=6),LOOKUP(F84,T!$H74:$H90,T!$F74:$F89),IF(AND(F51="4D4",F53=7),LOOKUP(F84,T!$H74:$H90,T!$G74:$G89),IF(AND(F51="4D5",F53=2),LOOKUP(F84,T!$I96:$I102,T!$B96:$B102),IF(AND(F51="4D5",F53=3),LOOKUP(F84,T!$I96:$I102,T!$C96:$C102),IF(AND(F51="4D5",F53=4),LOOKUP(F84,T!$I96:$I102,T!$D96:$D102),IF(AND(F51="4D5",F53=5),LOOKUP(F84,T!$I96:$I102,T!$E96:$E102),IF(AND(F51="4D5",F53=6),LOOKUP(F84,T!$I96:$I102,T!$F96:$F102),IF(AND(F51="4D5",F53=7),LOOKUP(F84,T!$I96:$I102,T!$G96:$G102),"-")))))))))))))))))))))))))))))))))))))))))),IF(ISNUMBER(SEARCH("4E",F51)),IF(AND(F51="4E1",F53=2),LOOKUP(F84,T!$M108:$M129,T!$B108:$B124),IF(AND(F51="4E1",F53=3),LOOKUP(F84,T!$M108:$M129,T!$C108:$C124),IF(AND(F51="4E1",F53=4),LOOKUP(F84,T!$M108:$M129,T!$D108:$D127),IF(AND(F51="4E1",F53=5),LOOKUP(F84,T!$M108:$M129,T!$E108:$E127),IF(AND(F51="4E1",F53=6),LOOKUP(F84,T!$M108:$M129,T!$F108:$F129),IF(AND(F51="4E1",F53=7),LOOKUP(F84,T!$M108:$M129,T!$G108:$G129),IF(AND(F51="4E1",F53=8),LOOKUP(F84,T!$M115:$M129,T!$H115:$H129),IF(AND(F51="4E1",F53=9),LOOKUP(F84,T!$M115:$M129,T!$I115:$I129),IF(AND(F51="4E1",F53=10),LOOKUP(F84,T!$M115:$M129,T!$J115:$J129),IF(AND(F51="4E1",F53=11),LOOKUP(F84,T!$M115:$M129,T!$K115:$K129),IF(AND(F51="4E1",F53=12),LOOKUP(F84,T!$M115:$M129,T!$L115:$L129),IF(AND(F51="4E2",F53=2),LOOKUP(F84,T!$J135:$J152,T!$B135:$B151),IF(AND(F51="4E2",F53=3),LOOKUP(F84,T!$J135:$J152,T!$C135:$C151),IF(AND(F51="4E2",F53=4),LOOKUP(F84,T!$J135:$J152,T!$D135:$D152),IF(AND(F51="4E2",F53=5),LOOKUP(F84,T!$J135:$J152,T!$E135:$E152),IF(AND(F51="4E2",F53=6),LOOKUP(F84,T!$J135:$J152,T!$F135:$F152),IF(AND(F51="4E2",F53=7),LOOKUP(F84,T!$J135:$J152,T!$G135:$G152),IF(AND(F51="4E2",F53=8),LOOKUP(F84,T!$J135:$J152,T!$H135:$H152),IF(AND(F51="4E2",F53=9),LOOKUP(F84,T!$J135:$J152,T!$I135:$I152),IF(AND(F51="4E3",F53=2),LOOKUP(F84,T!$M158:$M170,T!$B158:$B170),IF(AND(F51="4E3",F53=3),LOOKUP(F84,T!$M158:$M170,T!$C158:$C170),IF(AND(F51="4E3",F53=4),LOOKUP(F84,T!$M158:$M170,T!$D158:$D170),IF(AND(F51="4E3",F53=5),LOOKUP(F84,T!$M158:$M170,T!$E158:$E170),IF(AND(F51="4E3",F53=6),LOOKUP(F84,T!$M158:$M170,T!$F158:$F170),IF(AND(F51="4E3",F53=7),LOOKUP(F84,T!$M158:$M170,T!$G158:$G170),IF(AND(F51="4E3",F53=8),LOOKUP(F84,T!$M158:$M170,T!$H158:$H170),IF(AND(F51="4E3",F53=9),LOOKUP(F84,T!$M158:$M170,T!$I158:$I170),IF(AND(F51="4E3",F53=10),LOOKUP(F84,T!$M158:$M170,T!$J158:$J170),IF(AND(F51="4E3",F53=11),LOOKUP(F84,T!$M158:$M170,T!$K158:$K170),IF(AND(F51="4E3",F53=12),LOOKUP(F84,T!$M158:$M170,T!$L158:$L170),IF(AND(F51="4E4",F53=2),LOOKUP(F84,T!$H176:$H192,T!$B176:$B192),IF(AND(F51="4E4",F53=3),LOOKUP(F84,T!$H176:$H192,T!$C176:$C192),IF(AND(F51="4E4",F53=4),LOOKUP(F84,T!$H176:$H192,T!$D176:$D192),IF(AND(F51="4E4",F53=5),LOOKUP(F84,T!$H176:$H192,T!$E176:$E192),IF(AND(F51="4E4",F53=6),LOOKUP(F84,T!$H176:$H192,T!$F176:$F191),IF(AND(F51="4E4",F53=7),LOOKUP(F84,T!$H176:$H192,T!$G176:$G191),"-")))))))))))))))))))))))))))))))))))),IF(ISNUMBER(SEARCH("4F",F51)),IF(AND(F51="4F1",F53=2),LOOKUP(F84,T!$E198:$E214,T!$B198:$B202),IF(AND(F51="4F1",F53=3),LOOKUP(F84,T!$E198:$E214,T!$C198:$C211),IF(AND(F51="4F1",F53=4),LOOKUP(F84,T!$E203:$E214,T!$D203:$D214),IF(AND(F51="4F2",F53=2),LOOKUP(F84,T!$E220:$E236,T!$B220:$B224),IF(AND(F51="4F2",F53=3),LOOKUP(F84,T!$E220:$E236,T!$C220:$C233),IF(AND(F51="4F2",F53=4),LOOKUP(F84,T!$E225:$E236,T!$D225:$D236),IF(AND(F51="4F3",F53=2),LOOKUP(F84,T!$E242:$E248,T!$B242:$B248),IF(AND(F51="4F3",F53=3),LOOKUP(F84,T!$E242:$E248,T!$C242:$C248),"-")))))))),""))))</f>
        <v>47</v>
      </c>
      <c r="G33" s="134">
        <f ca="1">IF(G29="","",IF(ISNUMBER(SEARCH("4D",G51)),IF(AND(G51="4D1",G53=2),LOOKUP(G84,T!$M6:$M27,T!$B6:$B22),IF(AND(G51="4D1",G53=3),LOOKUP(G84,T!$M6:$M27,T!$C6:$C22),IF(AND(G51="4D1",G53=4),LOOKUP(G84,T!$M6:$M27,T!$D6:$D25),IF(AND(G51="4D1",G53=5),LOOKUP(G84,T!$M6:$M27,T!$E6:$E25),IF(AND(G51="4D1",G53=6),LOOKUP(G84,T!$M6:$M27,T!$F6:$F27),IF(AND(G51="4D1",G53=7),LOOKUP(G84,T!$M6:$M27,T!$G6:$G27),IF(AND(G51="4D1",G53=8),LOOKUP(G84,T!$M13:$M27,T!$H13:$H27),IF(AND(G51="4D1",G53=9),LOOKUP(G84,T!$M13:$M27,T!$I13:$I27),IF(AND(G51="4D1",G53=10),LOOKUP(G84,T!$M13:$M27,T!$J13:$J27),IF(AND(G51="4D1",G53=11),LOOKUP(G84,T!$M13:$M27,T!$K13:$K27),IF(AND(G51="4D1",G53=12),LOOKUP(G84,T!$M13:$M27,T!$L13:$L27),IF(AND(G51="4D2",G53=2),LOOKUP(G84,T!$J33:$J50,T!$B33:$B49),IF(AND(G51="4D2",G53=3),LOOKUP(G84,T!$J33:$J50,T!$C33:$C49),IF(AND(G51="4D2",G53=4),LOOKUP(G84,T!$J33:$J50,T!$D33:$D50),IF(AND(G51="4D2",G53=5),LOOKUP(G84,T!$J33:$J50,T!$E33:$E50),IF(AND(G51="4D2",G53=6),LOOKUP(G84,T!$J33:$J50,T!$F33:$F50),IF(AND(G51="4D2",G53=7),LOOKUP(G84,T!$J33:$J50,T!$G33:$G50),IF(AND(G51="4D2",G53=8),LOOKUP(G84,T!$J33:$J50,T!$H33:$H50),IF(AND(G51="4D2",G53=9),LOOKUP(G84,T!$J33:$J50,T!$I33:$I50),IF(AND(G51="4D3",G53=2),LOOKUP(G84,T!$M56:$M68,T!$B56:$B68),IF(AND(G51="4D3",G53=3),LOOKUP(G84,T!$M56:$M68,T!$C56:$C68),IF(AND(G51="4D3",G53=4),LOOKUP(G84,T!$M56:$M68,T!$D56:$D$68),IF(AND(G51="4D3",G53=5),LOOKUP(G84,T!$M56:$M68,T!$E56:$E68),IF(AND(G51="4D3",G53=6),LOOKUP(G84,T!$M56:$M68,T!$F56:$F68),IF(AND(G51="4D3",G53=7),LOOKUP(G84,T!$M56:$M68,T!$G56:$G68),IF(AND(G51="4D3",G53=8),LOOKUP(G84,T!$M56:$M68,T!$H56:$H68),IF(AND(G51="4D3",G53=9),LOOKUP(G84,T!$M56:$M68,T!$I56:$I68),IF(AND(G51="4D3",G53=10),LOOKUP(G84,T!$M56:$M68,T!$J56:$J68),IF(AND(G51="4D3",G53=11),LOOKUP(G84,T!$M56:$M68,T!$K56:$K68),IF(AND(G51="4D3",G53=12),LOOKUP(G84,T!$M56:$M68,T!$L56:$L68),IF(AND(G51="4D4",G53=2),LOOKUP(G84,T!$H74:$H90,T!$B74:$B90),IF(AND(G51="4D4",G53=3),LOOKUP(G84,T!$H74:$H90,T!$C74:$C90),IF(AND(G51="4D4",G53=4),LOOKUP(G84,T!$H74:$H90,T!$D74:$D90),IF(AND(G51="4D4",G53=5),LOOKUP(G84,T!$H74:$H90,T!$E74:$E90),IF(AND(G51="4D4",G53=6),LOOKUP(G84,T!$H74:$H90,T!$F74:$F89),IF(AND(G51="4D4",G53=7),LOOKUP(G84,T!$H74:$H90,T!$G74:$G89),IF(AND(G51="4D5",G53=2),LOOKUP(G84,T!$I96:$I102,T!$B96:$B102),IF(AND(G51="4D5",G53=3),LOOKUP(G84,T!$I96:$I102,T!$C96:$C102),IF(AND(G51="4D5",G53=4),LOOKUP(G84,T!$I96:$I102,T!$D96:$D102),IF(AND(G51="4D5",G53=5),LOOKUP(G84,T!$I96:$I102,T!$E96:$E102),IF(AND(G51="4D5",G53=6),LOOKUP(G84,T!$I96:$I102,T!$F96:$F102),IF(AND(G51="4D5",G53=7),LOOKUP(G84,T!$I96:$I102,T!$G96:$G102),"-")))))))))))))))))))))))))))))))))))))))))),IF(ISNUMBER(SEARCH("4E",G51)),IF(AND(G51="4E1",G53=2),LOOKUP(G84,T!$M108:$M129,T!$B108:$B124),IF(AND(G51="4E1",G53=3),LOOKUP(G84,T!$M108:$M129,T!$C108:$C124),IF(AND(G51="4E1",G53=4),LOOKUP(G84,T!$M108:$M129,T!$D108:$D127),IF(AND(G51="4E1",G53=5),LOOKUP(G84,T!$M108:$M129,T!$E108:$E127),IF(AND(G51="4E1",G53=6),LOOKUP(G84,T!$M108:$M129,T!$F108:$F129),IF(AND(G51="4E1",G53=7),LOOKUP(G84,T!$M108:$M129,T!$G108:$G129),IF(AND(G51="4E1",G53=8),LOOKUP(G84,T!$M115:$M129,T!$H115:$H129),IF(AND(G51="4E1",G53=9),LOOKUP(G84,T!$M115:$M129,T!$I115:$I129),IF(AND(G51="4E1",G53=10),LOOKUP(G84,T!$M115:$M129,T!$J115:$J129),IF(AND(G51="4E1",G53=11),LOOKUP(G84,T!$M115:$M129,T!$K115:$K129),IF(AND(G51="4E1",G53=12),LOOKUP(G84,T!$M115:$M129,T!$L115:$L129),IF(AND(G51="4E2",G53=2),LOOKUP(G84,T!$J135:$J152,T!$B135:$B151),IF(AND(G51="4E2",G53=3),LOOKUP(G84,T!$J135:$J152,T!$C135:$C151),IF(AND(G51="4E2",G53=4),LOOKUP(G84,T!$J135:$J152,T!$D135:$D152),IF(AND(G51="4E2",G53=5),LOOKUP(G84,T!$J135:$J152,T!$E135:$E152),IF(AND(G51="4E2",G53=6),LOOKUP(G84,T!$J135:$J152,T!$F135:$F152),IF(AND(G51="4E2",G53=7),LOOKUP(G84,T!$J135:$J152,T!$G135:$G152),IF(AND(G51="4E2",G53=8),LOOKUP(G84,T!$J135:$J152,T!$H135:$H152),IF(AND(G51="4E2",G53=9),LOOKUP(G84,T!$J135:$J152,T!$I135:$I152),IF(AND(G51="4E3",G53=2),LOOKUP(G84,T!$M158:$M170,T!$B158:$B170),IF(AND(G51="4E3",G53=3),LOOKUP(G84,T!$M158:$M170,T!$C158:$C170),IF(AND(G51="4E3",G53=4),LOOKUP(G84,T!$M158:$M170,T!$D158:$D170),IF(AND(G51="4E3",G53=5),LOOKUP(G84,T!$M158:$M170,T!$E158:$E170),IF(AND(G51="4E3",G53=6),LOOKUP(G84,T!$M158:$M170,T!$F158:$F170),IF(AND(G51="4E3",G53=7),LOOKUP(G84,T!$M158:$M170,T!$G158:$G170),IF(AND(G51="4E3",G53=8),LOOKUP(G84,T!$M158:$M170,T!$H158:$H170),IF(AND(G51="4E3",G53=9),LOOKUP(G84,T!$M158:$M170,T!$I158:$I170),IF(AND(G51="4E3",G53=10),LOOKUP(G84,T!$M158:$M170,T!$J158:$J170),IF(AND(G51="4E3",G53=11),LOOKUP(G84,T!$M158:$M170,T!$K158:$K170),IF(AND(G51="4E3",G53=12),LOOKUP(G84,T!$M158:$M170,T!$L158:$L170),IF(AND(G51="4E4",G53=2),LOOKUP(G84,T!$H176:$H192,T!$B176:$B192),IF(AND(G51="4E4",G53=3),LOOKUP(G84,T!$H176:$H192,T!$C176:$C192),IF(AND(G51="4E4",G53=4),LOOKUP(G84,T!$H176:$H192,T!$D176:$D192),IF(AND(G51="4E4",G53=5),LOOKUP(G84,T!$H176:$H192,T!$E176:$E192),IF(AND(G51="4E4",G53=6),LOOKUP(G84,T!$H176:$H192,T!$F176:$F191),IF(AND(G51="4E4",G53=7),LOOKUP(G84,T!$H176:$H192,T!$G176:$G191),"-")))))))))))))))))))))))))))))))))))),IF(ISNUMBER(SEARCH("4F",G51)),IF(AND(G51="4F1",G53=2),LOOKUP(G84,T!$E198:$E214,T!$B198:$B202),IF(AND(G51="4F1",G53=3),LOOKUP(G84,T!$E198:$E214,T!$C198:$C211),IF(AND(G51="4F1",G53=4),LOOKUP(G84,T!$E203:$E214,T!$D203:$D214),IF(AND(G51="4F2",G53=2),LOOKUP(G84,T!$E220:$E236,T!$B220:$B224),IF(AND(G51="4F2",G53=3),LOOKUP(G84,T!$E220:$E236,T!$C220:$C233),IF(AND(G51="4F2",G53=4),LOOKUP(G84,T!$E225:$E236,T!$D225:$D236),IF(AND(G51="4F3",G53=2),LOOKUP(G84,T!$E242:$E248,T!$B242:$B248),IF(AND(G51="4F3",G53=3),LOOKUP(G84,T!$E242:$E248,T!$C242:$C248),"-")))))))),""))))</f>
        <v>65</v>
      </c>
      <c r="H33" s="134">
        <f ca="1">IF(H29="","",IF(ISNUMBER(SEARCH("4D",H51)),IF(AND(H51="4D1",H53=2),LOOKUP(H84,T!$M6:$M27,T!$B6:$B22),IF(AND(H51="4D1",H53=3),LOOKUP(H84,T!$M6:$M27,T!$C6:$C22),IF(AND(H51="4D1",H53=4),LOOKUP(H84,T!$M6:$M27,T!$D6:$D25),IF(AND(H51="4D1",H53=5),LOOKUP(H84,T!$M6:$M27,T!$E6:$E25),IF(AND(H51="4D1",H53=6),LOOKUP(H84,T!$M6:$M27,T!$F6:$F27),IF(AND(H51="4D1",H53=7),LOOKUP(H84,T!$M6:$M27,T!$G6:$G27),IF(AND(H51="4D1",H53=8),LOOKUP(H84,T!$M13:$M27,T!$H13:$H27),IF(AND(H51="4D1",H53=9),LOOKUP(H84,T!$M13:$M27,T!$I13:$I27),IF(AND(H51="4D1",H53=10),LOOKUP(H84,T!$M13:$M27,T!$J13:$J27),IF(AND(H51="4D1",H53=11),LOOKUP(H84,T!$M13:$M27,T!$K13:$K27),IF(AND(H51="4D1",H53=12),LOOKUP(H84,T!$M13:$M27,T!$L13:$L27),IF(AND(H51="4D2",H53=2),LOOKUP(H84,T!$J33:$J50,T!$B33:$B49),IF(AND(H51="4D2",H53=3),LOOKUP(H84,T!$J33:$J50,T!$C33:$C49),IF(AND(H51="4D2",H53=4),LOOKUP(H84,T!$J33:$J50,T!$D33:$D50),IF(AND(H51="4D2",H53=5),LOOKUP(H84,T!$J33:$J50,T!$E33:$E50),IF(AND(H51="4D2",H53=6),LOOKUP(H84,T!$J33:$J50,T!$F33:$F50),IF(AND(H51="4D2",H53=7),LOOKUP(H84,T!$J33:$J50,T!$G33:$G50),IF(AND(H51="4D2",H53=8),LOOKUP(H84,T!$J33:$J50,T!$H33:$H50),IF(AND(H51="4D2",H53=9),LOOKUP(H84,T!$J33:$J50,T!$I33:$I50),IF(AND(H51="4D3",H53=2),LOOKUP(H84,T!$M56:$M68,T!$B56:$B68),IF(AND(H51="4D3",H53=3),LOOKUP(H84,T!$M56:$M68,T!$C56:$C68),IF(AND(H51="4D3",H53=4),LOOKUP(H84,T!$M56:$M68,T!$D56:$D$68),IF(AND(H51="4D3",H53=5),LOOKUP(H84,T!$M56:$M68,T!$E56:$E68),IF(AND(H51="4D3",H53=6),LOOKUP(H84,T!$M56:$M68,T!$F56:$F68),IF(AND(H51="4D3",H53=7),LOOKUP(H84,T!$M56:$M68,T!$G56:$G68),IF(AND(H51="4D3",H53=8),LOOKUP(H84,T!$M56:$M68,T!$H56:$H68),IF(AND(H51="4D3",H53=9),LOOKUP(H84,T!$M56:$M68,T!$I56:$I68),IF(AND(H51="4D3",H53=10),LOOKUP(H84,T!$M56:$M68,T!$J56:$J68),IF(AND(H51="4D3",H53=11),LOOKUP(H84,T!$M56:$M68,T!$K56:$K68),IF(AND(H51="4D3",H53=12),LOOKUP(H84,T!$M56:$M68,T!$L56:$L68),IF(AND(H51="4D4",H53=2),LOOKUP(H84,T!$H74:$H90,T!$B74:$B90),IF(AND(H51="4D4",H53=3),LOOKUP(H84,T!$H74:$H90,T!$C74:$C90),IF(AND(H51="4D4",H53=4),LOOKUP(H84,T!$H74:$H90,T!$D74:$D90),IF(AND(H51="4D4",H53=5),LOOKUP(H84,T!$H74:$H90,T!$E74:$E90),IF(AND(H51="4D4",H53=6),LOOKUP(H84,T!$H74:$H90,T!$F74:$F89),IF(AND(H51="4D4",H53=7),LOOKUP(H84,T!$H74:$H90,T!$G74:$G89),IF(AND(H51="4D5",H53=2),LOOKUP(H84,T!$I96:$I102,T!$B96:$B102),IF(AND(H51="4D5",H53=3),LOOKUP(H84,T!$I96:$I102,T!$C96:$C102),IF(AND(H51="4D5",H53=4),LOOKUP(H84,T!$I96:$I102,T!$D96:$D102),IF(AND(H51="4D5",H53=5),LOOKUP(H84,T!$I96:$I102,T!$E96:$E102),IF(AND(H51="4D5",H53=6),LOOKUP(H84,T!$I96:$I102,T!$F96:$F102),IF(AND(H51="4D5",H53=7),LOOKUP(H84,T!$I96:$I102,T!$G96:$G102),"-")))))))))))))))))))))))))))))))))))))))))),IF(ISNUMBER(SEARCH("4E",H51)),IF(AND(H51="4E1",H53=2),LOOKUP(H84,T!$M108:$M129,T!$B108:$B124),IF(AND(H51="4E1",H53=3),LOOKUP(H84,T!$M108:$M129,T!$C108:$C124),IF(AND(H51="4E1",H53=4),LOOKUP(H84,T!$M108:$M129,T!$D108:$D127),IF(AND(H51="4E1",H53=5),LOOKUP(H84,T!$M108:$M129,T!$E108:$E127),IF(AND(H51="4E1",H53=6),LOOKUP(H84,T!$M108:$M129,T!$F108:$F129),IF(AND(H51="4E1",H53=7),LOOKUP(H84,T!$M108:$M129,T!$G108:$G129),IF(AND(H51="4E1",H53=8),LOOKUP(H84,T!$M115:$M129,T!$H115:$H129),IF(AND(H51="4E1",H53=9),LOOKUP(H84,T!$M115:$M129,T!$I115:$I129),IF(AND(H51="4E1",H53=10),LOOKUP(H84,T!$M115:$M129,T!$J115:$J129),IF(AND(H51="4E1",H53=11),LOOKUP(H84,T!$M115:$M129,T!$K115:$K129),IF(AND(H51="4E1",H53=12),LOOKUP(H84,T!$M115:$M129,T!$L115:$L129),IF(AND(H51="4E2",H53=2),LOOKUP(H84,T!$J135:$J152,T!$B135:$B151),IF(AND(H51="4E2",H53=3),LOOKUP(H84,T!$J135:$J152,T!$C135:$C151),IF(AND(H51="4E2",H53=4),LOOKUP(H84,T!$J135:$J152,T!$D135:$D152),IF(AND(H51="4E2",H53=5),LOOKUP(H84,T!$J135:$J152,T!$E135:$E152),IF(AND(H51="4E2",H53=6),LOOKUP(H84,T!$J135:$J152,T!$F135:$F152),IF(AND(H51="4E2",H53=7),LOOKUP(H84,T!$J135:$J152,T!$G135:$G152),IF(AND(H51="4E2",H53=8),LOOKUP(H84,T!$J135:$J152,T!$H135:$H152),IF(AND(H51="4E2",H53=9),LOOKUP(H84,T!$J135:$J152,T!$I135:$I152),IF(AND(H51="4E3",H53=2),LOOKUP(H84,T!$M158:$M170,T!$B158:$B170),IF(AND(H51="4E3",H53=3),LOOKUP(H84,T!$M158:$M170,T!$C158:$C170),IF(AND(H51="4E3",H53=4),LOOKUP(H84,T!$M158:$M170,T!$D158:$D170),IF(AND(H51="4E3",H53=5),LOOKUP(H84,T!$M158:$M170,T!$E158:$E170),IF(AND(H51="4E3",H53=6),LOOKUP(H84,T!$M158:$M170,T!$F158:$F170),IF(AND(H51="4E3",H53=7),LOOKUP(H84,T!$M158:$M170,T!$G158:$G170),IF(AND(H51="4E3",H53=8),LOOKUP(H84,T!$M158:$M170,T!$H158:$H170),IF(AND(H51="4E3",H53=9),LOOKUP(H84,T!$M158:$M170,T!$I158:$I170),IF(AND(H51="4E3",H53=10),LOOKUP(H84,T!$M158:$M170,T!$J158:$J170),IF(AND(H51="4E3",H53=11),LOOKUP(H84,T!$M158:$M170,T!$K158:$K170),IF(AND(H51="4E3",H53=12),LOOKUP(H84,T!$M158:$M170,T!$L158:$L170),IF(AND(H51="4E4",H53=2),LOOKUP(H84,T!$H176:$H192,T!$B176:$B192),IF(AND(H51="4E4",H53=3),LOOKUP(H84,T!$H176:$H192,T!$C176:$C192),IF(AND(H51="4E4",H53=4),LOOKUP(H84,T!$H176:$H192,T!$D176:$D192),IF(AND(H51="4E4",H53=5),LOOKUP(H84,T!$H176:$H192,T!$E176:$E192),IF(AND(H51="4E4",H53=6),LOOKUP(H84,T!$H176:$H192,T!$F176:$F191),IF(AND(H51="4E4",H53=7),LOOKUP(H84,T!$H176:$H192,T!$G176:$G191),"-")))))))))))))))))))))))))))))))))))),IF(ISNUMBER(SEARCH("4F",H51)),IF(AND(H51="4F1",H53=2),LOOKUP(H84,T!$E198:$E214,T!$B198:$B202),IF(AND(H51="4F1",H53=3),LOOKUP(H84,T!$E198:$E214,T!$C198:$C211),IF(AND(H51="4F1",H53=4),LOOKUP(H84,T!$E203:$E214,T!$D203:$D214),IF(AND(H51="4F2",H53=2),LOOKUP(H84,T!$E220:$E236,T!$B220:$B224),IF(AND(H51="4F2",H53=3),LOOKUP(H84,T!$E220:$E236,T!$C220:$C233),IF(AND(H51="4F2",H53=4),LOOKUP(H84,T!$E225:$E236,T!$D225:$D236),IF(AND(H51="4F3",H53=2),LOOKUP(H84,T!$E242:$E248,T!$B242:$B248),IF(AND(H51="4F3",H53=3),LOOKUP(H84,T!$E242:$E248,T!$C242:$C248),"-")))))))),""))))</f>
        <v>87</v>
      </c>
      <c r="I33" s="134">
        <f>IF(I29="","",IF(ISNUMBER(SEARCH("4D",I51)),IF(AND(I51="4D1",I53=2),LOOKUP(I84,T!$M6:$M27,T!$B6:$B22),IF(AND(I51="4D1",I53=3),LOOKUP(I84,T!$M6:$M27,T!$C6:$C22),IF(AND(I51="4D1",I53=4),LOOKUP(I84,T!$M6:$M27,T!$D6:$D25),IF(AND(I51="4D1",I53=5),LOOKUP(I84,T!$M6:$M27,T!$E6:$E25),IF(AND(I51="4D1",I53=6),LOOKUP(I84,T!$M6:$M27,T!$F6:$F27),IF(AND(I51="4D1",I53=7),LOOKUP(I84,T!$M6:$M27,T!$G6:$G27),IF(AND(I51="4D1",I53=8),LOOKUP(I84,T!$M13:$M27,T!$H13:$H27),IF(AND(I51="4D1",I53=9),LOOKUP(I84,T!$M13:$M27,T!$I13:$I27),IF(AND(I51="4D1",I53=10),LOOKUP(I84,T!$M13:$M27,T!$J13:$J27),IF(AND(I51="4D1",I53=11),LOOKUP(I84,T!$M13:$M27,T!$K13:$K27),IF(AND(I51="4D1",I53=12),LOOKUP(I84,T!$M13:$M27,T!$L13:$L27),IF(AND(I51="4D2",I53=2),LOOKUP(I84,T!$J33:$J50,T!$B33:$B49),IF(AND(I51="4D2",I53=3),LOOKUP(I84,T!$J33:$J50,T!$C33:$C49),IF(AND(I51="4D2",I53=4),LOOKUP(I84,T!$J33:$J50,T!$D33:$D50),IF(AND(I51="4D2",I53=5),LOOKUP(I84,T!$J33:$J50,T!$E33:$E50),IF(AND(I51="4D2",I53=6),LOOKUP(I84,T!$J33:$J50,T!$F33:$F50),IF(AND(I51="4D2",I53=7),LOOKUP(I84,T!$J33:$J50,T!$G33:$G50),IF(AND(I51="4D2",I53=8),LOOKUP(I84,T!$J33:$J50,T!$H33:$H50),IF(AND(I51="4D2",I53=9),LOOKUP(I84,T!$J33:$J50,T!$I33:$I50),IF(AND(I51="4D3",I53=2),LOOKUP(I84,T!$M56:$M68,T!$B56:$B68),IF(AND(I51="4D3",I53=3),LOOKUP(I84,T!$M56:$M68,T!$C56:$C68),IF(AND(I51="4D3",I53=4),LOOKUP(I84,T!$M56:$M68,T!$D56:$D$68),IF(AND(I51="4D3",I53=5),LOOKUP(I84,T!$M56:$M68,T!$E56:$E68),IF(AND(I51="4D3",I53=6),LOOKUP(I84,T!$M56:$M68,T!$F56:$F68),IF(AND(I51="4D3",I53=7),LOOKUP(I84,T!$M56:$M68,T!$G56:$G68),IF(AND(I51="4D3",I53=8),LOOKUP(I84,T!$M56:$M68,T!$H56:$H68),IF(AND(I51="4D3",I53=9),LOOKUP(I84,T!$M56:$M68,T!$I56:$I68),IF(AND(I51="4D3",I53=10),LOOKUP(I84,T!$M56:$M68,T!$J56:$J68),IF(AND(I51="4D3",I53=11),LOOKUP(I84,T!$M56:$M68,T!$K56:$K68),IF(AND(I51="4D3",I53=12),LOOKUP(I84,T!$M56:$M68,T!$L56:$L68),IF(AND(I51="4D4",I53=2),LOOKUP(I84,T!$H74:$H90,T!$B74:$B90),IF(AND(I51="4D4",I53=3),LOOKUP(I84,T!$H74:$H90,T!$C74:$C90),IF(AND(I51="4D4",I53=4),LOOKUP(I84,T!$H74:$H90,T!$D74:$D90),IF(AND(I51="4D4",I53=5),LOOKUP(I84,T!$H74:$H90,T!$E74:$E90),IF(AND(I51="4D4",I53=6),LOOKUP(I84,T!$H74:$H90,T!$F74:$F89),IF(AND(I51="4D4",I53=7),LOOKUP(I84,T!$H74:$H90,T!$G74:$G89),IF(AND(I51="4D5",I53=2),LOOKUP(I84,T!$I96:$I102,T!$B96:$B102),IF(AND(I51="4D5",I53=3),LOOKUP(I84,T!$I96:$I102,T!$C96:$C102),IF(AND(I51="4D5",I53=4),LOOKUP(I84,T!$I96:$I102,T!$D96:$D102),IF(AND(I51="4D5",I53=5),LOOKUP(I84,T!$I96:$I102,T!$E96:$E102),IF(AND(I51="4D5",I53=6),LOOKUP(I84,T!$I96:$I102,T!$F96:$F102),IF(AND(I51="4D5",I53=7),LOOKUP(I84,T!$I96:$I102,T!$G96:$G102),"-")))))))))))))))))))))))))))))))))))))))))),IF(ISNUMBER(SEARCH("4E",I51)),IF(AND(I51="4E1",I53=2),LOOKUP(I84,T!$M108:$M129,T!$B108:$B124),IF(AND(I51="4E1",I53=3),LOOKUP(I84,T!$M108:$M129,T!$C108:$C124),IF(AND(I51="4E1",I53=4),LOOKUP(I84,T!$M108:$M129,T!$D108:$D127),IF(AND(I51="4E1",I53=5),LOOKUP(I84,T!$M108:$M129,T!$E108:$E127),IF(AND(I51="4E1",I53=6),LOOKUP(I84,T!$M108:$M129,T!$F108:$F129),IF(AND(I51="4E1",I53=7),LOOKUP(I84,T!$M108:$M129,T!$G108:$G129),IF(AND(I51="4E1",I53=8),LOOKUP(I84,T!$M115:$M129,T!$H115:$H129),IF(AND(I51="4E1",I53=9),LOOKUP(I84,T!$M115:$M129,T!$I115:$I129),IF(AND(I51="4E1",I53=10),LOOKUP(I84,T!$M115:$M129,T!$J115:$J129),IF(AND(I51="4E1",I53=11),LOOKUP(I84,T!$M115:$M129,T!$K115:$K129),IF(AND(I51="4E1",I53=12),LOOKUP(I84,T!$M115:$M129,T!$L115:$L129),IF(AND(I51="4E2",I53=2),LOOKUP(I84,T!$J135:$J152,T!$B135:$B151),IF(AND(I51="4E2",I53=3),LOOKUP(I84,T!$J135:$J152,T!$C135:$C151),IF(AND(I51="4E2",I53=4),LOOKUP(I84,T!$J135:$J152,T!$D135:$D152),IF(AND(I51="4E2",I53=5),LOOKUP(I84,T!$J135:$J152,T!$E135:$E152),IF(AND(I51="4E2",I53=6),LOOKUP(I84,T!$J135:$J152,T!$F135:$F152),IF(AND(I51="4E2",I53=7),LOOKUP(I84,T!$J135:$J152,T!$G135:$G152),IF(AND(I51="4E2",I53=8),LOOKUP(I84,T!$J135:$J152,T!$H135:$H152),IF(AND(I51="4E2",I53=9),LOOKUP(I84,T!$J135:$J152,T!$I135:$I152),IF(AND(I51="4E3",I53=2),LOOKUP(I84,T!$M158:$M170,T!$B158:$B170),IF(AND(I51="4E3",I53=3),LOOKUP(I84,T!$M158:$M170,T!$C158:$C170),IF(AND(I51="4E3",I53=4),LOOKUP(I84,T!$M158:$M170,T!$D158:$D170),IF(AND(I51="4E3",I53=5),LOOKUP(I84,T!$M158:$M170,T!$E158:$E170),IF(AND(I51="4E3",I53=6),LOOKUP(I84,T!$M158:$M170,T!$F158:$F170),IF(AND(I51="4E3",I53=7),LOOKUP(I84,T!$M158:$M170,T!$G158:$G170),IF(AND(I51="4E3",I53=8),LOOKUP(I84,T!$M158:$M170,T!$H158:$H170),IF(AND(I51="4E3",I53=9),LOOKUP(I84,T!$M158:$M170,T!$I158:$I170),IF(AND(I51="4E3",I53=10),LOOKUP(I84,T!$M158:$M170,T!$J158:$J170),IF(AND(I51="4E3",I53=11),LOOKUP(I84,T!$M158:$M170,T!$K158:$K170),IF(AND(I51="4E3",I53=12),LOOKUP(I84,T!$M158:$M170,T!$L158:$L170),IF(AND(I51="4E4",I53=2),LOOKUP(I84,T!$H176:$H192,T!$B176:$B192),IF(AND(I51="4E4",I53=3),LOOKUP(I84,T!$H176:$H192,T!$C176:$C192),IF(AND(I51="4E4",I53=4),LOOKUP(I84,T!$H176:$H192,T!$D176:$D192),IF(AND(I51="4E4",I53=5),LOOKUP(I84,T!$H176:$H192,T!$E176:$E192),IF(AND(I51="4E4",I53=6),LOOKUP(I84,T!$H176:$H192,T!$F176:$F191),IF(AND(I51="4E4",I53=7),LOOKUP(I84,T!$H176:$H192,T!$G176:$G191),"-")))))))))))))))))))))))))))))))))))),IF(ISNUMBER(SEARCH("4F",I51)),IF(AND(I51="4F1",I53=2),LOOKUP(I84,T!$E198:$E214,T!$B198:$B202),IF(AND(I51="4F1",I53=3),LOOKUP(I84,T!$E198:$E214,T!$C198:$C211),IF(AND(I51="4F1",I53=4),LOOKUP(I84,T!$E203:$E214,T!$D203:$D214),IF(AND(I51="4F2",I53=2),LOOKUP(I84,T!$E220:$E236,T!$B220:$B224),IF(AND(I51="4F2",I53=3),LOOKUP(I84,T!$E220:$E236,T!$C220:$C233),IF(AND(I51="4F2",I53=4),LOOKUP(I84,T!$E225:$E236,T!$D225:$D236),IF(AND(I51="4F3",I53=2),LOOKUP(I84,T!$E242:$E248,T!$B242:$B248),IF(AND(I51="4F3",I53=3),LOOKUP(I84,T!$E242:$E248,T!$C242:$C248),"-")))))))),""))))</f>
        <v>130</v>
      </c>
      <c r="J33" s="134">
        <f>IF(J29="","",IF(ISNUMBER(SEARCH("4D",J51)),IF(AND(J51="4D1",J53=2),LOOKUP(J84,T!$M6:$M27,T!$B6:$B22),IF(AND(J51="4D1",J53=3),LOOKUP(J84,T!$M6:$M27,T!$C6:$C22),IF(AND(J51="4D1",J53=4),LOOKUP(J84,T!$M6:$M27,T!$D6:$D25),IF(AND(J51="4D1",J53=5),LOOKUP(J84,T!$M6:$M27,T!$E6:$E25),IF(AND(J51="4D1",J53=6),LOOKUP(J84,T!$M6:$M27,T!$F6:$F27),IF(AND(J51="4D1",J53=7),LOOKUP(J84,T!$M6:$M27,T!$G6:$G27),IF(AND(J51="4D1",J53=8),LOOKUP(J84,T!$M13:$M27,T!$H13:$H27),IF(AND(J51="4D1",J53=9),LOOKUP(J84,T!$M13:$M27,T!$I13:$I27),IF(AND(J51="4D1",J53=10),LOOKUP(J84,T!$M13:$M27,T!$J13:$J27),IF(AND(J51="4D1",J53=11),LOOKUP(J84,T!$M13:$M27,T!$K13:$K27),IF(AND(J51="4D1",J53=12),LOOKUP(J84,T!$M13:$M27,T!$L13:$L27),IF(AND(J51="4D2",J53=2),LOOKUP(J84,T!$J33:$J50,T!$B33:$B49),IF(AND(J51="4D2",J53=3),LOOKUP(J84,T!$J33:$J50,T!$C33:$C49),IF(AND(J51="4D2",J53=4),LOOKUP(J84,T!$J33:$J50,T!$D33:$D50),IF(AND(J51="4D2",J53=5),LOOKUP(J84,T!$J33:$J50,T!$E33:$E50),IF(AND(J51="4D2",J53=6),LOOKUP(J84,T!$J33:$J50,T!$F33:$F50),IF(AND(J51="4D2",J53=7),LOOKUP(J84,T!$J33:$J50,T!$G33:$G50),IF(AND(J51="4D2",J53=8),LOOKUP(J84,T!$J33:$J50,T!$H33:$H50),IF(AND(J51="4D2",J53=9),LOOKUP(J84,T!$J33:$J50,T!$I33:$I50),IF(AND(J51="4D3",J53=2),LOOKUP(J84,T!$M56:$M68,T!$B56:$B68),IF(AND(J51="4D3",J53=3),LOOKUP(J84,T!$M56:$M68,T!$C56:$C68),IF(AND(J51="4D3",J53=4),LOOKUP(J84,T!$M56:$M68,T!$D56:$D$68),IF(AND(J51="4D3",J53=5),LOOKUP(J84,T!$M56:$M68,T!$E56:$E68),IF(AND(J51="4D3",J53=6),LOOKUP(J84,T!$M56:$M68,T!$F56:$F68),IF(AND(J51="4D3",J53=7),LOOKUP(J84,T!$M56:$M68,T!$G56:$G68),IF(AND(J51="4D3",J53=8),LOOKUP(J84,T!$M56:$M68,T!$H56:$H68),IF(AND(J51="4D3",J53=9),LOOKUP(J84,T!$M56:$M68,T!$I56:$I68),IF(AND(J51="4D3",J53=10),LOOKUP(J84,T!$M56:$M68,T!$J56:$J68),IF(AND(J51="4D3",J53=11),LOOKUP(J84,T!$M56:$M68,T!$K56:$K68),IF(AND(J51="4D3",J53=12),LOOKUP(J84,T!$M56:$M68,T!$L56:$L68),IF(AND(J51="4D4",J53=2),LOOKUP(J84,T!$H74:$H90,T!$B74:$B90),IF(AND(J51="4D4",J53=3),LOOKUP(J84,T!$H74:$H90,T!$C74:$C90),IF(AND(J51="4D4",J53=4),LOOKUP(J84,T!$H74:$H90,T!$D74:$D90),IF(AND(J51="4D4",J53=5),LOOKUP(J84,T!$H74:$H90,T!$E74:$E90),IF(AND(J51="4D4",J53=6),LOOKUP(J84,T!$H74:$H90,T!$F74:$F89),IF(AND(J51="4D4",J53=7),LOOKUP(J84,T!$H74:$H90,T!$G74:$G89),IF(AND(J51="4D5",J53=2),LOOKUP(J84,T!$I96:$I102,T!$B96:$B102),IF(AND(J51="4D5",J53=3),LOOKUP(J84,T!$I96:$I102,T!$C96:$C102),IF(AND(J51="4D5",J53=4),LOOKUP(J84,T!$I96:$I102,T!$D96:$D102),IF(AND(J51="4D5",J53=5),LOOKUP(J84,T!$I96:$I102,T!$E96:$E102),IF(AND(J51="4D5",J53=6),LOOKUP(J84,T!$I96:$I102,T!$F96:$F102),IF(AND(J51="4D5",J53=7),LOOKUP(J84,T!$I96:$I102,T!$G96:$G102),"-")))))))))))))))))))))))))))))))))))))))))),IF(ISNUMBER(SEARCH("4E",J51)),IF(AND(J51="4E1",J53=2),LOOKUP(J84,T!$M108:$M129,T!$B108:$B124),IF(AND(J51="4E1",J53=3),LOOKUP(J84,T!$M108:$M129,T!$C108:$C124),IF(AND(J51="4E1",J53=4),LOOKUP(J84,T!$M108:$M129,T!$D108:$D127),IF(AND(J51="4E1",J53=5),LOOKUP(J84,T!$M108:$M129,T!$E108:$E127),IF(AND(J51="4E1",J53=6),LOOKUP(J84,T!$M108:$M129,T!$F108:$F129),IF(AND(J51="4E1",J53=7),LOOKUP(J84,T!$M108:$M129,T!$G108:$G129),IF(AND(J51="4E1",J53=8),LOOKUP(J84,T!$M115:$M129,T!$H115:$H129),IF(AND(J51="4E1",J53=9),LOOKUP(J84,T!$M115:$M129,T!$I115:$I129),IF(AND(J51="4E1",J53=10),LOOKUP(J84,T!$M115:$M129,T!$J115:$J129),IF(AND(J51="4E1",J53=11),LOOKUP(J84,T!$M115:$M129,T!$K115:$K129),IF(AND(J51="4E1",J53=12),LOOKUP(J84,T!$M115:$M129,T!$L115:$L129),IF(AND(J51="4E2",J53=2),LOOKUP(J84,T!$J135:$J152,T!$B135:$B151),IF(AND(J51="4E2",J53=3),LOOKUP(J84,T!$J135:$J152,T!$C135:$C151),IF(AND(J51="4E2",J53=4),LOOKUP(J84,T!$J135:$J152,T!$D135:$D152),IF(AND(J51="4E2",J53=5),LOOKUP(J84,T!$J135:$J152,T!$E135:$E152),IF(AND(J51="4E2",J53=6),LOOKUP(J84,T!$J135:$J152,T!$F135:$F152),IF(AND(J51="4E2",J53=7),LOOKUP(J84,T!$J135:$J152,T!$G135:$G152),IF(AND(J51="4E2",J53=8),LOOKUP(J84,T!$J135:$J152,T!$H135:$H152),IF(AND(J51="4E2",J53=9),LOOKUP(J84,T!$J135:$J152,T!$I135:$I152),IF(AND(J51="4E3",J53=2),LOOKUP(J84,T!$M158:$M170,T!$B158:$B170),IF(AND(J51="4E3",J53=3),LOOKUP(J84,T!$M158:$M170,T!$C158:$C170),IF(AND(J51="4E3",J53=4),LOOKUP(J84,T!$M158:$M170,T!$D158:$D170),IF(AND(J51="4E3",J53=5),LOOKUP(J84,T!$M158:$M170,T!$E158:$E170),IF(AND(J51="4E3",J53=6),LOOKUP(J84,T!$M158:$M170,T!$F158:$F170),IF(AND(J51="4E3",J53=7),LOOKUP(J84,T!$M158:$M170,T!$G158:$G170),IF(AND(J51="4E3",J53=8),LOOKUP(J84,T!$M158:$M170,T!$H158:$H170),IF(AND(J51="4E3",J53=9),LOOKUP(J84,T!$M158:$M170,T!$I158:$I170),IF(AND(J51="4E3",J53=10),LOOKUP(J84,T!$M158:$M170,T!$J158:$J170),IF(AND(J51="4E3",J53=11),LOOKUP(J84,T!$M158:$M170,T!$K158:$K170),IF(AND(J51="4E3",J53=12),LOOKUP(J84,T!$M158:$M170,T!$L158:$L170),IF(AND(J51="4E4",J53=2),LOOKUP(J84,T!$H176:$H192,T!$B176:$B192),IF(AND(J51="4E4",J53=3),LOOKUP(J84,T!$H176:$H192,T!$C176:$C192),IF(AND(J51="4E4",J53=4),LOOKUP(J84,T!$H176:$H192,T!$D176:$D192),IF(AND(J51="4E4",J53=5),LOOKUP(J84,T!$H176:$H192,T!$E176:$E192),IF(AND(J51="4E4",J53=6),LOOKUP(J84,T!$H176:$H192,T!$F176:$F191),IF(AND(J51="4E4",J53=7),LOOKUP(J84,T!$H176:$H192,T!$G176:$G191),"-")))))))))))))))))))))))))))))))))))),IF(ISNUMBER(SEARCH("4F",J51)),IF(AND(J51="4F1",J53=2),LOOKUP(J84,T!$E198:$E214,T!$B198:$B202),IF(AND(J51="4F1",J53=3),LOOKUP(J84,T!$E198:$E214,T!$C198:$C211),IF(AND(J51="4F1",J53=4),LOOKUP(J84,T!$E203:$E214,T!$D203:$D214),IF(AND(J51="4F2",J53=2),LOOKUP(J84,T!$E220:$E236,T!$B220:$B224),IF(AND(J51="4F2",J53=3),LOOKUP(J84,T!$E220:$E236,T!$C220:$C233),IF(AND(J51="4F2",J53=4),LOOKUP(J84,T!$E225:$E236,T!$D225:$D236),IF(AND(J51="4F3",J53=2),LOOKUP(J84,T!$E242:$E248,T!$B242:$B248),IF(AND(J51="4F3",J53=3),LOOKUP(J84,T!$E242:$E248,T!$C242:$C248),"-")))))))),""))))</f>
        <v>36</v>
      </c>
      <c r="K33" s="134">
        <f>IF(K29="","",IF(ISNUMBER(SEARCH("4D",K51)),IF(AND(K51="4D1",K53=2),LOOKUP(K84,T!$M6:$M27,T!$B6:$B22),IF(AND(K51="4D1",K53=3),LOOKUP(K84,T!$M6:$M27,T!$C6:$C22),IF(AND(K51="4D1",K53=4),LOOKUP(K84,T!$M6:$M27,T!$D6:$D25),IF(AND(K51="4D1",K53=5),LOOKUP(K84,T!$M6:$M27,T!$E6:$E25),IF(AND(K51="4D1",K53=6),LOOKUP(K84,T!$M6:$M27,T!$F6:$F27),IF(AND(K51="4D1",K53=7),LOOKUP(K84,T!$M6:$M27,T!$G6:$G27),IF(AND(K51="4D1",K53=8),LOOKUP(K84,T!$M13:$M27,T!$H13:$H27),IF(AND(K51="4D1",K53=9),LOOKUP(K84,T!$M13:$M27,T!$I13:$I27),IF(AND(K51="4D1",K53=10),LOOKUP(K84,T!$M13:$M27,T!$J13:$J27),IF(AND(K51="4D1",K53=11),LOOKUP(K84,T!$M13:$M27,T!$K13:$K27),IF(AND(K51="4D1",K53=12),LOOKUP(K84,T!$M13:$M27,T!$L13:$L27),IF(AND(K51="4D2",K53=2),LOOKUP(K84,T!$J33:$J50,T!$B33:$B49),IF(AND(K51="4D2",K53=3),LOOKUP(K84,T!$J33:$J50,T!$C33:$C49),IF(AND(K51="4D2",K53=4),LOOKUP(K84,T!$J33:$J50,T!$D33:$D50),IF(AND(K51="4D2",K53=5),LOOKUP(K84,T!$J33:$J50,T!$E33:$E50),IF(AND(K51="4D2",K53=6),LOOKUP(K84,T!$J33:$J50,T!$F33:$F50),IF(AND(K51="4D2",K53=7),LOOKUP(K84,T!$J33:$J50,T!$G33:$G50),IF(AND(K51="4D2",K53=8),LOOKUP(K84,T!$J33:$J50,T!$H33:$H50),IF(AND(K51="4D2",K53=9),LOOKUP(K84,T!$J33:$J50,T!$I33:$I50),IF(AND(K51="4D3",K53=2),LOOKUP(K84,T!$M56:$M68,T!$B56:$B68),IF(AND(K51="4D3",K53=3),LOOKUP(K84,T!$M56:$M68,T!$C56:$C68),IF(AND(K51="4D3",K53=4),LOOKUP(K84,T!$M56:$M68,T!$D56:$D$68),IF(AND(K51="4D3",K53=5),LOOKUP(K84,T!$M56:$M68,T!$E56:$E68),IF(AND(K51="4D3",K53=6),LOOKUP(K84,T!$M56:$M68,T!$F56:$F68),IF(AND(K51="4D3",K53=7),LOOKUP(K84,T!$M56:$M68,T!$G56:$G68),IF(AND(K51="4D3",K53=8),LOOKUP(K84,T!$M56:$M68,T!$H56:$H68),IF(AND(K51="4D3",K53=9),LOOKUP(K84,T!$M56:$M68,T!$I56:$I68),IF(AND(K51="4D3",K53=10),LOOKUP(K84,T!$M56:$M68,T!$J56:$J68),IF(AND(K51="4D3",K53=11),LOOKUP(K84,T!$M56:$M68,T!$K56:$K68),IF(AND(K51="4D3",K53=12),LOOKUP(K84,T!$M56:$M68,T!$L56:$L68),IF(AND(K51="4D4",K53=2),LOOKUP(K84,T!$H74:$H90,T!$B74:$B90),IF(AND(K51="4D4",K53=3),LOOKUP(K84,T!$H74:$H90,T!$C74:$C90),IF(AND(K51="4D4",K53=4),LOOKUP(K84,T!$H74:$H90,T!$D74:$D90),IF(AND(K51="4D4",K53=5),LOOKUP(K84,T!$H74:$H90,T!$E74:$E90),IF(AND(K51="4D4",K53=6),LOOKUP(K84,T!$H74:$H90,T!$F74:$F89),IF(AND(K51="4D4",K53=7),LOOKUP(K84,T!$H74:$H90,T!$G74:$G89),IF(AND(K51="4D5",K53=2),LOOKUP(K84,T!$I96:$I102,T!$B96:$B102),IF(AND(K51="4D5",K53=3),LOOKUP(K84,T!$I96:$I102,T!$C96:$C102),IF(AND(K51="4D5",K53=4),LOOKUP(K84,T!$I96:$I102,T!$D96:$D102),IF(AND(K51="4D5",K53=5),LOOKUP(K84,T!$I96:$I102,T!$E96:$E102),IF(AND(K51="4D5",K53=6),LOOKUP(K84,T!$I96:$I102,T!$F96:$F102),IF(AND(K51="4D5",K53=7),LOOKUP(K84,T!$I96:$I102,T!$G96:$G102),"-")))))))))))))))))))))))))))))))))))))))))),IF(ISNUMBER(SEARCH("4E",K51)),IF(AND(K51="4E1",K53=2),LOOKUP(K84,T!$M108:$M129,T!$B108:$B124),IF(AND(K51="4E1",K53=3),LOOKUP(K84,T!$M108:$M129,T!$C108:$C124),IF(AND(K51="4E1",K53=4),LOOKUP(K84,T!$M108:$M129,T!$D108:$D127),IF(AND(K51="4E1",K53=5),LOOKUP(K84,T!$M108:$M129,T!$E108:$E127),IF(AND(K51="4E1",K53=6),LOOKUP(K84,T!$M108:$M129,T!$F108:$F129),IF(AND(K51="4E1",K53=7),LOOKUP(K84,T!$M108:$M129,T!$G108:$G129),IF(AND(K51="4E1",K53=8),LOOKUP(K84,T!$M115:$M129,T!$H115:$H129),IF(AND(K51="4E1",K53=9),LOOKUP(K84,T!$M115:$M129,T!$I115:$I129),IF(AND(K51="4E1",K53=10),LOOKUP(K84,T!$M115:$M129,T!$J115:$J129),IF(AND(K51="4E1",K53=11),LOOKUP(K84,T!$M115:$M129,T!$K115:$K129),IF(AND(K51="4E1",K53=12),LOOKUP(K84,T!$M115:$M129,T!$L115:$L129),IF(AND(K51="4E2",K53=2),LOOKUP(K84,T!$J135:$J152,T!$B135:$B151),IF(AND(K51="4E2",K53=3),LOOKUP(K84,T!$J135:$J152,T!$C135:$C151),IF(AND(K51="4E2",K53=4),LOOKUP(K84,T!$J135:$J152,T!$D135:$D152),IF(AND(K51="4E2",K53=5),LOOKUP(K84,T!$J135:$J152,T!$E135:$E152),IF(AND(K51="4E2",K53=6),LOOKUP(K84,T!$J135:$J152,T!$F135:$F152),IF(AND(K51="4E2",K53=7),LOOKUP(K84,T!$J135:$J152,T!$G135:$G152),IF(AND(K51="4E2",K53=8),LOOKUP(K84,T!$J135:$J152,T!$H135:$H152),IF(AND(K51="4E2",K53=9),LOOKUP(K84,T!$J135:$J152,T!$I135:$I152),IF(AND(K51="4E3",K53=2),LOOKUP(K84,T!$M158:$M170,T!$B158:$B170),IF(AND(K51="4E3",K53=3),LOOKUP(K84,T!$M158:$M170,T!$C158:$C170),IF(AND(K51="4E3",K53=4),LOOKUP(K84,T!$M158:$M170,T!$D158:$D170),IF(AND(K51="4E3",K53=5),LOOKUP(K84,T!$M158:$M170,T!$E158:$E170),IF(AND(K51="4E3",K53=6),LOOKUP(K84,T!$M158:$M170,T!$F158:$F170),IF(AND(K51="4E3",K53=7),LOOKUP(K84,T!$M158:$M170,T!$G158:$G170),IF(AND(K51="4E3",K53=8),LOOKUP(K84,T!$M158:$M170,T!$H158:$H170),IF(AND(K51="4E3",K53=9),LOOKUP(K84,T!$M158:$M170,T!$I158:$I170),IF(AND(K51="4E3",K53=10),LOOKUP(K84,T!$M158:$M170,T!$J158:$J170),IF(AND(K51="4E3",K53=11),LOOKUP(K84,T!$M158:$M170,T!$K158:$K170),IF(AND(K51="4E3",K53=12),LOOKUP(K84,T!$M158:$M170,T!$L158:$L170),IF(AND(K51="4E4",K53=2),LOOKUP(K84,T!$H176:$H192,T!$B176:$B192),IF(AND(K51="4E4",K53=3),LOOKUP(K84,T!$H176:$H192,T!$C176:$C192),IF(AND(K51="4E4",K53=4),LOOKUP(K84,T!$H176:$H192,T!$D176:$D192),IF(AND(K51="4E4",K53=5),LOOKUP(K84,T!$H176:$H192,T!$E176:$E192),IF(AND(K51="4E4",K53=6),LOOKUP(K84,T!$H176:$H192,T!$F176:$F191),IF(AND(K51="4E4",K53=7),LOOKUP(K84,T!$H176:$H192,T!$G176:$G191),"-")))))))))))))))))))))))))))))))))))),IF(ISNUMBER(SEARCH("4F",K51)),IF(AND(K51="4F1",K53=2),LOOKUP(K84,T!$E198:$E214,T!$B198:$B202),IF(AND(K51="4F1",K53=3),LOOKUP(K84,T!$E198:$E214,T!$C198:$C211),IF(AND(K51="4F1",K53=4),LOOKUP(K84,T!$E203:$E214,T!$D203:$D214),IF(AND(K51="4F2",K53=2),LOOKUP(K84,T!$E220:$E236,T!$B220:$B224),IF(AND(K51="4F2",K53=3),LOOKUP(K84,T!$E220:$E236,T!$C220:$C233),IF(AND(K51="4F2",K53=4),LOOKUP(K84,T!$E225:$E236,T!$D225:$D236),IF(AND(K51="4F3",K53=2),LOOKUP(K84,T!$E242:$E248,T!$B242:$B248),IF(AND(K51="4F3",K53=3),LOOKUP(K84,T!$E242:$E248,T!$C242:$C248),"-")))))))),""))))</f>
        <v>37</v>
      </c>
      <c r="L33" s="134">
        <f>IF(L29="","",IF(ISNUMBER(SEARCH("4D",L51)),IF(AND(L51="4D1",L53=2),LOOKUP(L84,T!$M6:$M27,T!$B6:$B22),IF(AND(L51="4D1",L53=3),LOOKUP(L84,T!$M6:$M27,T!$C6:$C22),IF(AND(L51="4D1",L53=4),LOOKUP(L84,T!$M6:$M27,T!$D6:$D25),IF(AND(L51="4D1",L53=5),LOOKUP(L84,T!$M6:$M27,T!$E6:$E25),IF(AND(L51="4D1",L53=6),LOOKUP(L84,T!$M6:$M27,T!$F6:$F27),IF(AND(L51="4D1",L53=7),LOOKUP(L84,T!$M6:$M27,T!$G6:$G27),IF(AND(L51="4D1",L53=8),LOOKUP(L84,T!$M13:$M27,T!$H13:$H27),IF(AND(L51="4D1",L53=9),LOOKUP(L84,T!$M13:$M27,T!$I13:$I27),IF(AND(L51="4D1",L53=10),LOOKUP(L84,T!$M13:$M27,T!$J13:$J27),IF(AND(L51="4D1",L53=11),LOOKUP(L84,T!$M13:$M27,T!$K13:$K27),IF(AND(L51="4D1",L53=12),LOOKUP(L84,T!$M13:$M27,T!$L13:$L27),IF(AND(L51="4D2",L53=2),LOOKUP(L84,T!$J33:$J50,T!$B33:$B49),IF(AND(L51="4D2",L53=3),LOOKUP(L84,T!$J33:$J50,T!$C33:$C49),IF(AND(L51="4D2",L53=4),LOOKUP(L84,T!$J33:$J50,T!$D33:$D50),IF(AND(L51="4D2",L53=5),LOOKUP(L84,T!$J33:$J50,T!$E33:$E50),IF(AND(L51="4D2",L53=6),LOOKUP(L84,T!$J33:$J50,T!$F33:$F50),IF(AND(L51="4D2",L53=7),LOOKUP(L84,T!$J33:$J50,T!$G33:$G50),IF(AND(L51="4D2",L53=8),LOOKUP(L84,T!$J33:$J50,T!$H33:$H50),IF(AND(L51="4D2",L53=9),LOOKUP(L84,T!$J33:$J50,T!$I33:$I50),IF(AND(L51="4D3",L53=2),LOOKUP(L84,T!$M56:$M68,T!$B56:$B68),IF(AND(L51="4D3",L53=3),LOOKUP(L84,T!$M56:$M68,T!$C56:$C68),IF(AND(L51="4D3",L53=4),LOOKUP(L84,T!$M56:$M68,T!$D56:$D$68),IF(AND(L51="4D3",L53=5),LOOKUP(L84,T!$M56:$M68,T!$E56:$E68),IF(AND(L51="4D3",L53=6),LOOKUP(L84,T!$M56:$M68,T!$F56:$F68),IF(AND(L51="4D3",L53=7),LOOKUP(L84,T!$M56:$M68,T!$G56:$G68),IF(AND(L51="4D3",L53=8),LOOKUP(L84,T!$M56:$M68,T!$H56:$H68),IF(AND(L51="4D3",L53=9),LOOKUP(L84,T!$M56:$M68,T!$I56:$I68),IF(AND(L51="4D3",L53=10),LOOKUP(L84,T!$M56:$M68,T!$J56:$J68),IF(AND(L51="4D3",L53=11),LOOKUP(L84,T!$M56:$M68,T!$K56:$K68),IF(AND(L51="4D3",L53=12),LOOKUP(L84,T!$M56:$M68,T!$L56:$L68),IF(AND(L51="4D4",L53=2),LOOKUP(L84,T!$H74:$H90,T!$B74:$B90),IF(AND(L51="4D4",L53=3),LOOKUP(L84,T!$H74:$H90,T!$C74:$C90),IF(AND(L51="4D4",L53=4),LOOKUP(L84,T!$H74:$H90,T!$D74:$D90),IF(AND(L51="4D4",L53=5),LOOKUP(L84,T!$H74:$H90,T!$E74:$E90),IF(AND(L51="4D4",L53=6),LOOKUP(L84,T!$H74:$H90,T!$F74:$F89),IF(AND(L51="4D4",L53=7),LOOKUP(L84,T!$H74:$H90,T!$G74:$G89),IF(AND(L51="4D5",L53=2),LOOKUP(L84,T!$I96:$I102,T!$B96:$B102),IF(AND(L51="4D5",L53=3),LOOKUP(L84,T!$I96:$I102,T!$C96:$C102),IF(AND(L51="4D5",L53=4),LOOKUP(L84,T!$I96:$I102,T!$D96:$D102),IF(AND(L51="4D5",L53=5),LOOKUP(L84,T!$I96:$I102,T!$E96:$E102),IF(AND(L51="4D5",L53=6),LOOKUP(L84,T!$I96:$I102,T!$F96:$F102),IF(AND(L51="4D5",L53=7),LOOKUP(L84,T!$I96:$I102,T!$G96:$G102),"-")))))))))))))))))))))))))))))))))))))))))),IF(ISNUMBER(SEARCH("4E",L51)),IF(AND(L51="4E1",L53=2),LOOKUP(L84,T!$M108:$M129,T!$B108:$B124),IF(AND(L51="4E1",L53=3),LOOKUP(L84,T!$M108:$M129,T!$C108:$C124),IF(AND(L51="4E1",L53=4),LOOKUP(L84,T!$M108:$M129,T!$D108:$D127),IF(AND(L51="4E1",L53=5),LOOKUP(L84,T!$M108:$M129,T!$E108:$E127),IF(AND(L51="4E1",L53=6),LOOKUP(L84,T!$M108:$M129,T!$F108:$F129),IF(AND(L51="4E1",L53=7),LOOKUP(L84,T!$M108:$M129,T!$G108:$G129),IF(AND(L51="4E1",L53=8),LOOKUP(L84,T!$M115:$M129,T!$H115:$H129),IF(AND(L51="4E1",L53=9),LOOKUP(L84,T!$M115:$M129,T!$I115:$I129),IF(AND(L51="4E1",L53=10),LOOKUP(L84,T!$M115:$M129,T!$J115:$J129),IF(AND(L51="4E1",L53=11),LOOKUP(L84,T!$M115:$M129,T!$K115:$K129),IF(AND(L51="4E1",L53=12),LOOKUP(L84,T!$M115:$M129,T!$L115:$L129),IF(AND(L51="4E2",L53=2),LOOKUP(L84,T!$J135:$J152,T!$B135:$B151),IF(AND(L51="4E2",L53=3),LOOKUP(L84,T!$J135:$J152,T!$C135:$C151),IF(AND(L51="4E2",L53=4),LOOKUP(L84,T!$J135:$J152,T!$D135:$D152),IF(AND(L51="4E2",L53=5),LOOKUP(L84,T!$J135:$J152,T!$E135:$E152),IF(AND(L51="4E2",L53=6),LOOKUP(L84,T!$J135:$J152,T!$F135:$F152),IF(AND(L51="4E2",L53=7),LOOKUP(L84,T!$J135:$J152,T!$G135:$G152),IF(AND(L51="4E2",L53=8),LOOKUP(L84,T!$J135:$J152,T!$H135:$H152),IF(AND(L51="4E2",L53=9),LOOKUP(L84,T!$J135:$J152,T!$I135:$I152),IF(AND(L51="4E3",L53=2),LOOKUP(L84,T!$M158:$M170,T!$B158:$B170),IF(AND(L51="4E3",L53=3),LOOKUP(L84,T!$M158:$M170,T!$C158:$C170),IF(AND(L51="4E3",L53=4),LOOKUP(L84,T!$M158:$M170,T!$D158:$D170),IF(AND(L51="4E3",L53=5),LOOKUP(L84,T!$M158:$M170,T!$E158:$E170),IF(AND(L51="4E3",L53=6),LOOKUP(L84,T!$M158:$M170,T!$F158:$F170),IF(AND(L51="4E3",L53=7),LOOKUP(L84,T!$M158:$M170,T!$G158:$G170),IF(AND(L51="4E3",L53=8),LOOKUP(L84,T!$M158:$M170,T!$H158:$H170),IF(AND(L51="4E3",L53=9),LOOKUP(L84,T!$M158:$M170,T!$I158:$I170),IF(AND(L51="4E3",L53=10),LOOKUP(L84,T!$M158:$M170,T!$J158:$J170),IF(AND(L51="4E3",L53=11),LOOKUP(L84,T!$M158:$M170,T!$K158:$K170),IF(AND(L51="4E3",L53=12),LOOKUP(L84,T!$M158:$M170,T!$L158:$L170),IF(AND(L51="4E4",L53=2),LOOKUP(L84,T!$H176:$H192,T!$B176:$B192),IF(AND(L51="4E4",L53=3),LOOKUP(L84,T!$H176:$H192,T!$C176:$C192),IF(AND(L51="4E4",L53=4),LOOKUP(L84,T!$H176:$H192,T!$D176:$D192),IF(AND(L51="4E4",L53=5),LOOKUP(L84,T!$H176:$H192,T!$E176:$E192),IF(AND(L51="4E4",L53=6),LOOKUP(L84,T!$H176:$H192,T!$F176:$F191),IF(AND(L51="4E4",L53=7),LOOKUP(L84,T!$H176:$H192,T!$G176:$G191),"-")))))))))))))))))))))))))))))))))))),IF(ISNUMBER(SEARCH("4F",L51)),IF(AND(L51="4F1",L53=2),LOOKUP(L84,T!$E198:$E214,T!$B198:$B202),IF(AND(L51="4F1",L53=3),LOOKUP(L84,T!$E198:$E214,T!$C198:$C211),IF(AND(L51="4F1",L53=4),LOOKUP(L84,T!$E203:$E214,T!$D203:$D214),IF(AND(L51="4F2",L53=2),LOOKUP(L84,T!$E220:$E236,T!$B220:$B224),IF(AND(L51="4F2",L53=3),LOOKUP(L84,T!$E220:$E236,T!$C220:$C233),IF(AND(L51="4F2",L53=4),LOOKUP(L84,T!$E225:$E236,T!$D225:$D236),IF(AND(L51="4F3",L53=2),LOOKUP(L84,T!$E242:$E248,T!$B242:$B248),IF(AND(L51="4F3",L53=3),LOOKUP(L84,T!$E242:$E248,T!$C242:$C248),"-")))))))),""))))</f>
        <v>47</v>
      </c>
      <c r="M33" s="134" t="str">
        <f>IF(M29="","",IF(ISNUMBER(SEARCH("4D",M51)),IF(AND(M51="4D1",M53=2),LOOKUP(M84,T!$M6:$M27,T!$B6:$B22),IF(AND(M51="4D1",M53=3),LOOKUP(M84,T!$M6:$M27,T!$C6:$C22),IF(AND(M51="4D1",M53=4),LOOKUP(M84,T!$M6:$M27,T!$D6:$D25),IF(AND(M51="4D1",M53=5),LOOKUP(M84,T!$M6:$M27,T!$E6:$E25),IF(AND(M51="4D1",M53=6),LOOKUP(M84,T!$M6:$M27,T!$F6:$F27),IF(AND(M51="4D1",M53=7),LOOKUP(M84,T!$M6:$M27,T!$G6:$G27),IF(AND(M51="4D1",M53=8),LOOKUP(M84,T!$M13:$M27,T!$H13:$H27),IF(AND(M51="4D1",M53=9),LOOKUP(M84,T!$M13:$M27,T!$I13:$I27),IF(AND(M51="4D1",M53=10),LOOKUP(M84,T!$M13:$M27,T!$J13:$J27),IF(AND(M51="4D1",M53=11),LOOKUP(M84,T!$M13:$M27,T!$K13:$K27),IF(AND(M51="4D1",M53=12),LOOKUP(M84,T!$M13:$M27,T!$L13:$L27),IF(AND(M51="4D2",M53=2),LOOKUP(M84,T!$J33:$J50,T!$B33:$B49),IF(AND(M51="4D2",M53=3),LOOKUP(M84,T!$J33:$J50,T!$C33:$C49),IF(AND(M51="4D2",M53=4),LOOKUP(M84,T!$J33:$J50,T!$D33:$D50),IF(AND(M51="4D2",M53=5),LOOKUP(M84,T!$J33:$J50,T!$E33:$E50),IF(AND(M51="4D2",M53=6),LOOKUP(M84,T!$J33:$J50,T!$F33:$F50),IF(AND(M51="4D2",M53=7),LOOKUP(M84,T!$J33:$J50,T!$G33:$G50),IF(AND(M51="4D2",M53=8),LOOKUP(M84,T!$J33:$J50,T!$H33:$H50),IF(AND(M51="4D2",M53=9),LOOKUP(M84,T!$J33:$J50,T!$I33:$I50),IF(AND(M51="4D3",M53=2),LOOKUP(M84,T!$M56:$M68,T!$B56:$B68),IF(AND(M51="4D3",M53=3),LOOKUP(M84,T!$M56:$M68,T!$C56:$C68),IF(AND(M51="4D3",M53=4),LOOKUP(M84,T!$M56:$M68,T!$D56:$D$68),IF(AND(M51="4D3",M53=5),LOOKUP(M84,T!$M56:$M68,T!$E56:$E68),IF(AND(M51="4D3",M53=6),LOOKUP(M84,T!$M56:$M68,T!$F56:$F68),IF(AND(M51="4D3",M53=7),LOOKUP(M84,T!$M56:$M68,T!$G56:$G68),IF(AND(M51="4D3",M53=8),LOOKUP(M84,T!$M56:$M68,T!$H56:$H68),IF(AND(M51="4D3",M53=9),LOOKUP(M84,T!$M56:$M68,T!$I56:$I68),IF(AND(M51="4D3",M53=10),LOOKUP(M84,T!$M56:$M68,T!$J56:$J68),IF(AND(M51="4D3",M53=11),LOOKUP(M84,T!$M56:$M68,T!$K56:$K68),IF(AND(M51="4D3",M53=12),LOOKUP(M84,T!$M56:$M68,T!$L56:$L68),IF(AND(M51="4D4",M53=2),LOOKUP(M84,T!$H74:$H90,T!$B74:$B90),IF(AND(M51="4D4",M53=3),LOOKUP(M84,T!$H74:$H90,T!$C74:$C90),IF(AND(M51="4D4",M53=4),LOOKUP(M84,T!$H74:$H90,T!$D74:$D90),IF(AND(M51="4D4",M53=5),LOOKUP(M84,T!$H74:$H90,T!$E74:$E90),IF(AND(M51="4D4",M53=6),LOOKUP(M84,T!$H74:$H90,T!$F74:$F89),IF(AND(M51="4D4",M53=7),LOOKUP(M84,T!$H74:$H90,T!$G74:$G89),IF(AND(M51="4D5",M53=2),LOOKUP(M84,T!$I96:$I102,T!$B96:$B102),IF(AND(M51="4D5",M53=3),LOOKUP(M84,T!$I96:$I102,T!$C96:$C102),IF(AND(M51="4D5",M53=4),LOOKUP(M84,T!$I96:$I102,T!$D96:$D102),IF(AND(M51="4D5",M53=5),LOOKUP(M84,T!$I96:$I102,T!$E96:$E102),IF(AND(M51="4D5",M53=6),LOOKUP(M84,T!$I96:$I102,T!$F96:$F102),IF(AND(M51="4D5",M53=7),LOOKUP(M84,T!$I96:$I102,T!$G96:$G102),"-")))))))))))))))))))))))))))))))))))))))))),IF(ISNUMBER(SEARCH("4E",M51)),IF(AND(M51="4E1",M53=2),LOOKUP(M84,T!$M108:$M129,T!$B108:$B124),IF(AND(M51="4E1",M53=3),LOOKUP(M84,T!$M108:$M129,T!$C108:$C124),IF(AND(M51="4E1",M53=4),LOOKUP(M84,T!$M108:$M129,T!$D108:$D127),IF(AND(M51="4E1",M53=5),LOOKUP(M84,T!$M108:$M129,T!$E108:$E127),IF(AND(M51="4E1",M53=6),LOOKUP(M84,T!$M108:$M129,T!$F108:$F129),IF(AND(M51="4E1",M53=7),LOOKUP(M84,T!$M108:$M129,T!$G108:$G129),IF(AND(M51="4E1",M53=8),LOOKUP(M84,T!$M115:$M129,T!$H115:$H129),IF(AND(M51="4E1",M53=9),LOOKUP(M84,T!$M115:$M129,T!$I115:$I129),IF(AND(M51="4E1",M53=10),LOOKUP(M84,T!$M115:$M129,T!$J115:$J129),IF(AND(M51="4E1",M53=11),LOOKUP(M84,T!$M115:$M129,T!$K115:$K129),IF(AND(M51="4E1",M53=12),LOOKUP(M84,T!$M115:$M129,T!$L115:$L129),IF(AND(M51="4E2",M53=2),LOOKUP(M84,T!$J135:$J152,T!$B135:$B151),IF(AND(M51="4E2",M53=3),LOOKUP(M84,T!$J135:$J152,T!$C135:$C151),IF(AND(M51="4E2",M53=4),LOOKUP(M84,T!$J135:$J152,T!$D135:$D152),IF(AND(M51="4E2",M53=5),LOOKUP(M84,T!$J135:$J152,T!$E135:$E152),IF(AND(M51="4E2",M53=6),LOOKUP(M84,T!$J135:$J152,T!$F135:$F152),IF(AND(M51="4E2",M53=7),LOOKUP(M84,T!$J135:$J152,T!$G135:$G152),IF(AND(M51="4E2",M53=8),LOOKUP(M84,T!$J135:$J152,T!$H135:$H152),IF(AND(M51="4E2",M53=9),LOOKUP(M84,T!$J135:$J152,T!$I135:$I152),IF(AND(M51="4E3",M53=2),LOOKUP(M84,T!$M158:$M170,T!$B158:$B170),IF(AND(M51="4E3",M53=3),LOOKUP(M84,T!$M158:$M170,T!$C158:$C170),IF(AND(M51="4E3",M53=4),LOOKUP(M84,T!$M158:$M170,T!$D158:$D170),IF(AND(M51="4E3",M53=5),LOOKUP(M84,T!$M158:$M170,T!$E158:$E170),IF(AND(M51="4E3",M53=6),LOOKUP(M84,T!$M158:$M170,T!$F158:$F170),IF(AND(M51="4E3",M53=7),LOOKUP(M84,T!$M158:$M170,T!$G158:$G170),IF(AND(M51="4E3",M53=8),LOOKUP(M84,T!$M158:$M170,T!$H158:$H170),IF(AND(M51="4E3",M53=9),LOOKUP(M84,T!$M158:$M170,T!$I158:$I170),IF(AND(M51="4E3",M53=10),LOOKUP(M84,T!$M158:$M170,T!$J158:$J170),IF(AND(M51="4E3",M53=11),LOOKUP(M84,T!$M158:$M170,T!$K158:$K170),IF(AND(M51="4E3",M53=12),LOOKUP(M84,T!$M158:$M170,T!$L158:$L170),IF(AND(M51="4E4",M53=2),LOOKUP(M84,T!$H176:$H192,T!$B176:$B192),IF(AND(M51="4E4",M53=3),LOOKUP(M84,T!$H176:$H192,T!$C176:$C192),IF(AND(M51="4E4",M53=4),LOOKUP(M84,T!$H176:$H192,T!$D176:$D192),IF(AND(M51="4E4",M53=5),LOOKUP(M84,T!$H176:$H192,T!$E176:$E192),IF(AND(M51="4E4",M53=6),LOOKUP(M84,T!$H176:$H192,T!$F176:$F191),IF(AND(M51="4E4",M53=7),LOOKUP(M84,T!$H176:$H192,T!$G176:$G191),"-")))))))))))))))))))))))))))))))))))),IF(ISNUMBER(SEARCH("4F",M51)),IF(AND(M51="4F1",M53=2),LOOKUP(M84,T!$E198:$E214,T!$B198:$B202),IF(AND(M51="4F1",M53=3),LOOKUP(M84,T!$E198:$E214,T!$C198:$C211),IF(AND(M51="4F1",M53=4),LOOKUP(M84,T!$E203:$E214,T!$D203:$D214),IF(AND(M51="4F2",M53=2),LOOKUP(M84,T!$E220:$E236,T!$B220:$B224),IF(AND(M51="4F2",M53=3),LOOKUP(M84,T!$E220:$E236,T!$C220:$C233),IF(AND(M51="4F2",M53=4),LOOKUP(M84,T!$E225:$E236,T!$D225:$D236),IF(AND(M51="4F3",M53=2),LOOKUP(M84,T!$E242:$E248,T!$B242:$B248),IF(AND(M51="4F3",M53=3),LOOKUP(M84,T!$E242:$E248,T!$C242:$C248),"-")))))))),""))))</f>
        <v/>
      </c>
      <c r="N33" s="134">
        <f>IF(N29="","",IF(ISNUMBER(SEARCH("4D",N51)),IF(AND(N51="4D1",N53=2),LOOKUP(N84,T!$M6:$M27,T!$B6:$B22),IF(AND(N51="4D1",N53=3),LOOKUP(N84,T!$M6:$M27,T!$C6:$C22),IF(AND(N51="4D1",N53=4),LOOKUP(N84,T!$M6:$M27,T!$D6:$D25),IF(AND(N51="4D1",N53=5),LOOKUP(N84,T!$M6:$M27,T!$E6:$E25),IF(AND(N51="4D1",N53=6),LOOKUP(N84,T!$M6:$M27,T!$F6:$F27),IF(AND(N51="4D1",N53=7),LOOKUP(N84,T!$M6:$M27,T!$G6:$G27),IF(AND(N51="4D1",N53=8),LOOKUP(N84,T!$M13:$M27,T!$H13:$H27),IF(AND(N51="4D1",N53=9),LOOKUP(N84,T!$M13:$M27,T!$I13:$I27),IF(AND(N51="4D1",N53=10),LOOKUP(N84,T!$M13:$M27,T!$J13:$J27),IF(AND(N51="4D1",N53=11),LOOKUP(N84,T!$M13:$M27,T!$K13:$K27),IF(AND(N51="4D1",N53=12),LOOKUP(N84,T!$M13:$M27,T!$L13:$L27),IF(AND(N51="4D2",N53=2),LOOKUP(N84,T!$J33:$J50,T!$B33:$B49),IF(AND(N51="4D2",N53=3),LOOKUP(N84,T!$J33:$J50,T!$C33:$C49),IF(AND(N51="4D2",N53=4),LOOKUP(N84,T!$J33:$J50,T!$D33:$D50),IF(AND(N51="4D2",N53=5),LOOKUP(N84,T!$J33:$J50,T!$E33:$E50),IF(AND(N51="4D2",N53=6),LOOKUP(N84,T!$J33:$J50,T!$F33:$F50),IF(AND(N51="4D2",N53=7),LOOKUP(N84,T!$J33:$J50,T!$G33:$G50),IF(AND(N51="4D2",N53=8),LOOKUP(N84,T!$J33:$J50,T!$H33:$H50),IF(AND(N51="4D2",N53=9),LOOKUP(N84,T!$J33:$J50,T!$I33:$I50),IF(AND(N51="4D3",N53=2),LOOKUP(N84,T!$M56:$M68,T!$B56:$B68),IF(AND(N51="4D3",N53=3),LOOKUP(N84,T!$M56:$M68,T!$C56:$C68),IF(AND(N51="4D3",N53=4),LOOKUP(N84,T!$M56:$M68,T!$D56:$D$68),IF(AND(N51="4D3",N53=5),LOOKUP(N84,T!$M56:$M68,T!$E56:$E68),IF(AND(N51="4D3",N53=6),LOOKUP(N84,T!$M56:$M68,T!$F56:$F68),IF(AND(N51="4D3",N53=7),LOOKUP(N84,T!$M56:$M68,T!$G56:$G68),IF(AND(N51="4D3",N53=8),LOOKUP(N84,T!$M56:$M68,T!$H56:$H68),IF(AND(N51="4D3",N53=9),LOOKUP(N84,T!$M56:$M68,T!$I56:$I68),IF(AND(N51="4D3",N53=10),LOOKUP(N84,T!$M56:$M68,T!$J56:$J68),IF(AND(N51="4D3",N53=11),LOOKUP(N84,T!$M56:$M68,T!$K56:$K68),IF(AND(N51="4D3",N53=12),LOOKUP(N84,T!$M56:$M68,T!$L56:$L68),IF(AND(N51="4D4",N53=2),LOOKUP(N84,T!$H74:$H90,T!$B74:$B90),IF(AND(N51="4D4",N53=3),LOOKUP(N84,T!$H74:$H90,T!$C74:$C90),IF(AND(N51="4D4",N53=4),LOOKUP(N84,T!$H74:$H90,T!$D74:$D90),IF(AND(N51="4D4",N53=5),LOOKUP(N84,T!$H74:$H90,T!$E74:$E90),IF(AND(N51="4D4",N53=6),LOOKUP(N84,T!$H74:$H90,T!$F74:$F89),IF(AND(N51="4D4",N53=7),LOOKUP(N84,T!$H74:$H90,T!$G74:$G89),IF(AND(N51="4D5",N53=2),LOOKUP(N84,T!$I96:$I102,T!$B96:$B102),IF(AND(N51="4D5",N53=3),LOOKUP(N84,T!$I96:$I102,T!$C96:$C102),IF(AND(N51="4D5",N53=4),LOOKUP(N84,T!$I96:$I102,T!$D96:$D102),IF(AND(N51="4D5",N53=5),LOOKUP(N84,T!$I96:$I102,T!$E96:$E102),IF(AND(N51="4D5",N53=6),LOOKUP(N84,T!$I96:$I102,T!$F96:$F102),IF(AND(N51="4D5",N53=7),LOOKUP(N84,T!$I96:$I102,T!$G96:$G102),"-")))))))))))))))))))))))))))))))))))))))))),IF(ISNUMBER(SEARCH("4E",N51)),IF(AND(N51="4E1",N53=2),LOOKUP(N84,T!$M108:$M129,T!$B108:$B124),IF(AND(N51="4E1",N53=3),LOOKUP(N84,T!$M108:$M129,T!$C108:$C124),IF(AND(N51="4E1",N53=4),LOOKUP(N84,T!$M108:$M129,T!$D108:$D127),IF(AND(N51="4E1",N53=5),LOOKUP(N84,T!$M108:$M129,T!$E108:$E127),IF(AND(N51="4E1",N53=6),LOOKUP(N84,T!$M108:$M129,T!$F108:$F129),IF(AND(N51="4E1",N53=7),LOOKUP(N84,T!$M108:$M129,T!$G108:$G129),IF(AND(N51="4E1",N53=8),LOOKUP(N84,T!$M115:$M129,T!$H115:$H129),IF(AND(N51="4E1",N53=9),LOOKUP(N84,T!$M115:$M129,T!$I115:$I129),IF(AND(N51="4E1",N53=10),LOOKUP(N84,T!$M115:$M129,T!$J115:$J129),IF(AND(N51="4E1",N53=11),LOOKUP(N84,T!$M115:$M129,T!$K115:$K129),IF(AND(N51="4E1",N53=12),LOOKUP(N84,T!$M115:$M129,T!$L115:$L129),IF(AND(N51="4E2",N53=2),LOOKUP(N84,T!$J135:$J152,T!$B135:$B151),IF(AND(N51="4E2",N53=3),LOOKUP(N84,T!$J135:$J152,T!$C135:$C151),IF(AND(N51="4E2",N53=4),LOOKUP(N84,T!$J135:$J152,T!$D135:$D152),IF(AND(N51="4E2",N53=5),LOOKUP(N84,T!$J135:$J152,T!$E135:$E152),IF(AND(N51="4E2",N53=6),LOOKUP(N84,T!$J135:$J152,T!$F135:$F152),IF(AND(N51="4E2",N53=7),LOOKUP(N84,T!$J135:$J152,T!$G135:$G152),IF(AND(N51="4E2",N53=8),LOOKUP(N84,T!$J135:$J152,T!$H135:$H152),IF(AND(N51="4E2",N53=9),LOOKUP(N84,T!$J135:$J152,T!$I135:$I152),IF(AND(N51="4E3",N53=2),LOOKUP(N84,T!$M158:$M170,T!$B158:$B170),IF(AND(N51="4E3",N53=3),LOOKUP(N84,T!$M158:$M170,T!$C158:$C170),IF(AND(N51="4E3",N53=4),LOOKUP(N84,T!$M158:$M170,T!$D158:$D170),IF(AND(N51="4E3",N53=5),LOOKUP(N84,T!$M158:$M170,T!$E158:$E170),IF(AND(N51="4E3",N53=6),LOOKUP(N84,T!$M158:$M170,T!$F158:$F170),IF(AND(N51="4E3",N53=7),LOOKUP(N84,T!$M158:$M170,T!$G158:$G170),IF(AND(N51="4E3",N53=8),LOOKUP(N84,T!$M158:$M170,T!$H158:$H170),IF(AND(N51="4E3",N53=9),LOOKUP(N84,T!$M158:$M170,T!$I158:$I170),IF(AND(N51="4E3",N53=10),LOOKUP(N84,T!$M158:$M170,T!$J158:$J170),IF(AND(N51="4E3",N53=11),LOOKUP(N84,T!$M158:$M170,T!$K158:$K170),IF(AND(N51="4E3",N53=12),LOOKUP(N84,T!$M158:$M170,T!$L158:$L170),IF(AND(N51="4E4",N53=2),LOOKUP(N84,T!$H176:$H192,T!$B176:$B192),IF(AND(N51="4E4",N53=3),LOOKUP(N84,T!$H176:$H192,T!$C176:$C192),IF(AND(N51="4E4",N53=4),LOOKUP(N84,T!$H176:$H192,T!$D176:$D192),IF(AND(N51="4E4",N53=5),LOOKUP(N84,T!$H176:$H192,T!$E176:$E192),IF(AND(N51="4E4",N53=6),LOOKUP(N84,T!$H176:$H192,T!$F176:$F191),IF(AND(N51="4E4",N53=7),LOOKUP(N84,T!$H176:$H192,T!$G176:$G191),"-")))))))))))))))))))))))))))))))))))),IF(ISNUMBER(SEARCH("4F",N51)),IF(AND(N51="4F1",N53=2),LOOKUP(N84,T!$E198:$E214,T!$B198:$B202),IF(AND(N51="4F1",N53=3),LOOKUP(N84,T!$E198:$E214,T!$C198:$C211),IF(AND(N51="4F1",N53=4),LOOKUP(N84,T!$E203:$E214,T!$D203:$D214),IF(AND(N51="4F2",N53=2),LOOKUP(N84,T!$E220:$E236,T!$B220:$B224),IF(AND(N51="4F2",N53=3),LOOKUP(N84,T!$E220:$E236,T!$C220:$C233),IF(AND(N51="4F2",N53=4),LOOKUP(N84,T!$E225:$E236,T!$D225:$D236),IF(AND(N51="4F3",N53=2),LOOKUP(N84,T!$E242:$E248,T!$B242:$B248),IF(AND(N51="4F3",N53=3),LOOKUP(N84,T!$E242:$E248,T!$C242:$C248),"-")))))))),""))))</f>
        <v>396</v>
      </c>
      <c r="O33" s="133" t="str">
        <f>IF(L33&lt;&gt;"","A","")</f>
        <v>A</v>
      </c>
    </row>
    <row r="34" spans="1:15" s="129" customFormat="1" ht="18">
      <c r="A34" s="157" t="s">
        <v>2093</v>
      </c>
      <c r="B34" s="156" t="s">
        <v>2094</v>
      </c>
      <c r="C34" s="157"/>
      <c r="D34" s="157" t="str">
        <f>IF(D29="","",IF(ISNUMBER(SEARCH("4G",D51)),IF(AND(D51="4G1",D53=2,D59="500V"),LOOKUP(D84,T!$J255:$J258,T!$B255:$B258),IF(AND(D51="4G1",D53=3,D59="500V"),LOOKUP(D84,T!$J255:$J258,T!$C255:$C258),IF(AND(D51="4G1",D53=4,D59="500V"),LOOKUP(D84,T!$J255:$J258,T!$D255:$D258),IF(AND(D51="4G1",D53=5,D59="500V"),LOOKUP(D84,T!$J255:$J258,T!$E255:$E258),IF(AND(D51="4G1",D53=6,D59="500V"),LOOKUP(D84,T!$J255:$J258,T!$F255:$F258),IF(AND(D51="4G1",D53=7,D59="500V"),LOOKUP(D84,T!$J255:$J258,T!$G255:$G258),IF(AND(D51="4G1",D53=8,D59="500V"),LOOKUP(D84,T!$J255:$J258,T!$H255:$H258),IF(AND(D51="4G1",D53=9,D59="500V"),LOOKUP(D84,T!$J255:$J258,T!$I255:$I258),IF(AND(D51="4G1",D53=2,D59="750V"),LOOKUP(D84,T!$J260:$J275,T!$B260:$B275),IF(AND(D51="4G1",D53=3,D59="750V"),LOOKUP(D84,T!$J260:$J275,T!$C260:$C275),IF(AND(D51="4G1",D53=4,D59="750V"),LOOKUP(D84,T!$J260:$J275,T!$D260:$D275),IF(AND(D51="4G1",D53=5,D59="750V"),LOOKUP(D84,T!$J260:$J275,T!$E260:$E275),IF(AND(D51="4G1",D53=6,D59="750V"),LOOKUP(D84,T!$J260:$J275,T!$F260:$F275),IF(AND(D51="4G1",D53=7,D59="750V"),LOOKUP(D84,T!$J260:$J275,T!$G260:$G275),IF(AND(D51="4G1",D53=8,D59="750V"),LOOKUP(D84,T!$J260:$J275,T!$H260:$H275),IF(AND(D51="4G1",D53=9,D59="750V"),LOOKUP(D84,T!$J260:$J275,T!$I260:$I275),IF(AND(D51="4G2",D53=2,D59="500V"),LOOKUP(D84,T!$J282:$J285,T!$B282:$B285),IF(AND(D51="4G2",D53=3,D59="500V"),LOOKUP(D84,T!$J282:$J285,T!$C282:$C285),IF(AND(D51="4G2",D53=4,D59="500V"),LOOKUP(D84,T!$J282:$J285,T!$D282:$D285),IF(AND(D51="4G2",D53=5,D59="500V"),LOOKUP(D84,T!$J282:$J285,T!$E282:$E285),IF(AND(D51="4G2",D53=6,D59="500V"),LOOKUP(D84,T!$J282:$J285,T!$F282:$F285),IF(AND(D51="4G2",D53=7,D59="500V"),LOOKUP(D84,T!$J282:$J285,T!$G282:$G285),IF(AND(D51="4G2",D53=8,D59="500V"),LOOKUP(D84,T!$J282:$J285,T!$H282:$H285),IF(AND(D51="4G2",D53=9,D59="500V"),LOOKUP(D84,T!$J282:$J285,T!$I282:$I285),IF(AND(D51="4G2",D53=2,D59="750V"),LOOKUP(D84,T!$J287:$J302,T!$B287:$B302),IF(AND(D51="4G2",D53=3,D59="750V"),LOOKUP(D84,T!$J287:$J302,T!$C287:$C302),IF(AND(D51="4G2",D53=4,D59="750V"),LOOKUP(D84,T!$J287:$J302,T!$D287:$D302),IF(AND(D51="4G2",D53=5,D59="750V"),LOOKUP(D84,T!$J287:$J302,T!$E287:$E302),IF(AND(D51="4G2",D53=6,D59="750V"),LOOKUP(D84,T!$J287:$J302,T!$F287:$F302),IF(AND(D51="4G2",D53=7,D59="750V"),LOOKUP(D84,T!$J287:$J302,T!$G287:$G302),IF(AND(D51="4G2",D53=8,D59="750V"),LOOKUP(D84,T!$J287:$J302,T!$H287:$H302),IF(AND(D51="4G2",D53=9,D59="750V"),LOOKUP(D84,T!$J287:$J302,T!$I287:$I302),"-")))))))))))))))))))))))))))))))),""))</f>
        <v/>
      </c>
      <c r="E34" s="157" t="str">
        <f ca="1">IF(E29="","",IF(ISNUMBER(SEARCH("4G",E51)),IF(AND(E51="4G1",E53=2,E59="500V"),LOOKUP(E84,T!$J255:$J258,T!$B255:$B258),IF(AND(E51="4G1",E53=3,E59="500V"),LOOKUP(E84,T!$J255:$J258,T!$C255:$C258),IF(AND(E51="4G1",E53=4,E59="500V"),LOOKUP(E84,T!$J255:$J258,T!$D255:$D258),IF(AND(E51="4G1",E53=5,E59="500V"),LOOKUP(E84,T!$J255:$J258,T!$E255:$E258),IF(AND(E51="4G1",E53=6,E59="500V"),LOOKUP(E84,T!$J255:$J258,T!$F255:$F258),IF(AND(E51="4G1",E53=7,E59="500V"),LOOKUP(E84,T!$J255:$J258,T!$G255:$G258),IF(AND(E51="4G1",E53=8,E59="500V"),LOOKUP(E84,T!$J255:$J258,T!$H255:$H258),IF(AND(E51="4G1",E53=9,E59="500V"),LOOKUP(E84,T!$J255:$J258,T!$I255:$I258),IF(AND(E51="4G1",E53=2,E59="750V"),LOOKUP(E84,T!$J260:$J275,T!$B260:$B275),IF(AND(E51="4G1",E53=3,E59="750V"),LOOKUP(E84,T!$J260:$J275,T!$C260:$C275),IF(AND(E51="4G1",E53=4,E59="750V"),LOOKUP(E84,T!$J260:$J275,T!$D260:$D275),IF(AND(E51="4G1",E53=5,E59="750V"),LOOKUP(E84,T!$J260:$J275,T!$E260:$E275),IF(AND(E51="4G1",E53=6,E59="750V"),LOOKUP(E84,T!$J260:$J275,T!$F260:$F275),IF(AND(E51="4G1",E53=7,E59="750V"),LOOKUP(E84,T!$J260:$J275,T!$G260:$G275),IF(AND(E51="4G1",E53=8,E59="750V"),LOOKUP(E84,T!$J260:$J275,T!$H260:$H275),IF(AND(E51="4G1",E53=9,E59="750V"),LOOKUP(E84,T!$J260:$J275,T!$I260:$I275),IF(AND(E51="4G2",E53=2,E59="500V"),LOOKUP(E84,T!$J282:$J285,T!$B282:$B285),IF(AND(E51="4G2",E53=3,E59="500V"),LOOKUP(E84,T!$J282:$J285,T!$C282:$C285),IF(AND(E51="4G2",E53=4,E59="500V"),LOOKUP(E84,T!$J282:$J285,T!$D282:$D285),IF(AND(E51="4G2",E53=5,E59="500V"),LOOKUP(E84,T!$J282:$J285,T!$E282:$E285),IF(AND(E51="4G2",E53=6,E59="500V"),LOOKUP(E84,T!$J282:$J285,T!$F282:$F285),IF(AND(E51="4G2",E53=7,E59="500V"),LOOKUP(E84,T!$J282:$J285,T!$G282:$G285),IF(AND(E51="4G2",E53=8,E59="500V"),LOOKUP(E84,T!$J282:$J285,T!$H282:$H285),IF(AND(E51="4G2",E53=9,E59="500V"),LOOKUP(E84,T!$J282:$J285,T!$I282:$I285),IF(AND(E51="4G2",E53=2,E59="750V"),LOOKUP(E84,T!$J287:$J302,T!$B287:$B302),IF(AND(E51="4G2",E53=3,E59="750V"),LOOKUP(E84,T!$J287:$J302,T!$C287:$C302),IF(AND(E51="4G2",E53=4,E59="750V"),LOOKUP(E84,T!$J287:$J302,T!$D287:$D302),IF(AND(E51="4G2",E53=5,E59="750V"),LOOKUP(E84,T!$J287:$J302,T!$E287:$E302),IF(AND(E51="4G2",E53=6,E59="750V"),LOOKUP(E84,T!$J287:$J302,T!$F287:$F302),IF(AND(E51="4G2",E53=7,E59="750V"),LOOKUP(E84,T!$J287:$J302,T!$G287:$G302),IF(AND(E51="4G2",E53=8,E59="750V"),LOOKUP(E84,T!$J287:$J302,T!$H287:$H302),IF(AND(E51="4G2",E53=9,E59="750V"),LOOKUP(E84,T!$J287:$J302,T!$I287:$I302),"-")))))))))))))))))))))))))))))))),""))</f>
        <v/>
      </c>
      <c r="F34" s="157" t="str">
        <f ca="1">IF(F29="","",IF(ISNUMBER(SEARCH("4G",F51)),IF(AND(F51="4G1",F53=2,F59="500V"),LOOKUP(F84,T!$J255:$J258,T!$B255:$B258),IF(AND(F51="4G1",F53=3,F59="500V"),LOOKUP(F84,T!$J255:$J258,T!$C255:$C258),IF(AND(F51="4G1",F53=4,F59="500V"),LOOKUP(F84,T!$J255:$J258,T!$D255:$D258),IF(AND(F51="4G1",F53=5,F59="500V"),LOOKUP(F84,T!$J255:$J258,T!$E255:$E258),IF(AND(F51="4G1",F53=6,F59="500V"),LOOKUP(F84,T!$J255:$J258,T!$F255:$F258),IF(AND(F51="4G1",F53=7,F59="500V"),LOOKUP(F84,T!$J255:$J258,T!$G255:$G258),IF(AND(F51="4G1",F53=8,F59="500V"),LOOKUP(F84,T!$J255:$J258,T!$H255:$H258),IF(AND(F51="4G1",F53=9,F59="500V"),LOOKUP(F84,T!$J255:$J258,T!$I255:$I258),IF(AND(F51="4G1",F53=2,F59="750V"),LOOKUP(F84,T!$J260:$J275,T!$B260:$B275),IF(AND(F51="4G1",F53=3,F59="750V"),LOOKUP(F84,T!$J260:$J275,T!$C260:$C275),IF(AND(F51="4G1",F53=4,F59="750V"),LOOKUP(F84,T!$J260:$J275,T!$D260:$D275),IF(AND(F51="4G1",F53=5,F59="750V"),LOOKUP(F84,T!$J260:$J275,T!$E260:$E275),IF(AND(F51="4G1",F53=6,F59="750V"),LOOKUP(F84,T!$J260:$J275,T!$F260:$F275),IF(AND(F51="4G1",F53=7,F59="750V"),LOOKUP(F84,T!$J260:$J275,T!$G260:$G275),IF(AND(F51="4G1",F53=8,F59="750V"),LOOKUP(F84,T!$J260:$J275,T!$H260:$H275),IF(AND(F51="4G1",F53=9,F59="750V"),LOOKUP(F84,T!$J260:$J275,T!$I260:$I275),IF(AND(F51="4G2",F53=2,F59="500V"),LOOKUP(F84,T!$J282:$J285,T!$B282:$B285),IF(AND(F51="4G2",F53=3,F59="500V"),LOOKUP(F84,T!$J282:$J285,T!$C282:$C285),IF(AND(F51="4G2",F53=4,F59="500V"),LOOKUP(F84,T!$J282:$J285,T!$D282:$D285),IF(AND(F51="4G2",F53=5,F59="500V"),LOOKUP(F84,T!$J282:$J285,T!$E282:$E285),IF(AND(F51="4G2",F53=6,F59="500V"),LOOKUP(F84,T!$J282:$J285,T!$F282:$F285),IF(AND(F51="4G2",F53=7,F59="500V"),LOOKUP(F84,T!$J282:$J285,T!$G282:$G285),IF(AND(F51="4G2",F53=8,F59="500V"),LOOKUP(F84,T!$J282:$J285,T!$H282:$H285),IF(AND(F51="4G2",F53=9,F59="500V"),LOOKUP(F84,T!$J282:$J285,T!$I282:$I285),IF(AND(F51="4G2",F53=2,F59="750V"),LOOKUP(F84,T!$J287:$J302,T!$B287:$B302),IF(AND(F51="4G2",F53=3,F59="750V"),LOOKUP(F84,T!$J287:$J302,T!$C287:$C302),IF(AND(F51="4G2",F53=4,F59="750V"),LOOKUP(F84,T!$J287:$J302,T!$D287:$D302),IF(AND(F51="4G2",F53=5,F59="750V"),LOOKUP(F84,T!$J287:$J302,T!$E287:$E302),IF(AND(F51="4G2",F53=6,F59="750V"),LOOKUP(F84,T!$J287:$J302,T!$F287:$F302),IF(AND(F51="4G2",F53=7,F59="750V"),LOOKUP(F84,T!$J287:$J302,T!$G287:$G302),IF(AND(F51="4G2",F53=8,F59="750V"),LOOKUP(F84,T!$J287:$J302,T!$H287:$H302),IF(AND(F51="4G2",F53=9,F59="750V"),LOOKUP(F84,T!$J287:$J302,T!$I287:$I302),"-")))))))))))))))))))))))))))))))),""))</f>
        <v/>
      </c>
      <c r="G34" s="157" t="str">
        <f ca="1">IF(G29="","",IF(ISNUMBER(SEARCH("4G",G51)),IF(AND(G51="4G1",G53=2,G59="500V"),LOOKUP(G84,T!$J255:$J258,T!$B255:$B258),IF(AND(G51="4G1",G53=3,G59="500V"),LOOKUP(G84,T!$J255:$J258,T!$C255:$C258),IF(AND(G51="4G1",G53=4,G59="500V"),LOOKUP(G84,T!$J255:$J258,T!$D255:$D258),IF(AND(G51="4G1",G53=5,G59="500V"),LOOKUP(G84,T!$J255:$J258,T!$E255:$E258),IF(AND(G51="4G1",G53=6,G59="500V"),LOOKUP(G84,T!$J255:$J258,T!$F255:$F258),IF(AND(G51="4G1",G53=7,G59="500V"),LOOKUP(G84,T!$J255:$J258,T!$G255:$G258),IF(AND(G51="4G1",G53=8,G59="500V"),LOOKUP(G84,T!$J255:$J258,T!$H255:$H258),IF(AND(G51="4G1",G53=9,G59="500V"),LOOKUP(G84,T!$J255:$J258,T!$I255:$I258),IF(AND(G51="4G1",G53=2,G59="750V"),LOOKUP(G84,T!$J260:$J275,T!$B260:$B275),IF(AND(G51="4G1",G53=3,G59="750V"),LOOKUP(G84,T!$J260:$J275,T!$C260:$C275),IF(AND(G51="4G1",G53=4,G59="750V"),LOOKUP(G84,T!$J260:$J275,T!$D260:$D275),IF(AND(G51="4G1",G53=5,G59="750V"),LOOKUP(G84,T!$J260:$J275,T!$E260:$E275),IF(AND(G51="4G1",G53=6,G59="750V"),LOOKUP(G84,T!$J260:$J275,T!$F260:$F275),IF(AND(G51="4G1",G53=7,G59="750V"),LOOKUP(G84,T!$J260:$J275,T!$G260:$G275),IF(AND(G51="4G1",G53=8,G59="750V"),LOOKUP(G84,T!$J260:$J275,T!$H260:$H275),IF(AND(G51="4G1",G53=9,G59="750V"),LOOKUP(G84,T!$J260:$J275,T!$I260:$I275),IF(AND(G51="4G2",G53=2,G59="500V"),LOOKUP(G84,T!$J282:$J285,T!$B282:$B285),IF(AND(G51="4G2",G53=3,G59="500V"),LOOKUP(G84,T!$J282:$J285,T!$C282:$C285),IF(AND(G51="4G2",G53=4,G59="500V"),LOOKUP(G84,T!$J282:$J285,T!$D282:$D285),IF(AND(G51="4G2",G53=5,G59="500V"),LOOKUP(G84,T!$J282:$J285,T!$E282:$E285),IF(AND(G51="4G2",G53=6,G59="500V"),LOOKUP(G84,T!$J282:$J285,T!$F282:$F285),IF(AND(G51="4G2",G53=7,G59="500V"),LOOKUP(G84,T!$J282:$J285,T!$G282:$G285),IF(AND(G51="4G2",G53=8,G59="500V"),LOOKUP(G84,T!$J282:$J285,T!$H282:$H285),IF(AND(G51="4G2",G53=9,G59="500V"),LOOKUP(G84,T!$J282:$J285,T!$I282:$I285),IF(AND(G51="4G2",G53=2,G59="750V"),LOOKUP(G84,T!$J287:$J302,T!$B287:$B302),IF(AND(G51="4G2",G53=3,G59="750V"),LOOKUP(G84,T!$J287:$J302,T!$C287:$C302),IF(AND(G51="4G2",G53=4,G59="750V"),LOOKUP(G84,T!$J287:$J302,T!$D287:$D302),IF(AND(G51="4G2",G53=5,G59="750V"),LOOKUP(G84,T!$J287:$J302,T!$E287:$E302),IF(AND(G51="4G2",G53=6,G59="750V"),LOOKUP(G84,T!$J287:$J302,T!$F287:$F302),IF(AND(G51="4G2",G53=7,G59="750V"),LOOKUP(G84,T!$J287:$J302,T!$G287:$G302),IF(AND(G51="4G2",G53=8,G59="750V"),LOOKUP(G84,T!$J287:$J302,T!$H287:$H302),IF(AND(G51="4G2",G53=9,G59="750V"),LOOKUP(G84,T!$J287:$J302,T!$I287:$I302),"-")))))))))))))))))))))))))))))))),""))</f>
        <v/>
      </c>
      <c r="H34" s="157" t="str">
        <f ca="1">IF(H29="","",IF(ISNUMBER(SEARCH("4G",H51)),IF(AND(H51="4G1",H53=2,H59="500V"),LOOKUP(H84,T!$J255:$J258,T!$B255:$B258),IF(AND(H51="4G1",H53=3,H59="500V"),LOOKUP(H84,T!$J255:$J258,T!$C255:$C258),IF(AND(H51="4G1",H53=4,H59="500V"),LOOKUP(H84,T!$J255:$J258,T!$D255:$D258),IF(AND(H51="4G1",H53=5,H59="500V"),LOOKUP(H84,T!$J255:$J258,T!$E255:$E258),IF(AND(H51="4G1",H53=6,H59="500V"),LOOKUP(H84,T!$J255:$J258,T!$F255:$F258),IF(AND(H51="4G1",H53=7,H59="500V"),LOOKUP(H84,T!$J255:$J258,T!$G255:$G258),IF(AND(H51="4G1",H53=8,H59="500V"),LOOKUP(H84,T!$J255:$J258,T!$H255:$H258),IF(AND(H51="4G1",H53=9,H59="500V"),LOOKUP(H84,T!$J255:$J258,T!$I255:$I258),IF(AND(H51="4G1",H53=2,H59="750V"),LOOKUP(H84,T!$J260:$J275,T!$B260:$B275),IF(AND(H51="4G1",H53=3,H59="750V"),LOOKUP(H84,T!$J260:$J275,T!$C260:$C275),IF(AND(H51="4G1",H53=4,H59="750V"),LOOKUP(H84,T!$J260:$J275,T!$D260:$D275),IF(AND(H51="4G1",H53=5,H59="750V"),LOOKUP(H84,T!$J260:$J275,T!$E260:$E275),IF(AND(H51="4G1",H53=6,H59="750V"),LOOKUP(H84,T!$J260:$J275,T!$F260:$F275),IF(AND(H51="4G1",H53=7,H59="750V"),LOOKUP(H84,T!$J260:$J275,T!$G260:$G275),IF(AND(H51="4G1",H53=8,H59="750V"),LOOKUP(H84,T!$J260:$J275,T!$H260:$H275),IF(AND(H51="4G1",H53=9,H59="750V"),LOOKUP(H84,T!$J260:$J275,T!$I260:$I275),IF(AND(H51="4G2",H53=2,H59="500V"),LOOKUP(H84,T!$J282:$J285,T!$B282:$B285),IF(AND(H51="4G2",H53=3,H59="500V"),LOOKUP(H84,T!$J282:$J285,T!$C282:$C285),IF(AND(H51="4G2",H53=4,H59="500V"),LOOKUP(H84,T!$J282:$J285,T!$D282:$D285),IF(AND(H51="4G2",H53=5,H59="500V"),LOOKUP(H84,T!$J282:$J285,T!$E282:$E285),IF(AND(H51="4G2",H53=6,H59="500V"),LOOKUP(H84,T!$J282:$J285,T!$F282:$F285),IF(AND(H51="4G2",H53=7,H59="500V"),LOOKUP(H84,T!$J282:$J285,T!$G282:$G285),IF(AND(H51="4G2",H53=8,H59="500V"),LOOKUP(H84,T!$J282:$J285,T!$H282:$H285),IF(AND(H51="4G2",H53=9,H59="500V"),LOOKUP(H84,T!$J282:$J285,T!$I282:$I285),IF(AND(H51="4G2",H53=2,H59="750V"),LOOKUP(H84,T!$J287:$J302,T!$B287:$B302),IF(AND(H51="4G2",H53=3,H59="750V"),LOOKUP(H84,T!$J287:$J302,T!$C287:$C302),IF(AND(H51="4G2",H53=4,H59="750V"),LOOKUP(H84,T!$J287:$J302,T!$D287:$D302),IF(AND(H51="4G2",H53=5,H59="750V"),LOOKUP(H84,T!$J287:$J302,T!$E287:$E302),IF(AND(H51="4G2",H53=6,H59="750V"),LOOKUP(H84,T!$J287:$J302,T!$F287:$F302),IF(AND(H51="4G2",H53=7,H59="750V"),LOOKUP(H84,T!$J287:$J302,T!$G287:$G302),IF(AND(H51="4G2",H53=8,H59="750V"),LOOKUP(H84,T!$J287:$J302,T!$H287:$H302),IF(AND(H51="4G2",H53=9,H59="750V"),LOOKUP(H84,T!$J287:$J302,T!$I287:$I302),"-")))))))))))))))))))))))))))))))),""))</f>
        <v/>
      </c>
      <c r="I34" s="157" t="str">
        <f>IF(I29="","",IF(ISNUMBER(SEARCH("4G",I51)),IF(AND(I51="4G1",I53=2,I59="500V"),LOOKUP(I84,T!$J255:$J258,T!$B255:$B258),IF(AND(I51="4G1",I53=3,I59="500V"),LOOKUP(I84,T!$J255:$J258,T!$C255:$C258),IF(AND(I51="4G1",I53=4,I59="500V"),LOOKUP(I84,T!$J255:$J258,T!$D255:$D258),IF(AND(I51="4G1",I53=5,I59="500V"),LOOKUP(I84,T!$J255:$J258,T!$E255:$E258),IF(AND(I51="4G1",I53=6,I59="500V"),LOOKUP(I84,T!$J255:$J258,T!$F255:$F258),IF(AND(I51="4G1",I53=7,I59="500V"),LOOKUP(I84,T!$J255:$J258,T!$G255:$G258),IF(AND(I51="4G1",I53=8,I59="500V"),LOOKUP(I84,T!$J255:$J258,T!$H255:$H258),IF(AND(I51="4G1",I53=9,I59="500V"),LOOKUP(I84,T!$J255:$J258,T!$I255:$I258),IF(AND(I51="4G1",I53=2,I59="750V"),LOOKUP(I84,T!$J260:$J275,T!$B260:$B275),IF(AND(I51="4G1",I53=3,I59="750V"),LOOKUP(I84,T!$J260:$J275,T!$C260:$C275),IF(AND(I51="4G1",I53=4,I59="750V"),LOOKUP(I84,T!$J260:$J275,T!$D260:$D275),IF(AND(I51="4G1",I53=5,I59="750V"),LOOKUP(I84,T!$J260:$J275,T!$E260:$E275),IF(AND(I51="4G1",I53=6,I59="750V"),LOOKUP(I84,T!$J260:$J275,T!$F260:$F275),IF(AND(I51="4G1",I53=7,I59="750V"),LOOKUP(I84,T!$J260:$J275,T!$G260:$G275),IF(AND(I51="4G1",I53=8,I59="750V"),LOOKUP(I84,T!$J260:$J275,T!$H260:$H275),IF(AND(I51="4G1",I53=9,I59="750V"),LOOKUP(I84,T!$J260:$J275,T!$I260:$I275),IF(AND(I51="4G2",I53=2,I59="500V"),LOOKUP(I84,T!$J282:$J285,T!$B282:$B285),IF(AND(I51="4G2",I53=3,I59="500V"),LOOKUP(I84,T!$J282:$J285,T!$C282:$C285),IF(AND(I51="4G2",I53=4,I59="500V"),LOOKUP(I84,T!$J282:$J285,T!$D282:$D285),IF(AND(I51="4G2",I53=5,I59="500V"),LOOKUP(I84,T!$J282:$J285,T!$E282:$E285),IF(AND(I51="4G2",I53=6,I59="500V"),LOOKUP(I84,T!$J282:$J285,T!$F282:$F285),IF(AND(I51="4G2",I53=7,I59="500V"),LOOKUP(I84,T!$J282:$J285,T!$G282:$G285),IF(AND(I51="4G2",I53=8,I59="500V"),LOOKUP(I84,T!$J282:$J285,T!$H282:$H285),IF(AND(I51="4G2",I53=9,I59="500V"),LOOKUP(I84,T!$J282:$J285,T!$I282:$I285),IF(AND(I51="4G2",I53=2,I59="750V"),LOOKUP(I84,T!$J287:$J302,T!$B287:$B302),IF(AND(I51="4G2",I53=3,I59="750V"),LOOKUP(I84,T!$J287:$J302,T!$C287:$C302),IF(AND(I51="4G2",I53=4,I59="750V"),LOOKUP(I84,T!$J287:$J302,T!$D287:$D302),IF(AND(I51="4G2",I53=5,I59="750V"),LOOKUP(I84,T!$J287:$J302,T!$E287:$E302),IF(AND(I51="4G2",I53=6,I59="750V"),LOOKUP(I84,T!$J287:$J302,T!$F287:$F302),IF(AND(I51="4G2",I53=7,I59="750V"),LOOKUP(I84,T!$J287:$J302,T!$G287:$G302),IF(AND(I51="4G2",I53=8,I59="750V"),LOOKUP(I84,T!$J287:$J302,T!$H287:$H302),IF(AND(I51="4G2",I53=9,I59="750V"),LOOKUP(I84,T!$J287:$J302,T!$I287:$I302),"-")))))))))))))))))))))))))))))))),""))</f>
        <v/>
      </c>
      <c r="J34" s="157" t="str">
        <f>IF(J29="","",IF(ISNUMBER(SEARCH("4G",J51)),IF(AND(J51="4G1",J53=2,J59="500V"),LOOKUP(J84,T!$J255:$J258,T!$B255:$B258),IF(AND(J51="4G1",J53=3,J59="500V"),LOOKUP(J84,T!$J255:$J258,T!$C255:$C258),IF(AND(J51="4G1",J53=4,J59="500V"),LOOKUP(J84,T!$J255:$J258,T!$D255:$D258),IF(AND(J51="4G1",J53=5,J59="500V"),LOOKUP(J84,T!$J255:$J258,T!$E255:$E258),IF(AND(J51="4G1",J53=6,J59="500V"),LOOKUP(J84,T!$J255:$J258,T!$F255:$F258),IF(AND(J51="4G1",J53=7,J59="500V"),LOOKUP(J84,T!$J255:$J258,T!$G255:$G258),IF(AND(J51="4G1",J53=8,J59="500V"),LOOKUP(J84,T!$J255:$J258,T!$H255:$H258),IF(AND(J51="4G1",J53=9,J59="500V"),LOOKUP(J84,T!$J255:$J258,T!$I255:$I258),IF(AND(J51="4G1",J53=2,J59="750V"),LOOKUP(J84,T!$J260:$J275,T!$B260:$B275),IF(AND(J51="4G1",J53=3,J59="750V"),LOOKUP(J84,T!$J260:$J275,T!$C260:$C275),IF(AND(J51="4G1",J53=4,J59="750V"),LOOKUP(J84,T!$J260:$J275,T!$D260:$D275),IF(AND(J51="4G1",J53=5,J59="750V"),LOOKUP(J84,T!$J260:$J275,T!$E260:$E275),IF(AND(J51="4G1",J53=6,J59="750V"),LOOKUP(J84,T!$J260:$J275,T!$F260:$F275),IF(AND(J51="4G1",J53=7,J59="750V"),LOOKUP(J84,T!$J260:$J275,T!$G260:$G275),IF(AND(J51="4G1",J53=8,J59="750V"),LOOKUP(J84,T!$J260:$J275,T!$H260:$H275),IF(AND(J51="4G1",J53=9,J59="750V"),LOOKUP(J84,T!$J260:$J275,T!$I260:$I275),IF(AND(J51="4G2",J53=2,J59="500V"),LOOKUP(J84,T!$J282:$J285,T!$B282:$B285),IF(AND(J51="4G2",J53=3,J59="500V"),LOOKUP(J84,T!$J282:$J285,T!$C282:$C285),IF(AND(J51="4G2",J53=4,J59="500V"),LOOKUP(J84,T!$J282:$J285,T!$D282:$D285),IF(AND(J51="4G2",J53=5,J59="500V"),LOOKUP(J84,T!$J282:$J285,T!$E282:$E285),IF(AND(J51="4G2",J53=6,J59="500V"),LOOKUP(J84,T!$J282:$J285,T!$F282:$F285),IF(AND(J51="4G2",J53=7,J59="500V"),LOOKUP(J84,T!$J282:$J285,T!$G282:$G285),IF(AND(J51="4G2",J53=8,J59="500V"),LOOKUP(J84,T!$J282:$J285,T!$H282:$H285),IF(AND(J51="4G2",J53=9,J59="500V"),LOOKUP(J84,T!$J282:$J285,T!$I282:$I285),IF(AND(J51="4G2",J53=2,J59="750V"),LOOKUP(J84,T!$J287:$J302,T!$B287:$B302),IF(AND(J51="4G2",J53=3,J59="750V"),LOOKUP(J84,T!$J287:$J302,T!$C287:$C302),IF(AND(J51="4G2",J53=4,J59="750V"),LOOKUP(J84,T!$J287:$J302,T!$D287:$D302),IF(AND(J51="4G2",J53=5,J59="750V"),LOOKUP(J84,T!$J287:$J302,T!$E287:$E302),IF(AND(J51="4G2",J53=6,J59="750V"),LOOKUP(J84,T!$J287:$J302,T!$F287:$F302),IF(AND(J51="4G2",J53=7,J59="750V"),LOOKUP(J84,T!$J287:$J302,T!$G287:$G302),IF(AND(J51="4G2",J53=8,J59="750V"),LOOKUP(J84,T!$J287:$J302,T!$H287:$H302),IF(AND(J51="4G2",J53=9,J59="750V"),LOOKUP(J84,T!$J287:$J302,T!$I287:$I302),"-")))))))))))))))))))))))))))))))),""))</f>
        <v/>
      </c>
      <c r="K34" s="157" t="str">
        <f>IF(K29="","",IF(ISNUMBER(SEARCH("4G",K51)),IF(AND(K51="4G1",K53=2,K59="500V"),LOOKUP(K84,T!$J255:$J258,T!$B255:$B258),IF(AND(K51="4G1",K53=3,K59="500V"),LOOKUP(K84,T!$J255:$J258,T!$C255:$C258),IF(AND(K51="4G1",K53=4,K59="500V"),LOOKUP(K84,T!$J255:$J258,T!$D255:$D258),IF(AND(K51="4G1",K53=5,K59="500V"),LOOKUP(K84,T!$J255:$J258,T!$E255:$E258),IF(AND(K51="4G1",K53=6,K59="500V"),LOOKUP(K84,T!$J255:$J258,T!$F255:$F258),IF(AND(K51="4G1",K53=7,K59="500V"),LOOKUP(K84,T!$J255:$J258,T!$G255:$G258),IF(AND(K51="4G1",K53=8,K59="500V"),LOOKUP(K84,T!$J255:$J258,T!$H255:$H258),IF(AND(K51="4G1",K53=9,K59="500V"),LOOKUP(K84,T!$J255:$J258,T!$I255:$I258),IF(AND(K51="4G1",K53=2,K59="750V"),LOOKUP(K84,T!$J260:$J275,T!$B260:$B275),IF(AND(K51="4G1",K53=3,K59="750V"),LOOKUP(K84,T!$J260:$J275,T!$C260:$C275),IF(AND(K51="4G1",K53=4,K59="750V"),LOOKUP(K84,T!$J260:$J275,T!$D260:$D275),IF(AND(K51="4G1",K53=5,K59="750V"),LOOKUP(K84,T!$J260:$J275,T!$E260:$E275),IF(AND(K51="4G1",K53=6,K59="750V"),LOOKUP(K84,T!$J260:$J275,T!$F260:$F275),IF(AND(K51="4G1",K53=7,K59="750V"),LOOKUP(K84,T!$J260:$J275,T!$G260:$G275),IF(AND(K51="4G1",K53=8,K59="750V"),LOOKUP(K84,T!$J260:$J275,T!$H260:$H275),IF(AND(K51="4G1",K53=9,K59="750V"),LOOKUP(K84,T!$J260:$J275,T!$I260:$I275),IF(AND(K51="4G2",K53=2,K59="500V"),LOOKUP(K84,T!$J282:$J285,T!$B282:$B285),IF(AND(K51="4G2",K53=3,K59="500V"),LOOKUP(K84,T!$J282:$J285,T!$C282:$C285),IF(AND(K51="4G2",K53=4,K59="500V"),LOOKUP(K84,T!$J282:$J285,T!$D282:$D285),IF(AND(K51="4G2",K53=5,K59="500V"),LOOKUP(K84,T!$J282:$J285,T!$E282:$E285),IF(AND(K51="4G2",K53=6,K59="500V"),LOOKUP(K84,T!$J282:$J285,T!$F282:$F285),IF(AND(K51="4G2",K53=7,K59="500V"),LOOKUP(K84,T!$J282:$J285,T!$G282:$G285),IF(AND(K51="4G2",K53=8,K59="500V"),LOOKUP(K84,T!$J282:$J285,T!$H282:$H285),IF(AND(K51="4G2",K53=9,K59="500V"),LOOKUP(K84,T!$J282:$J285,T!$I282:$I285),IF(AND(K51="4G2",K53=2,K59="750V"),LOOKUP(K84,T!$J287:$J302,T!$B287:$B302),IF(AND(K51="4G2",K53=3,K59="750V"),LOOKUP(K84,T!$J287:$J302,T!$C287:$C302),IF(AND(K51="4G2",K53=4,K59="750V"),LOOKUP(K84,T!$J287:$J302,T!$D287:$D302),IF(AND(K51="4G2",K53=5,K59="750V"),LOOKUP(K84,T!$J287:$J302,T!$E287:$E302),IF(AND(K51="4G2",K53=6,K59="750V"),LOOKUP(K84,T!$J287:$J302,T!$F287:$F302),IF(AND(K51="4G2",K53=7,K59="750V"),LOOKUP(K84,T!$J287:$J302,T!$G287:$G302),IF(AND(K51="4G2",K53=8,K59="750V"),LOOKUP(K84,T!$J287:$J302,T!$H287:$H302),IF(AND(K51="4G2",K53=9,K59="750V"),LOOKUP(K84,T!$J287:$J302,T!$I287:$I302),"-")))))))))))))))))))))))))))))))),""))</f>
        <v/>
      </c>
      <c r="L34" s="157" t="str">
        <f>IF(L29="","",IF(ISNUMBER(SEARCH("4G",L51)),IF(AND(L51="4G1",L53=2,L59="500V"),LOOKUP(L84,T!$J255:$J258,T!$B255:$B258),IF(AND(L51="4G1",L53=3,L59="500V"),LOOKUP(L84,T!$J255:$J258,T!$C255:$C258),IF(AND(L51="4G1",L53=4,L59="500V"),LOOKUP(L84,T!$J255:$J258,T!$D255:$D258),IF(AND(L51="4G1",L53=5,L59="500V"),LOOKUP(L84,T!$J255:$J258,T!$E255:$E258),IF(AND(L51="4G1",L53=6,L59="500V"),LOOKUP(L84,T!$J255:$J258,T!$F255:$F258),IF(AND(L51="4G1",L53=7,L59="500V"),LOOKUP(L84,T!$J255:$J258,T!$G255:$G258),IF(AND(L51="4G1",L53=8,L59="500V"),LOOKUP(L84,T!$J255:$J258,T!$H255:$H258),IF(AND(L51="4G1",L53=9,L59="500V"),LOOKUP(L84,T!$J255:$J258,T!$I255:$I258),IF(AND(L51="4G1",L53=2,L59="750V"),LOOKUP(L84,T!$J260:$J275,T!$B260:$B275),IF(AND(L51="4G1",L53=3,L59="750V"),LOOKUP(L84,T!$J260:$J275,T!$C260:$C275),IF(AND(L51="4G1",L53=4,L59="750V"),LOOKUP(L84,T!$J260:$J275,T!$D260:$D275),IF(AND(L51="4G1",L53=5,L59="750V"),LOOKUP(L84,T!$J260:$J275,T!$E260:$E275),IF(AND(L51="4G1",L53=6,L59="750V"),LOOKUP(L84,T!$J260:$J275,T!$F260:$F275),IF(AND(L51="4G1",L53=7,L59="750V"),LOOKUP(L84,T!$J260:$J275,T!$G260:$G275),IF(AND(L51="4G1",L53=8,L59="750V"),LOOKUP(L84,T!$J260:$J275,T!$H260:$H275),IF(AND(L51="4G1",L53=9,L59="750V"),LOOKUP(L84,T!$J260:$J275,T!$I260:$I275),IF(AND(L51="4G2",L53=2,L59="500V"),LOOKUP(L84,T!$J282:$J285,T!$B282:$B285),IF(AND(L51="4G2",L53=3,L59="500V"),LOOKUP(L84,T!$J282:$J285,T!$C282:$C285),IF(AND(L51="4G2",L53=4,L59="500V"),LOOKUP(L84,T!$J282:$J285,T!$D282:$D285),IF(AND(L51="4G2",L53=5,L59="500V"),LOOKUP(L84,T!$J282:$J285,T!$E282:$E285),IF(AND(L51="4G2",L53=6,L59="500V"),LOOKUP(L84,T!$J282:$J285,T!$F282:$F285),IF(AND(L51="4G2",L53=7,L59="500V"),LOOKUP(L84,T!$J282:$J285,T!$G282:$G285),IF(AND(L51="4G2",L53=8,L59="500V"),LOOKUP(L84,T!$J282:$J285,T!$H282:$H285),IF(AND(L51="4G2",L53=9,L59="500V"),LOOKUP(L84,T!$J282:$J285,T!$I282:$I285),IF(AND(L51="4G2",L53=2,L59="750V"),LOOKUP(L84,T!$J287:$J302,T!$B287:$B302),IF(AND(L51="4G2",L53=3,L59="750V"),LOOKUP(L84,T!$J287:$J302,T!$C287:$C302),IF(AND(L51="4G2",L53=4,L59="750V"),LOOKUP(L84,T!$J287:$J302,T!$D287:$D302),IF(AND(L51="4G2",L53=5,L59="750V"),LOOKUP(L84,T!$J287:$J302,T!$E287:$E302),IF(AND(L51="4G2",L53=6,L59="750V"),LOOKUP(L84,T!$J287:$J302,T!$F287:$F302),IF(AND(L51="4G2",L53=7,L59="750V"),LOOKUP(L84,T!$J287:$J302,T!$G287:$G302),IF(AND(L51="4G2",L53=8,L59="750V"),LOOKUP(L84,T!$J287:$J302,T!$H287:$H302),IF(AND(L51="4G2",L53=9,L59="750V"),LOOKUP(L84,T!$J287:$J302,T!$I287:$I302),"-")))))))))))))))))))))))))))))))),""))</f>
        <v/>
      </c>
      <c r="M34" s="157" t="str">
        <f>IF(M29="","",IF(ISNUMBER(SEARCH("4G",M51)),IF(AND(M51="4G1",M53=2,M59="500V"),LOOKUP(M84,T!$J255:$J258,T!$B255:$B258),IF(AND(M51="4G1",M53=3,M59="500V"),LOOKUP(M84,T!$J255:$J258,T!$C255:$C258),IF(AND(M51="4G1",M53=4,M59="500V"),LOOKUP(M84,T!$J255:$J258,T!$D255:$D258),IF(AND(M51="4G1",M53=5,M59="500V"),LOOKUP(M84,T!$J255:$J258,T!$E255:$E258),IF(AND(M51="4G1",M53=6,M59="500V"),LOOKUP(M84,T!$J255:$J258,T!$F255:$F258),IF(AND(M51="4G1",M53=7,M59="500V"),LOOKUP(M84,T!$J255:$J258,T!$G255:$G258),IF(AND(M51="4G1",M53=8,M59="500V"),LOOKUP(M84,T!$J255:$J258,T!$H255:$H258),IF(AND(M51="4G1",M53=9,M59="500V"),LOOKUP(M84,T!$J255:$J258,T!$I255:$I258),IF(AND(M51="4G1",M53=2,M59="750V"),LOOKUP(M84,T!$J260:$J275,T!$B260:$B275),IF(AND(M51="4G1",M53=3,M59="750V"),LOOKUP(M84,T!$J260:$J275,T!$C260:$C275),IF(AND(M51="4G1",M53=4,M59="750V"),LOOKUP(M84,T!$J260:$J275,T!$D260:$D275),IF(AND(M51="4G1",M53=5,M59="750V"),LOOKUP(M84,T!$J260:$J275,T!$E260:$E275),IF(AND(M51="4G1",M53=6,M59="750V"),LOOKUP(M84,T!$J260:$J275,T!$F260:$F275),IF(AND(M51="4G1",M53=7,M59="750V"),LOOKUP(M84,T!$J260:$J275,T!$G260:$G275),IF(AND(M51="4G1",M53=8,M59="750V"),LOOKUP(M84,T!$J260:$J275,T!$H260:$H275),IF(AND(M51="4G1",M53=9,M59="750V"),LOOKUP(M84,T!$J260:$J275,T!$I260:$I275),IF(AND(M51="4G2",M53=2,M59="500V"),LOOKUP(M84,T!$J282:$J285,T!$B282:$B285),IF(AND(M51="4G2",M53=3,M59="500V"),LOOKUP(M84,T!$J282:$J285,T!$C282:$C285),IF(AND(M51="4G2",M53=4,M59="500V"),LOOKUP(M84,T!$J282:$J285,T!$D282:$D285),IF(AND(M51="4G2",M53=5,M59="500V"),LOOKUP(M84,T!$J282:$J285,T!$E282:$E285),IF(AND(M51="4G2",M53=6,M59="500V"),LOOKUP(M84,T!$J282:$J285,T!$F282:$F285),IF(AND(M51="4G2",M53=7,M59="500V"),LOOKUP(M84,T!$J282:$J285,T!$G282:$G285),IF(AND(M51="4G2",M53=8,M59="500V"),LOOKUP(M84,T!$J282:$J285,T!$H282:$H285),IF(AND(M51="4G2",M53=9,M59="500V"),LOOKUP(M84,T!$J282:$J285,T!$I282:$I285),IF(AND(M51="4G2",M53=2,M59="750V"),LOOKUP(M84,T!$J287:$J302,T!$B287:$B302),IF(AND(M51="4G2",M53=3,M59="750V"),LOOKUP(M84,T!$J287:$J302,T!$C287:$C302),IF(AND(M51="4G2",M53=4,M59="750V"),LOOKUP(M84,T!$J287:$J302,T!$D287:$D302),IF(AND(M51="4G2",M53=5,M59="750V"),LOOKUP(M84,T!$J287:$J302,T!$E287:$E302),IF(AND(M51="4G2",M53=6,M59="750V"),LOOKUP(M84,T!$J287:$J302,T!$F287:$F302),IF(AND(M51="4G2",M53=7,M59="750V"),LOOKUP(M84,T!$J287:$J302,T!$G287:$G302),IF(AND(M51="4G2",M53=8,M59="750V"),LOOKUP(M84,T!$J287:$J302,T!$H287:$H302),IF(AND(M51="4G2",M53=9,M59="750V"),LOOKUP(M84,T!$J287:$J302,T!$I287:$I302),"-")))))))))))))))))))))))))))))))),""))</f>
        <v/>
      </c>
      <c r="N34" s="157" t="str">
        <f>IF(N29="","",IF(ISNUMBER(SEARCH("4G",N51)),IF(AND(N51="4G1",N53=2,N59="500V"),LOOKUP(N84,T!$J255:$J258,T!$B255:$B258),IF(AND(N51="4G1",N53=3,N59="500V"),LOOKUP(N84,T!$J255:$J258,T!$C255:$C258),IF(AND(N51="4G1",N53=4,N59="500V"),LOOKUP(N84,T!$J255:$J258,T!$D255:$D258),IF(AND(N51="4G1",N53=5,N59="500V"),LOOKUP(N84,T!$J255:$J258,T!$E255:$E258),IF(AND(N51="4G1",N53=6,N59="500V"),LOOKUP(N84,T!$J255:$J258,T!$F255:$F258),IF(AND(N51="4G1",N53=7,N59="500V"),LOOKUP(N84,T!$J255:$J258,T!$G255:$G258),IF(AND(N51="4G1",N53=8,N59="500V"),LOOKUP(N84,T!$J255:$J258,T!$H255:$H258),IF(AND(N51="4G1",N53=9,N59="500V"),LOOKUP(N84,T!$J255:$J258,T!$I255:$I258),IF(AND(N51="4G1",N53=2,N59="750V"),LOOKUP(N84,T!$J260:$J275,T!$B260:$B275),IF(AND(N51="4G1",N53=3,N59="750V"),LOOKUP(N84,T!$J260:$J275,T!$C260:$C275),IF(AND(N51="4G1",N53=4,N59="750V"),LOOKUP(N84,T!$J260:$J275,T!$D260:$D275),IF(AND(N51="4G1",N53=5,N59="750V"),LOOKUP(N84,T!$J260:$J275,T!$E260:$E275),IF(AND(N51="4G1",N53=6,N59="750V"),LOOKUP(N84,T!$J260:$J275,T!$F260:$F275),IF(AND(N51="4G1",N53=7,N59="750V"),LOOKUP(N84,T!$J260:$J275,T!$G260:$G275),IF(AND(N51="4G1",N53=8,N59="750V"),LOOKUP(N84,T!$J260:$J275,T!$H260:$H275),IF(AND(N51="4G1",N53=9,N59="750V"),LOOKUP(N84,T!$J260:$J275,T!$I260:$I275),IF(AND(N51="4G2",N53=2,N59="500V"),LOOKUP(N84,T!$J282:$J285,T!$B282:$B285),IF(AND(N51="4G2",N53=3,N59="500V"),LOOKUP(N84,T!$J282:$J285,T!$C282:$C285),IF(AND(N51="4G2",N53=4,N59="500V"),LOOKUP(N84,T!$J282:$J285,T!$D282:$D285),IF(AND(N51="4G2",N53=5,N59="500V"),LOOKUP(N84,T!$J282:$J285,T!$E282:$E285),IF(AND(N51="4G2",N53=6,N59="500V"),LOOKUP(N84,T!$J282:$J285,T!$F282:$F285),IF(AND(N51="4G2",N53=7,N59="500V"),LOOKUP(N84,T!$J282:$J285,T!$G282:$G285),IF(AND(N51="4G2",N53=8,N59="500V"),LOOKUP(N84,T!$J282:$J285,T!$H282:$H285),IF(AND(N51="4G2",N53=9,N59="500V"),LOOKUP(N84,T!$J282:$J285,T!$I282:$I285),IF(AND(N51="4G2",N53=2,N59="750V"),LOOKUP(N84,T!$J287:$J302,T!$B287:$B302),IF(AND(N51="4G2",N53=3,N59="750V"),LOOKUP(N84,T!$J287:$J302,T!$C287:$C302),IF(AND(N51="4G2",N53=4,N59="750V"),LOOKUP(N84,T!$J287:$J302,T!$D287:$D302),IF(AND(N51="4G2",N53=5,N59="750V"),LOOKUP(N84,T!$J287:$J302,T!$E287:$E302),IF(AND(N51="4G2",N53=6,N59="750V"),LOOKUP(N84,T!$J287:$J302,T!$F287:$F302),IF(AND(N51="4G2",N53=7,N59="750V"),LOOKUP(N84,T!$J287:$J302,T!$G287:$G302),IF(AND(N51="4G2",N53=8,N59="750V"),LOOKUP(N84,T!$J287:$J302,T!$H287:$H302),IF(AND(N51="4G2",N53=9,N59="750V"),LOOKUP(N84,T!$J287:$J302,T!$I287:$I302),"-")))))))))))))))))))))))))))))))),""))</f>
        <v/>
      </c>
      <c r="O34" s="148" t="str">
        <f>IF(N34&lt;&gt;"","A","")</f>
        <v/>
      </c>
    </row>
    <row r="35" spans="1:15" s="129" customFormat="1" ht="16">
      <c r="A35" s="141"/>
      <c r="B35" s="139"/>
      <c r="C35" s="141"/>
      <c r="D35" s="141" t="str">
        <f>IF(D27="","",IF(OR(D51="4H1",D51="4H2",D51="4H3",D51="4H4"),IF(D27="","",IF(AND(D51="4H1",D53=2),LOOKUP(D84,T!$M308:$M321,T!$B308:$B315),IF(AND(D51="4H1",D53=3),LOOKUP(D84,T!$M308:$M321,T!$C308:$C315),IF(AND(D51="4H1",D53=4),LOOKUP(D84,T!$M308:$M321,T!$D308:$D318),IF(AND(D51="4H1",D53=5),LOOKUP(D84,T!$M308:$M321,T!$E308:$E318),IF(AND(D51="4H1",D53=6),LOOKUP(D84,T!$M308:$M321,T!$F308:$F321),IF(AND(D51="4H1",D53=7),LOOKUP(D84,T!$M308:$M321,T!$G308:$G321),IF(AND(D51="4H1",D53=8),LOOKUP(D84,T!$M308:$M321,T!$H308:$H321),IF(AND(D51="4H1",D53=9),LOOKUP(D84,T!$M308:$M321,T!$I305:$I321),IF(AND(D51="4H1",D53=10),LOOKUP(D84,T!$M308:$M321,T!$J308:$J321),IF(AND(D51="4H1",D53=11),LOOKUP(D84,T!$M308:$M321,T!$K308:$K321),IF(AND(D51="4H1",D53=12),LOOKUP(D84,T!$M308:$M321,T!$L308:$L321),IF(AND(D51="4H2",D53=2),LOOKUP(D84,T!$J327:$J337,T!$B327:$B332),IF(AND(D51="4H2",D53=3),LOOKUP(D84,T!$J327:$J337,T!$C327:$C337),IF(AND(D51="4H2",D53=4),LOOKUP(D84,T!$J327:$J337,T!$D327:$D332),IF(AND(D51="4H2",D53=5),LOOKUP(D84,T!$J327:$J337,T!$E327:$E337),IF(AND(D51="4H2",D53=6),LOOKUP(D84,T!$J327:$J337,T!$F327:$F332),IF(AND(D51="4H2",D53=7),LOOKUP(D84,T!$G327:$J337,T!$G327:$G337),IF(AND(D51="4H2",D53=8),LOOKUP(D84,T!$J327:$J337,T!$H327:$H332),IF(AND(D51="4H2",D53=9),LOOKUP(D84,T!$J327:$J337,T!$I327:$I337),IF(AND(D51="4H3",D53=2),LOOKUP(D84,T!$M343:$M356,T!$B343:$B356),IF(AND(D51="4H3",D53=3),LOOKUP(D84,T!$M343:$M356,T!$C343:$C356),IF(AND(D51="4H3",D53=4),LOOKUP(D84,T!$M343:$M356,T!$D343:$D356),IF(AND(D51="4H3",D53=5),LOOKUP(D84,T!$M343:$M356,T!$E343:$E356),IF(AND(D51="4H3",D53=6),LOOKUP(D84,T!$M343:$M356,T!$F343:$F356),IF(AND(D51="4H3",D53=7),LOOKUP(D84,T!$M343:$M356,T!$G343:$G356),IF(AND(D51="4H3",D53=8),LOOKUP(D84,T!$M343:$M356,T!$H343:$H356),IF(AND(D51="4H3",D53=9),LOOKUP(D84,T!$M343:$M356,T!$I343:$I356),IF(AND(D51="4H3",D53=10),LOOKUP(D84,T!$M343:$M356,T!$J343:$J356),IF(AND(D51="4H3",D53=11),LOOKUP(D84,T!$M343:$M356,T!$K343:$K356),IF(AND(D51="4H3",D53=12),LOOKUP(D84,T!$M343:$M356,T!$L343:$L356),IF(AND(D51="4H4",D53=2),LOOKUP(D84,T!$H362:$H372,T!$B362:$B367),IF(AND(D51="4H4",D53=3),LOOKUP(D84,T!$H362:$H372,T!$C362:$C372),IF(AND(D51="4H4",D53=4),LOOKUP(D84,T!$H362:$H372,T!$D362:$D367),IF(AND(D51="4H4",D53=5),LOOKUP(D84,T!$H362:$H372,T!$E362:$E372),IF(AND(D51="4H4",D53=6),LOOKUP(D84,T!$H363:$H372,T!$F363:$F367),IF(AND(D51="4H4",D53=7),LOOKUP(D84,T!$H363:$H372,T!$G363:$G372),"-"))))))))))))))))))))))))))))))))))))),IF(OR(D51="4J1",D51="4J2",D51="4J3",D51="4J4"),IF(AND(D51="4J1",D53=2),LOOKUP(D84,T!$M378:$M391,T!$B378:$B385),IF(AND(D51="4J1",D53=3),LOOKUP(D84,T!$M378:$M391,T!$C378:$C385),IF(AND(D51="4J1",D53=4),LOOKUP(D84,T!$M378:$M391,T!$D378:$D385),IF(AND(D51="4J1",D53=5),LOOKUP(D84,T!$M378:$M391,T!$E378:$E385),IF(AND(D51="4J1",D53=6),LOOKUP(D84,T!$M378:$M391,T!$F378:$F391),IF(AND(D51="4J1",D53=7),LOOKUP(D84,T!$M378:$M391,T!$G378:$G391),IF(AND(D51="4J1",D53=8),LOOKUP(D84,T!$M378:$M391,T!$H378:$H391),IF(AND(D51="4J1",D53=9),LOOKUP(D84,T!$M378:$M391,T!$I378:$I391),IF(AND(D51="4J1",D53=10),LOOKUP(D84,T!$M378:$M391,T!$J378:$J391),IF(AND(D51="4J1",D53=11),LOOKUP(D84,T!$M378:$M391,T!$K378:$K391),IF(AND(D51="4J1",D53=12),LOOKUP(D84,T!$M378:$M391,T!$L378:$L391),IF(AND(D51="4J2",D53=2),LOOKUP(D84,T!$J397:$J407,T!$B397:$B402),IF(AND(D51="4J2",D53=3),LOOKUP(D84,T!$J397:$J407,T!$C397:$C407),IF(AND(D51="4J2",D53=4),LOOKUP(D84,T!$J397:$J407,T!$D397:$D$402),IF(AND(D51="4J2",D53=5),LOOKUP(D84,T!$J397:$J407,T!$E397:$E407),IF(AND(D51="4J2",D53=6),LOOKUP(D84,T!$J397:$J407,T!$F397:$F402),IF(AND(D51="4J2",D53=7),LOOKUP(D84,T!$J397:$J407,T!$G397:$G407),IF(AND(D51="4J2",D53=8),LOOKUP(D84,T!$J397:$J407,T!$H397:$H402),IF(AND(D51="4J2",D53=9),LOOKUP(D84,T!$J397:$J407,T!$I397:$I407),IF(AND(D51="4J3",D53=2),LOOKUP(D84,T!$M413:$M426,T!$B413:$B426),IF(AND(D51="4J3",D53=3),LOOKUP(D84,T!$M413:$M426,T!$C413:$C426),IF(AND(D51="4J3",D53=4),LOOKUP(D84,T!$M413:$M426,T!$D413:$D426),IF(AND(D51="4J3",D53=5),LOOKUP(D84,T!$M413:$M426,T!$E413:$E426),IF(AND(D51="4J3",D53=6),LOOKUP(D84,T!$M413:$M426,T!$F413:$F426),IF(AND(D51="4J3",D53=7),LOOKUP(D84,T!$M413:$M426,T!$G413:$G426),IF(AND(D51="4J3",D53=8),LOOKUP(D84,T!$M413:$M426,T!$H413:$H426),IF(AND(D51="4J3",D53=9),LOOKUP(D84,T!$M413:$M426,T!$I413:$I426),IF(AND(D51="4J3",D53=10),LOOKUP(D84,T!$M413:$M426,T!$J413:$J426),IF(AND(D51="4J3",D53=11),LOOKUP(D84,T!$M413:$M426,T!$K413:$K426),IF(AND(D51="4J3",D53=12),LOOKUP(D84,T!$M413:$M426,T!$L413:$L426),IF(AND(D51="4J4",D53=2),LOOKUP(D84,T!$H432:$H442,T!$B432:$B437),IF(AND(D51="4J4",D53=3),LOOKUP(D84,T!$H432:$H442,T!$C432:$C442),IF(AND(D51="4J4",D53=4),LOOKUP(D84,T!$H432:$H442,T!$D872:$D877),IF(AND(D51="4J4",D53=5),LOOKUP(D84,T!$H432:$H442,T!$E432:$E442),IF(AND(D51="4J4",D53=6),LOOKUP(D84,T!$H432:$H442,T!$F432:$F437),IF(AND(D51="4J4",D53=7),LOOKUP(D84,T!$H432:$H442,T!$G432:$G442),"-")))))))))))))))))))))))))))))))))))),"")))</f>
        <v/>
      </c>
      <c r="E35" s="141" t="str">
        <f ca="1">IF(E27="","",IF(OR(E51="4H1",E51="4H2",E51="4H3",E51="4H4"),IF(E27="","",IF(AND(E51="4H1",E53=2),LOOKUP(E84,T!$M308:$M321,T!$B308:$B315),IF(AND(E51="4H1",E53=3),LOOKUP(E84,T!$M308:$M321,T!$C308:$C315),IF(AND(E51="4H1",E53=4),LOOKUP(E84,T!$M308:$M321,T!$D308:$D318),IF(AND(E51="4H1",E53=5),LOOKUP(E84,T!$M308:$M321,T!$E308:$E318),IF(AND(E51="4H1",E53=6),LOOKUP(E84,T!$M308:$M321,T!$F308:$F321),IF(AND(E51="4H1",E53=7),LOOKUP(E84,T!$M308:$M321,T!$G308:$G321),IF(AND(E51="4H1",E53=8),LOOKUP(E84,T!$M308:$M321,T!$H308:$H321),IF(AND(E51="4H1",E53=9),LOOKUP(E84,T!$M308:$M321,T!$I305:$I321),IF(AND(E51="4H1",E53=10),LOOKUP(E84,T!$M308:$M321,T!$J308:$J321),IF(AND(E51="4H1",E53=11),LOOKUP(E84,T!$M308:$M321,T!$K308:$K321),IF(AND(E51="4H1",E53=12),LOOKUP(E84,T!$M308:$M321,T!$L308:$L321),IF(AND(E51="4H2",E53=2),LOOKUP(E84,T!$J327:$J337,T!$B327:$B332),IF(AND(E51="4H2",E53=3),LOOKUP(E84,T!$J327:$J337,T!$C327:$C337),IF(AND(E51="4H2",E53=4),LOOKUP(E84,T!$J327:$J337,T!$D327:$D332),IF(AND(E51="4H2",E53=5),LOOKUP(E84,T!$J327:$J337,T!$E327:$E337),IF(AND(E51="4H2",E53=6),LOOKUP(E84,T!$J327:$J337,T!$F327:$F332),IF(AND(E51="4H2",E53=7),LOOKUP(E84,T!$G327:$J337,T!$G327:$G337),IF(AND(E51="4H2",E53=8),LOOKUP(E84,T!$J327:$J337,T!$H327:$H332),IF(AND(E51="4H2",E53=9),LOOKUP(E84,T!$J327:$J337,T!$I327:$I337),IF(AND(E51="4H3",E53=2),LOOKUP(E84,T!$M343:$M356,T!$B343:$B356),IF(AND(E51="4H3",E53=3),LOOKUP(E84,T!$M343:$M356,T!$C343:$C356),IF(AND(E51="4H3",E53=4),LOOKUP(E84,T!$M343:$M356,T!$D343:$D356),IF(AND(E51="4H3",E53=5),LOOKUP(E84,T!$M343:$M356,T!$E343:$E356),IF(AND(E51="4H3",E53=6),LOOKUP(E84,T!$M343:$M356,T!$F343:$F356),IF(AND(E51="4H3",E53=7),LOOKUP(E84,T!$M343:$M356,T!$G343:$G356),IF(AND(E51="4H3",E53=8),LOOKUP(E84,T!$M343:$M356,T!$H343:$H356),IF(AND(E51="4H3",E53=9),LOOKUP(E84,T!$M343:$M356,T!$I343:$I356),IF(AND(E51="4H3",E53=10),LOOKUP(E84,T!$M343:$M356,T!$J343:$J356),IF(AND(E51="4H3",E53=11),LOOKUP(E84,T!$M343:$M356,T!$K343:$K356),IF(AND(E51="4H3",E53=12),LOOKUP(E84,T!$M343:$M356,T!$L343:$L356),IF(AND(E51="4H4",E53=2),LOOKUP(E84,T!$H362:$H372,T!$B362:$B367),IF(AND(E51="4H4",E53=3),LOOKUP(E84,T!$H362:$H372,T!$C362:$C372),IF(AND(E51="4H4",E53=4),LOOKUP(E84,T!$H362:$H372,T!$D362:$D367),IF(AND(E51="4H4",E53=5),LOOKUP(E84,T!$H362:$H372,T!$E362:$E372),IF(AND(E51="4H4",E53=6),LOOKUP(E84,T!$H363:$H372,T!$F363:$F367),IF(AND(E51="4H4",E53=7),LOOKUP(E84,T!$H363:$H372,T!$G363:$G372),"-"))))))))))))))))))))))))))))))))))))),IF(OR(E51="4J1",E51="4J2",E51="4J3",E51="4J4"),IF(AND(E51="4J1",E53=2),LOOKUP(E84,T!$M378:$M391,T!$B378:$B385),IF(AND(E51="4J1",E53=3),LOOKUP(E84,T!$M378:$M391,T!$C378:$C385),IF(AND(E51="4J1",E53=4),LOOKUP(E84,T!$M378:$M391,T!$D378:$D385),IF(AND(E51="4J1",E53=5),LOOKUP(E84,T!$M378:$M391,T!$E378:$E385),IF(AND(E51="4J1",E53=6),LOOKUP(E84,T!$M378:$M391,T!$F378:$F391),IF(AND(E51="4J1",E53=7),LOOKUP(E84,T!$M378:$M391,T!$G378:$G391),IF(AND(E51="4J1",E53=8),LOOKUP(E84,T!$M378:$M391,T!$H378:$H391),IF(AND(E51="4J1",E53=9),LOOKUP(E84,T!$M378:$M391,T!$I378:$I391),IF(AND(E51="4J1",E53=10),LOOKUP(E84,T!$M378:$M391,T!$J378:$J391),IF(AND(E51="4J1",E53=11),LOOKUP(E84,T!$M378:$M391,T!$K378:$K391),IF(AND(E51="4J1",E53=12),LOOKUP(E84,T!$M378:$M391,T!$L378:$L391),IF(AND(E51="4J2",E53=2),LOOKUP(E84,T!$J397:$J407,T!$B397:$B402),IF(AND(E51="4J2",E53=3),LOOKUP(E84,T!$J397:$J407,T!$C397:$C407),IF(AND(E51="4J2",E53=4),LOOKUP(E84,T!$J397:$J407,T!$D397:$D$402),IF(AND(E51="4J2",E53=5),LOOKUP(E84,T!$J397:$J407,T!$E397:$E407),IF(AND(E51="4J2",E53=6),LOOKUP(E84,T!$J397:$J407,T!$F397:$F402),IF(AND(E51="4J2",E53=7),LOOKUP(E84,T!$J397:$J407,T!$G397:$G407),IF(AND(E51="4J2",E53=8),LOOKUP(E84,T!$J397:$J407,T!$H397:$H402),IF(AND(E51="4J2",E53=9),LOOKUP(E84,T!$J397:$J407,T!$I397:$I407),IF(AND(E51="4J3",E53=2),LOOKUP(E84,T!$M413:$M426,T!$B413:$B426),IF(AND(E51="4J3",E53=3),LOOKUP(E84,T!$M413:$M426,T!$C413:$C426),IF(AND(E51="4J3",E53=4),LOOKUP(E84,T!$M413:$M426,T!$D413:$D426),IF(AND(E51="4J3",E53=5),LOOKUP(E84,T!$M413:$M426,T!$E413:$E426),IF(AND(E51="4J3",E53=6),LOOKUP(E84,T!$M413:$M426,T!$F413:$F426),IF(AND(E51="4J3",E53=7),LOOKUP(E84,T!$M413:$M426,T!$G413:$G426),IF(AND(E51="4J3",E53=8),LOOKUP(E84,T!$M413:$M426,T!$H413:$H426),IF(AND(E51="4J3",E53=9),LOOKUP(E84,T!$M413:$M426,T!$I413:$I426),IF(AND(E51="4J3",E53=10),LOOKUP(E84,T!$M413:$M426,T!$J413:$J426),IF(AND(E51="4J3",E53=11),LOOKUP(E84,T!$M413:$M426,T!$K413:$K426),IF(AND(E51="4J3",E53=12),LOOKUP(E84,T!$M413:$M426,T!$L413:$L426),IF(AND(E51="4J4",E53=2),LOOKUP(E84,T!$H432:$H442,T!$B432:$B437),IF(AND(E51="4J4",E53=3),LOOKUP(E84,T!$H432:$H442,T!$C432:$C442),IF(AND(E51="4J4",E53=4),LOOKUP(E84,T!$H432:$H442,T!$D872:$D877),IF(AND(E51="4J4",E53=5),LOOKUP(E84,T!$H432:$H442,T!$E432:$E442),IF(AND(E51="4J4",E53=6),LOOKUP(E84,T!$H432:$H442,T!$F432:$F437),IF(AND(E51="4J4",E53=7),LOOKUP(E84,T!$H432:$H442,T!$G432:$G442),"-")))))))))))))))))))))))))))))))))))),"")))</f>
        <v/>
      </c>
      <c r="F35" s="141" t="str">
        <f ca="1">IF(F27="","",IF(OR(F51="4H1",F51="4H2",F51="4H3",F51="4H4"),IF(F27="","",IF(AND(F51="4H1",F53=2),LOOKUP(F84,T!$M308:$M321,T!$B308:$B315),IF(AND(F51="4H1",F53=3),LOOKUP(F84,T!$M308:$M321,T!$C308:$C315),IF(AND(F51="4H1",F53=4),LOOKUP(F84,T!$M308:$M321,T!$D308:$D318),IF(AND(F51="4H1",F53=5),LOOKUP(F84,T!$M308:$M321,T!$E308:$E318),IF(AND(F51="4H1",F53=6),LOOKUP(F84,T!$M308:$M321,T!$F308:$F321),IF(AND(F51="4H1",F53=7),LOOKUP(F84,T!$M308:$M321,T!$G308:$G321),IF(AND(F51="4H1",F53=8),LOOKUP(F84,T!$M308:$M321,T!$H308:$H321),IF(AND(F51="4H1",F53=9),LOOKUP(F84,T!$M308:$M321,T!$I305:$I321),IF(AND(F51="4H1",F53=10),LOOKUP(F84,T!$M308:$M321,T!$J308:$J321),IF(AND(F51="4H1",F53=11),LOOKUP(F84,T!$M308:$M321,T!$K308:$K321),IF(AND(F51="4H1",F53=12),LOOKUP(F84,T!$M308:$M321,T!$L308:$L321),IF(AND(F51="4H2",F53=2),LOOKUP(F84,T!$J327:$J337,T!$B327:$B332),IF(AND(F51="4H2",F53=3),LOOKUP(F84,T!$J327:$J337,T!$C327:$C337),IF(AND(F51="4H2",F53=4),LOOKUP(F84,T!$J327:$J337,T!$D327:$D332),IF(AND(F51="4H2",F53=5),LOOKUP(F84,T!$J327:$J337,T!$E327:$E337),IF(AND(F51="4H2",F53=6),LOOKUP(F84,T!$J327:$J337,T!$F327:$F332),IF(AND(F51="4H2",F53=7),LOOKUP(F84,T!$G327:$J337,T!$G327:$G337),IF(AND(F51="4H2",F53=8),LOOKUP(F84,T!$J327:$J337,T!$H327:$H332),IF(AND(F51="4H2",F53=9),LOOKUP(F84,T!$J327:$J337,T!$I327:$I337),IF(AND(F51="4H3",F53=2),LOOKUP(F84,T!$M343:$M356,T!$B343:$B356),IF(AND(F51="4H3",F53=3),LOOKUP(F84,T!$M343:$M356,T!$C343:$C356),IF(AND(F51="4H3",F53=4),LOOKUP(F84,T!$M343:$M356,T!$D343:$D356),IF(AND(F51="4H3",F53=5),LOOKUP(F84,T!$M343:$M356,T!$E343:$E356),IF(AND(F51="4H3",F53=6),LOOKUP(F84,T!$M343:$M356,T!$F343:$F356),IF(AND(F51="4H3",F53=7),LOOKUP(F84,T!$M343:$M356,T!$G343:$G356),IF(AND(F51="4H3",F53=8),LOOKUP(F84,T!$M343:$M356,T!$H343:$H356),IF(AND(F51="4H3",F53=9),LOOKUP(F84,T!$M343:$M356,T!$I343:$I356),IF(AND(F51="4H3",F53=10),LOOKUP(F84,T!$M343:$M356,T!$J343:$J356),IF(AND(F51="4H3",F53=11),LOOKUP(F84,T!$M343:$M356,T!$K343:$K356),IF(AND(F51="4H3",F53=12),LOOKUP(F84,T!$M343:$M356,T!$L343:$L356),IF(AND(F51="4H4",F53=2),LOOKUP(F84,T!$H362:$H372,T!$B362:$B367),IF(AND(F51="4H4",F53=3),LOOKUP(F84,T!$H362:$H372,T!$C362:$C372),IF(AND(F51="4H4",F53=4),LOOKUP(F84,T!$H362:$H372,T!$D362:$D367),IF(AND(F51="4H4",F53=5),LOOKUP(F84,T!$H362:$H372,T!$E362:$E372),IF(AND(F51="4H4",F53=6),LOOKUP(F84,T!$H363:$H372,T!$F363:$F367),IF(AND(F51="4H4",F53=7),LOOKUP(F84,T!$H363:$H372,T!$G363:$G372),"-"))))))))))))))))))))))))))))))))))))),IF(OR(F51="4J1",F51="4J2",F51="4J3",F51="4J4"),IF(AND(F51="4J1",F53=2),LOOKUP(F84,T!$M378:$M391,T!$B378:$B385),IF(AND(F51="4J1",F53=3),LOOKUP(F84,T!$M378:$M391,T!$C378:$C385),IF(AND(F51="4J1",F53=4),LOOKUP(F84,T!$M378:$M391,T!$D378:$D385),IF(AND(F51="4J1",F53=5),LOOKUP(F84,T!$M378:$M391,T!$E378:$E385),IF(AND(F51="4J1",F53=6),LOOKUP(F84,T!$M378:$M391,T!$F378:$F391),IF(AND(F51="4J1",F53=7),LOOKUP(F84,T!$M378:$M391,T!$G378:$G391),IF(AND(F51="4J1",F53=8),LOOKUP(F84,T!$M378:$M391,T!$H378:$H391),IF(AND(F51="4J1",F53=9),LOOKUP(F84,T!$M378:$M391,T!$I378:$I391),IF(AND(F51="4J1",F53=10),LOOKUP(F84,T!$M378:$M391,T!$J378:$J391),IF(AND(F51="4J1",F53=11),LOOKUP(F84,T!$M378:$M391,T!$K378:$K391),IF(AND(F51="4J1",F53=12),LOOKUP(F84,T!$M378:$M391,T!$L378:$L391),IF(AND(F51="4J2",F53=2),LOOKUP(F84,T!$J397:$J407,T!$B397:$B402),IF(AND(F51="4J2",F53=3),LOOKUP(F84,T!$J397:$J407,T!$C397:$C407),IF(AND(F51="4J2",F53=4),LOOKUP(F84,T!$J397:$J407,T!$D397:$D$402),IF(AND(F51="4J2",F53=5),LOOKUP(F84,T!$J397:$J407,T!$E397:$E407),IF(AND(F51="4J2",F53=6),LOOKUP(F84,T!$J397:$J407,T!$F397:$F402),IF(AND(F51="4J2",F53=7),LOOKUP(F84,T!$J397:$J407,T!$G397:$G407),IF(AND(F51="4J2",F53=8),LOOKUP(F84,T!$J397:$J407,T!$H397:$H402),IF(AND(F51="4J2",F53=9),LOOKUP(F84,T!$J397:$J407,T!$I397:$I407),IF(AND(F51="4J3",F53=2),LOOKUP(F84,T!$M413:$M426,T!$B413:$B426),IF(AND(F51="4J3",F53=3),LOOKUP(F84,T!$M413:$M426,T!$C413:$C426),IF(AND(F51="4J3",F53=4),LOOKUP(F84,T!$M413:$M426,T!$D413:$D426),IF(AND(F51="4J3",F53=5),LOOKUP(F84,T!$M413:$M426,T!$E413:$E426),IF(AND(F51="4J3",F53=6),LOOKUP(F84,T!$M413:$M426,T!$F413:$F426),IF(AND(F51="4J3",F53=7),LOOKUP(F84,T!$M413:$M426,T!$G413:$G426),IF(AND(F51="4J3",F53=8),LOOKUP(F84,T!$M413:$M426,T!$H413:$H426),IF(AND(F51="4J3",F53=9),LOOKUP(F84,T!$M413:$M426,T!$I413:$I426),IF(AND(F51="4J3",F53=10),LOOKUP(F84,T!$M413:$M426,T!$J413:$J426),IF(AND(F51="4J3",F53=11),LOOKUP(F84,T!$M413:$M426,T!$K413:$K426),IF(AND(F51="4J3",F53=12),LOOKUP(F84,T!$M413:$M426,T!$L413:$L426),IF(AND(F51="4J4",F53=2),LOOKUP(F84,T!$H432:$H442,T!$B432:$B437),IF(AND(F51="4J4",F53=3),LOOKUP(F84,T!$H432:$H442,T!$C432:$C442),IF(AND(F51="4J4",F53=4),LOOKUP(F84,T!$H432:$H442,T!$D872:$D877),IF(AND(F51="4J4",F53=5),LOOKUP(F84,T!$H432:$H442,T!$E432:$E442),IF(AND(F51="4J4",F53=6),LOOKUP(F84,T!$H432:$H442,T!$F432:$F437),IF(AND(F51="4J4",F53=7),LOOKUP(F84,T!$H432:$H442,T!$G432:$G442),"-")))))))))))))))))))))))))))))))))))),"")))</f>
        <v/>
      </c>
      <c r="G35" s="141" t="str">
        <f ca="1">IF(G27="","",IF(OR(G51="4H1",G51="4H2",G51="4H3",G51="4H4"),IF(G27="","",IF(AND(G51="4H1",G53=2),LOOKUP(G84,T!$M308:$M321,T!$B308:$B315),IF(AND(G51="4H1",G53=3),LOOKUP(G84,T!$M308:$M321,T!$C308:$C315),IF(AND(G51="4H1",G53=4),LOOKUP(G84,T!$M308:$M321,T!$D308:$D318),IF(AND(G51="4H1",G53=5),LOOKUP(G84,T!$M308:$M321,T!$E308:$E318),IF(AND(G51="4H1",G53=6),LOOKUP(G84,T!$M308:$M321,T!$F308:$F321),IF(AND(G51="4H1",G53=7),LOOKUP(G84,T!$M308:$M321,T!$G308:$G321),IF(AND(G51="4H1",G53=8),LOOKUP(G84,T!$M308:$M321,T!$H308:$H321),IF(AND(G51="4H1",G53=9),LOOKUP(G84,T!$M308:$M321,T!$I305:$I321),IF(AND(G51="4H1",G53=10),LOOKUP(G84,T!$M308:$M321,T!$J308:$J321),IF(AND(G51="4H1",G53=11),LOOKUP(G84,T!$M308:$M321,T!$K308:$K321),IF(AND(G51="4H1",G53=12),LOOKUP(G84,T!$M308:$M321,T!$L308:$L321),IF(AND(G51="4H2",G53=2),LOOKUP(G84,T!$J327:$J337,T!$B327:$B332),IF(AND(G51="4H2",G53=3),LOOKUP(G84,T!$J327:$J337,T!$C327:$C337),IF(AND(G51="4H2",G53=4),LOOKUP(G84,T!$J327:$J337,T!$D327:$D332),IF(AND(G51="4H2",G53=5),LOOKUP(G84,T!$J327:$J337,T!$E327:$E337),IF(AND(G51="4H2",G53=6),LOOKUP(G84,T!$J327:$J337,T!$F327:$F332),IF(AND(G51="4H2",G53=7),LOOKUP(G84,T!$G327:$J337,T!$G327:$G337),IF(AND(G51="4H2",G53=8),LOOKUP(G84,T!$J327:$J337,T!$H327:$H332),IF(AND(G51="4H2",G53=9),LOOKUP(G84,T!$J327:$J337,T!$I327:$I337),IF(AND(G51="4H3",G53=2),LOOKUP(G84,T!$M343:$M356,T!$B343:$B356),IF(AND(G51="4H3",G53=3),LOOKUP(G84,T!$M343:$M356,T!$C343:$C356),IF(AND(G51="4H3",G53=4),LOOKUP(G84,T!$M343:$M356,T!$D343:$D356),IF(AND(G51="4H3",G53=5),LOOKUP(G84,T!$M343:$M356,T!$E343:$E356),IF(AND(G51="4H3",G53=6),LOOKUP(G84,T!$M343:$M356,T!$F343:$F356),IF(AND(G51="4H3",G53=7),LOOKUP(G84,T!$M343:$M356,T!$G343:$G356),IF(AND(G51="4H3",G53=8),LOOKUP(G84,T!$M343:$M356,T!$H343:$H356),IF(AND(G51="4H3",G53=9),LOOKUP(G84,T!$M343:$M356,T!$I343:$I356),IF(AND(G51="4H3",G53=10),LOOKUP(G84,T!$M343:$M356,T!$J343:$J356),IF(AND(G51="4H3",G53=11),LOOKUP(G84,T!$M343:$M356,T!$K343:$K356),IF(AND(G51="4H3",G53=12),LOOKUP(G84,T!$M343:$M356,T!$L343:$L356),IF(AND(G51="4H4",G53=2),LOOKUP(G84,T!$H362:$H372,T!$B362:$B367),IF(AND(G51="4H4",G53=3),LOOKUP(G84,T!$H362:$H372,T!$C362:$C372),IF(AND(G51="4H4",G53=4),LOOKUP(G84,T!$H362:$H372,T!$D362:$D367),IF(AND(G51="4H4",G53=5),LOOKUP(G84,T!$H362:$H372,T!$E362:$E372),IF(AND(G51="4H4",G53=6),LOOKUP(G84,T!$H363:$H372,T!$F363:$F367),IF(AND(G51="4H4",G53=7),LOOKUP(G84,T!$H363:$H372,T!$G363:$G372),"-"))))))))))))))))))))))))))))))))))))),IF(OR(G51="4J1",G51="4J2",G51="4J3",G51="4J4"),IF(AND(G51="4J1",G53=2),LOOKUP(G84,T!$M378:$M391,T!$B378:$B385),IF(AND(G51="4J1",G53=3),LOOKUP(G84,T!$M378:$M391,T!$C378:$C385),IF(AND(G51="4J1",G53=4),LOOKUP(G84,T!$M378:$M391,T!$D378:$D385),IF(AND(G51="4J1",G53=5),LOOKUP(G84,T!$M378:$M391,T!$E378:$E385),IF(AND(G51="4J1",G53=6),LOOKUP(G84,T!$M378:$M391,T!$F378:$F391),IF(AND(G51="4J1",G53=7),LOOKUP(G84,T!$M378:$M391,T!$G378:$G391),IF(AND(G51="4J1",G53=8),LOOKUP(G84,T!$M378:$M391,T!$H378:$H391),IF(AND(G51="4J1",G53=9),LOOKUP(G84,T!$M378:$M391,T!$I378:$I391),IF(AND(G51="4J1",G53=10),LOOKUP(G84,T!$M378:$M391,T!$J378:$J391),IF(AND(G51="4J1",G53=11),LOOKUP(G84,T!$M378:$M391,T!$K378:$K391),IF(AND(G51="4J1",G53=12),LOOKUP(G84,T!$M378:$M391,T!$L378:$L391),IF(AND(G51="4J2",G53=2),LOOKUP(G84,T!$J397:$J407,T!$B397:$B402),IF(AND(G51="4J2",G53=3),LOOKUP(G84,T!$J397:$J407,T!$C397:$C407),IF(AND(G51="4J2",G53=4),LOOKUP(G84,T!$J397:$J407,T!$D397:$D$402),IF(AND(G51="4J2",G53=5),LOOKUP(G84,T!$J397:$J407,T!$E397:$E407),IF(AND(G51="4J2",G53=6),LOOKUP(G84,T!$J397:$J407,T!$F397:$F402),IF(AND(G51="4J2",G53=7),LOOKUP(G84,T!$J397:$J407,T!$G397:$G407),IF(AND(G51="4J2",G53=8),LOOKUP(G84,T!$J397:$J407,T!$H397:$H402),IF(AND(G51="4J2",G53=9),LOOKUP(G84,T!$J397:$J407,T!$I397:$I407),IF(AND(G51="4J3",G53=2),LOOKUP(G84,T!$M413:$M426,T!$B413:$B426),IF(AND(G51="4J3",G53=3),LOOKUP(G84,T!$M413:$M426,T!$C413:$C426),IF(AND(G51="4J3",G53=4),LOOKUP(G84,T!$M413:$M426,T!$D413:$D426),IF(AND(G51="4J3",G53=5),LOOKUP(G84,T!$M413:$M426,T!$E413:$E426),IF(AND(G51="4J3",G53=6),LOOKUP(G84,T!$M413:$M426,T!$F413:$F426),IF(AND(G51="4J3",G53=7),LOOKUP(G84,T!$M413:$M426,T!$G413:$G426),IF(AND(G51="4J3",G53=8),LOOKUP(G84,T!$M413:$M426,T!$H413:$H426),IF(AND(G51="4J3",G53=9),LOOKUP(G84,T!$M413:$M426,T!$I413:$I426),IF(AND(G51="4J3",G53=10),LOOKUP(G84,T!$M413:$M426,T!$J413:$J426),IF(AND(G51="4J3",G53=11),LOOKUP(G84,T!$M413:$M426,T!$K413:$K426),IF(AND(G51="4J3",G53=12),LOOKUP(G84,T!$M413:$M426,T!$L413:$L426),IF(AND(G51="4J4",G53=2),LOOKUP(G84,T!$H432:$H442,T!$B432:$B437),IF(AND(G51="4J4",G53=3),LOOKUP(G84,T!$H432:$H442,T!$C432:$C442),IF(AND(G51="4J4",G53=4),LOOKUP(G84,T!$H432:$H442,T!$D872:$D877),IF(AND(G51="4J4",G53=5),LOOKUP(G84,T!$H432:$H442,T!$E432:$E442),IF(AND(G51="4J4",G53=6),LOOKUP(G84,T!$H432:$H442,T!$F432:$F437),IF(AND(G51="4J4",G53=7),LOOKUP(G84,T!$H432:$H442,T!$G432:$G442),"-")))))))))))))))))))))))))))))))))))),"")))</f>
        <v/>
      </c>
      <c r="H35" s="141" t="str">
        <f ca="1">IF(H27="","",IF(OR(H51="4H1",H51="4H2",H51="4H3",H51="4H4"),IF(H27="","",IF(AND(H51="4H1",H53=2),LOOKUP(H84,T!$M308:$M321,T!$B308:$B315),IF(AND(H51="4H1",H53=3),LOOKUP(H84,T!$M308:$M321,T!$C308:$C315),IF(AND(H51="4H1",H53=4),LOOKUP(H84,T!$M308:$M321,T!$D308:$D318),IF(AND(H51="4H1",H53=5),LOOKUP(H84,T!$M308:$M321,T!$E308:$E318),IF(AND(H51="4H1",H53=6),LOOKUP(H84,T!$M308:$M321,T!$F308:$F321),IF(AND(H51="4H1",H53=7),LOOKUP(H84,T!$M308:$M321,T!$G308:$G321),IF(AND(H51="4H1",H53=8),LOOKUP(H84,T!$M308:$M321,T!$H308:$H321),IF(AND(H51="4H1",H53=9),LOOKUP(H84,T!$M308:$M321,T!$I305:$I321),IF(AND(H51="4H1",H53=10),LOOKUP(H84,T!$M308:$M321,T!$J308:$J321),IF(AND(H51="4H1",H53=11),LOOKUP(H84,T!$M308:$M321,T!$K308:$K321),IF(AND(H51="4H1",H53=12),LOOKUP(H84,T!$M308:$M321,T!$L308:$L321),IF(AND(H51="4H2",H53=2),LOOKUP(H84,T!$J327:$J337,T!$B327:$B332),IF(AND(H51="4H2",H53=3),LOOKUP(H84,T!$J327:$J337,T!$C327:$C337),IF(AND(H51="4H2",H53=4),LOOKUP(H84,T!$J327:$J337,T!$D327:$D332),IF(AND(H51="4H2",H53=5),LOOKUP(H84,T!$J327:$J337,T!$E327:$E337),IF(AND(H51="4H2",H53=6),LOOKUP(H84,T!$J327:$J337,T!$F327:$F332),IF(AND(H51="4H2",H53=7),LOOKUP(H84,T!$G327:$J337,T!$G327:$G337),IF(AND(H51="4H2",H53=8),LOOKUP(H84,T!$J327:$J337,T!$H327:$H332),IF(AND(H51="4H2",H53=9),LOOKUP(H84,T!$J327:$J337,T!$I327:$I337),IF(AND(H51="4H3",H53=2),LOOKUP(H84,T!$M343:$M356,T!$B343:$B356),IF(AND(H51="4H3",H53=3),LOOKUP(H84,T!$M343:$M356,T!$C343:$C356),IF(AND(H51="4H3",H53=4),LOOKUP(H84,T!$M343:$M356,T!$D343:$D356),IF(AND(H51="4H3",H53=5),LOOKUP(H84,T!$M343:$M356,T!$E343:$E356),IF(AND(H51="4H3",H53=6),LOOKUP(H84,T!$M343:$M356,T!$F343:$F356),IF(AND(H51="4H3",H53=7),LOOKUP(H84,T!$M343:$M356,T!$G343:$G356),IF(AND(H51="4H3",H53=8),LOOKUP(H84,T!$M343:$M356,T!$H343:$H356),IF(AND(H51="4H3",H53=9),LOOKUP(H84,T!$M343:$M356,T!$I343:$I356),IF(AND(H51="4H3",H53=10),LOOKUP(H84,T!$M343:$M356,T!$J343:$J356),IF(AND(H51="4H3",H53=11),LOOKUP(H84,T!$M343:$M356,T!$K343:$K356),IF(AND(H51="4H3",H53=12),LOOKUP(H84,T!$M343:$M356,T!$L343:$L356),IF(AND(H51="4H4",H53=2),LOOKUP(H84,T!$H362:$H372,T!$B362:$B367),IF(AND(H51="4H4",H53=3),LOOKUP(H84,T!$H362:$H372,T!$C362:$C372),IF(AND(H51="4H4",H53=4),LOOKUP(H84,T!$H362:$H372,T!$D362:$D367),IF(AND(H51="4H4",H53=5),LOOKUP(H84,T!$H362:$H372,T!$E362:$E372),IF(AND(H51="4H4",H53=6),LOOKUP(H84,T!$H363:$H372,T!$F363:$F367),IF(AND(H51="4H4",H53=7),LOOKUP(H84,T!$H363:$H372,T!$G363:$G372),"-"))))))))))))))))))))))))))))))))))))),IF(OR(H51="4J1",H51="4J2",H51="4J3",H51="4J4"),IF(AND(H51="4J1",H53=2),LOOKUP(H84,T!$M378:$M391,T!$B378:$B385),IF(AND(H51="4J1",H53=3),LOOKUP(H84,T!$M378:$M391,T!$C378:$C385),IF(AND(H51="4J1",H53=4),LOOKUP(H84,T!$M378:$M391,T!$D378:$D385),IF(AND(H51="4J1",H53=5),LOOKUP(H84,T!$M378:$M391,T!$E378:$E385),IF(AND(H51="4J1",H53=6),LOOKUP(H84,T!$M378:$M391,T!$F378:$F391),IF(AND(H51="4J1",H53=7),LOOKUP(H84,T!$M378:$M391,T!$G378:$G391),IF(AND(H51="4J1",H53=8),LOOKUP(H84,T!$M378:$M391,T!$H378:$H391),IF(AND(H51="4J1",H53=9),LOOKUP(H84,T!$M378:$M391,T!$I378:$I391),IF(AND(H51="4J1",H53=10),LOOKUP(H84,T!$M378:$M391,T!$J378:$J391),IF(AND(H51="4J1",H53=11),LOOKUP(H84,T!$M378:$M391,T!$K378:$K391),IF(AND(H51="4J1",H53=12),LOOKUP(H84,T!$M378:$M391,T!$L378:$L391),IF(AND(H51="4J2",H53=2),LOOKUP(H84,T!$J397:$J407,T!$B397:$B402),IF(AND(H51="4J2",H53=3),LOOKUP(H84,T!$J397:$J407,T!$C397:$C407),IF(AND(H51="4J2",H53=4),LOOKUP(H84,T!$J397:$J407,T!$D397:$D$402),IF(AND(H51="4J2",H53=5),LOOKUP(H84,T!$J397:$J407,T!$E397:$E407),IF(AND(H51="4J2",H53=6),LOOKUP(H84,T!$J397:$J407,T!$F397:$F402),IF(AND(H51="4J2",H53=7),LOOKUP(H84,T!$J397:$J407,T!$G397:$G407),IF(AND(H51="4J2",H53=8),LOOKUP(H84,T!$J397:$J407,T!$H397:$H402),IF(AND(H51="4J2",H53=9),LOOKUP(H84,T!$J397:$J407,T!$I397:$I407),IF(AND(H51="4J3",H53=2),LOOKUP(H84,T!$M413:$M426,T!$B413:$B426),IF(AND(H51="4J3",H53=3),LOOKUP(H84,T!$M413:$M426,T!$C413:$C426),IF(AND(H51="4J3",H53=4),LOOKUP(H84,T!$M413:$M426,T!$D413:$D426),IF(AND(H51="4J3",H53=5),LOOKUP(H84,T!$M413:$M426,T!$E413:$E426),IF(AND(H51="4J3",H53=6),LOOKUP(H84,T!$M413:$M426,T!$F413:$F426),IF(AND(H51="4J3",H53=7),LOOKUP(H84,T!$M413:$M426,T!$G413:$G426),IF(AND(H51="4J3",H53=8),LOOKUP(H84,T!$M413:$M426,T!$H413:$H426),IF(AND(H51="4J3",H53=9),LOOKUP(H84,T!$M413:$M426,T!$I413:$I426),IF(AND(H51="4J3",H53=10),LOOKUP(H84,T!$M413:$M426,T!$J413:$J426),IF(AND(H51="4J3",H53=11),LOOKUP(H84,T!$M413:$M426,T!$K413:$K426),IF(AND(H51="4J3",H53=12),LOOKUP(H84,T!$M413:$M426,T!$L413:$L426),IF(AND(H51="4J4",H53=2),LOOKUP(H84,T!$H432:$H442,T!$B432:$B437),IF(AND(H51="4J4",H53=3),LOOKUP(H84,T!$H432:$H442,T!$C432:$C442),IF(AND(H51="4J4",H53=4),LOOKUP(H84,T!$H432:$H442,T!$D872:$D877),IF(AND(H51="4J4",H53=5),LOOKUP(H84,T!$H432:$H442,T!$E432:$E442),IF(AND(H51="4J4",H53=6),LOOKUP(H84,T!$H432:$H442,T!$F432:$F437),IF(AND(H51="4J4",H53=7),LOOKUP(H84,T!$H432:$H442,T!$G432:$G442),"-")))))))))))))))))))))))))))))))))))),"")))</f>
        <v/>
      </c>
      <c r="I35" s="141" t="str">
        <f>IF(I27="","",IF(OR(I51="4H1",I51="4H2",I51="4H3",I51="4H4"),IF(I27="","",IF(AND(I51="4H1",I53=2),LOOKUP(I84,T!$M308:$M321,T!$B308:$B315),IF(AND(I51="4H1",I53=3),LOOKUP(I84,T!$M308:$M321,T!$C308:$C315),IF(AND(I51="4H1",I53=4),LOOKUP(I84,T!$M308:$M321,T!$D308:$D318),IF(AND(I51="4H1",I53=5),LOOKUP(I84,T!$M308:$M321,T!$E308:$E318),IF(AND(I51="4H1",I53=6),LOOKUP(I84,T!$M308:$M321,T!$F308:$F321),IF(AND(I51="4H1",I53=7),LOOKUP(I84,T!$M308:$M321,T!$G308:$G321),IF(AND(I51="4H1",I53=8),LOOKUP(I84,T!$M308:$M321,T!$H308:$H321),IF(AND(I51="4H1",I53=9),LOOKUP(I84,T!$M308:$M321,T!$I305:$I321),IF(AND(I51="4H1",I53=10),LOOKUP(I84,T!$M308:$M321,T!$J308:$J321),IF(AND(I51="4H1",I53=11),LOOKUP(I84,T!$M308:$M321,T!$K308:$K321),IF(AND(I51="4H1",I53=12),LOOKUP(I84,T!$M308:$M321,T!$L308:$L321),IF(AND(I51="4H2",I53=2),LOOKUP(I84,T!$J327:$J337,T!$B327:$B332),IF(AND(I51="4H2",I53=3),LOOKUP(I84,T!$J327:$J337,T!$C327:$C337),IF(AND(I51="4H2",I53=4),LOOKUP(I84,T!$J327:$J337,T!$D327:$D332),IF(AND(I51="4H2",I53=5),LOOKUP(I84,T!$J327:$J337,T!$E327:$E337),IF(AND(I51="4H2",I53=6),LOOKUP(I84,T!$J327:$J337,T!$F327:$F332),IF(AND(I51="4H2",I53=7),LOOKUP(I84,T!$G327:$J337,T!$G327:$G337),IF(AND(I51="4H2",I53=8),LOOKUP(I84,T!$J327:$J337,T!$H327:$H332),IF(AND(I51="4H2",I53=9),LOOKUP(I84,T!$J327:$J337,T!$I327:$I337),IF(AND(I51="4H3",I53=2),LOOKUP(I84,T!$M343:$M356,T!$B343:$B356),IF(AND(I51="4H3",I53=3),LOOKUP(I84,T!$M343:$M356,T!$C343:$C356),IF(AND(I51="4H3",I53=4),LOOKUP(I84,T!$M343:$M356,T!$D343:$D356),IF(AND(I51="4H3",I53=5),LOOKUP(I84,T!$M343:$M356,T!$E343:$E356),IF(AND(I51="4H3",I53=6),LOOKUP(I84,T!$M343:$M356,T!$F343:$F356),IF(AND(I51="4H3",I53=7),LOOKUP(I84,T!$M343:$M356,T!$G343:$G356),IF(AND(I51="4H3",I53=8),LOOKUP(I84,T!$M343:$M356,T!$H343:$H356),IF(AND(I51="4H3",I53=9),LOOKUP(I84,T!$M343:$M356,T!$I343:$I356),IF(AND(I51="4H3",I53=10),LOOKUP(I84,T!$M343:$M356,T!$J343:$J356),IF(AND(I51="4H3",I53=11),LOOKUP(I84,T!$M343:$M356,T!$K343:$K356),IF(AND(I51="4H3",I53=12),LOOKUP(I84,T!$M343:$M356,T!$L343:$L356),IF(AND(I51="4H4",I53=2),LOOKUP(I84,T!$H362:$H372,T!$B362:$B367),IF(AND(I51="4H4",I53=3),LOOKUP(I84,T!$H362:$H372,T!$C362:$C372),IF(AND(I51="4H4",I53=4),LOOKUP(I84,T!$H362:$H372,T!$D362:$D367),IF(AND(I51="4H4",I53=5),LOOKUP(I84,T!$H362:$H372,T!$E362:$E372),IF(AND(I51="4H4",I53=6),LOOKUP(I84,T!$H363:$H372,T!$F363:$F367),IF(AND(I51="4H4",I53=7),LOOKUP(I84,T!$H363:$H372,T!$G363:$G372),"-"))))))))))))))))))))))))))))))))))))),IF(OR(I51="4J1",I51="4J2",I51="4J3",I51="4J4"),IF(AND(I51="4J1",I53=2),LOOKUP(I84,T!$M378:$M391,T!$B378:$B385),IF(AND(I51="4J1",I53=3),LOOKUP(I84,T!$M378:$M391,T!$C378:$C385),IF(AND(I51="4J1",I53=4),LOOKUP(I84,T!$M378:$M391,T!$D378:$D385),IF(AND(I51="4J1",I53=5),LOOKUP(I84,T!$M378:$M391,T!$E378:$E385),IF(AND(I51="4J1",I53=6),LOOKUP(I84,T!$M378:$M391,T!$F378:$F391),IF(AND(I51="4J1",I53=7),LOOKUP(I84,T!$M378:$M391,T!$G378:$G391),IF(AND(I51="4J1",I53=8),LOOKUP(I84,T!$M378:$M391,T!$H378:$H391),IF(AND(I51="4J1",I53=9),LOOKUP(I84,T!$M378:$M391,T!$I378:$I391),IF(AND(I51="4J1",I53=10),LOOKUP(I84,T!$M378:$M391,T!$J378:$J391),IF(AND(I51="4J1",I53=11),LOOKUP(I84,T!$M378:$M391,T!$K378:$K391),IF(AND(I51="4J1",I53=12),LOOKUP(I84,T!$M378:$M391,T!$L378:$L391),IF(AND(I51="4J2",I53=2),LOOKUP(I84,T!$J397:$J407,T!$B397:$B402),IF(AND(I51="4J2",I53=3),LOOKUP(I84,T!$J397:$J407,T!$C397:$C407),IF(AND(I51="4J2",I53=4),LOOKUP(I84,T!$J397:$J407,T!$D397:$D$402),IF(AND(I51="4J2",I53=5),LOOKUP(I84,T!$J397:$J407,T!$E397:$E407),IF(AND(I51="4J2",I53=6),LOOKUP(I84,T!$J397:$J407,T!$F397:$F402),IF(AND(I51="4J2",I53=7),LOOKUP(I84,T!$J397:$J407,T!$G397:$G407),IF(AND(I51="4J2",I53=8),LOOKUP(I84,T!$J397:$J407,T!$H397:$H402),IF(AND(I51="4J2",I53=9),LOOKUP(I84,T!$J397:$J407,T!$I397:$I407),IF(AND(I51="4J3",I53=2),LOOKUP(I84,T!$M413:$M426,T!$B413:$B426),IF(AND(I51="4J3",I53=3),LOOKUP(I84,T!$M413:$M426,T!$C413:$C426),IF(AND(I51="4J3",I53=4),LOOKUP(I84,T!$M413:$M426,T!$D413:$D426),IF(AND(I51="4J3",I53=5),LOOKUP(I84,T!$M413:$M426,T!$E413:$E426),IF(AND(I51="4J3",I53=6),LOOKUP(I84,T!$M413:$M426,T!$F413:$F426),IF(AND(I51="4J3",I53=7),LOOKUP(I84,T!$M413:$M426,T!$G413:$G426),IF(AND(I51="4J3",I53=8),LOOKUP(I84,T!$M413:$M426,T!$H413:$H426),IF(AND(I51="4J3",I53=9),LOOKUP(I84,T!$M413:$M426,T!$I413:$I426),IF(AND(I51="4J3",I53=10),LOOKUP(I84,T!$M413:$M426,T!$J413:$J426),IF(AND(I51="4J3",I53=11),LOOKUP(I84,T!$M413:$M426,T!$K413:$K426),IF(AND(I51="4J3",I53=12),LOOKUP(I84,T!$M413:$M426,T!$L413:$L426),IF(AND(I51="4J4",I53=2),LOOKUP(I84,T!$H432:$H442,T!$B432:$B437),IF(AND(I51="4J4",I53=3),LOOKUP(I84,T!$H432:$H442,T!$C432:$C442),IF(AND(I51="4J4",I53=4),LOOKUP(I84,T!$H432:$H442,T!$D872:$D877),IF(AND(I51="4J4",I53=5),LOOKUP(I84,T!$H432:$H442,T!$E432:$E442),IF(AND(I51="4J4",I53=6),LOOKUP(I84,T!$H432:$H442,T!$F432:$F437),IF(AND(I51="4J4",I53=7),LOOKUP(I84,T!$H432:$H442,T!$G432:$G442),"-")))))))))))))))))))))))))))))))))))),"")))</f>
        <v/>
      </c>
      <c r="J35" s="141" t="str">
        <f>IF(J27="","",IF(OR(J51="4H1",J51="4H2",J51="4H3",J51="4H4"),IF(J27="","",IF(AND(J51="4H1",J53=2),LOOKUP(J84,T!$M308:$M321,T!$B308:$B315),IF(AND(J51="4H1",J53=3),LOOKUP(J84,T!$M308:$M321,T!$C308:$C315),IF(AND(J51="4H1",J53=4),LOOKUP(J84,T!$M308:$M321,T!$D308:$D318),IF(AND(J51="4H1",J53=5),LOOKUP(J84,T!$M308:$M321,T!$E308:$E318),IF(AND(J51="4H1",J53=6),LOOKUP(J84,T!$M308:$M321,T!$F308:$F321),IF(AND(J51="4H1",J53=7),LOOKUP(J84,T!$M308:$M321,T!$G308:$G321),IF(AND(J51="4H1",J53=8),LOOKUP(J84,T!$M308:$M321,T!$H308:$H321),IF(AND(J51="4H1",J53=9),LOOKUP(J84,T!$M308:$M321,T!$I305:$I321),IF(AND(J51="4H1",J53=10),LOOKUP(J84,T!$M308:$M321,T!$J308:$J321),IF(AND(J51="4H1",J53=11),LOOKUP(J84,T!$M308:$M321,T!$K308:$K321),IF(AND(J51="4H1",J53=12),LOOKUP(J84,T!$M308:$M321,T!$L308:$L321),IF(AND(J51="4H2",J53=2),LOOKUP(J84,T!$J327:$J337,T!$B327:$B332),IF(AND(J51="4H2",J53=3),LOOKUP(J84,T!$J327:$J337,T!$C327:$C337),IF(AND(J51="4H2",J53=4),LOOKUP(J84,T!$J327:$J337,T!$D327:$D332),IF(AND(J51="4H2",J53=5),LOOKUP(J84,T!$J327:$J337,T!$E327:$E337),IF(AND(J51="4H2",J53=6),LOOKUP(J84,T!$J327:$J337,T!$F327:$F332),IF(AND(J51="4H2",J53=7),LOOKUP(J84,T!$G327:$J337,T!$G327:$G337),IF(AND(J51="4H2",J53=8),LOOKUP(J84,T!$J327:$J337,T!$H327:$H332),IF(AND(J51="4H2",J53=9),LOOKUP(J84,T!$J327:$J337,T!$I327:$I337),IF(AND(J51="4H3",J53=2),LOOKUP(J84,T!$M343:$M356,T!$B343:$B356),IF(AND(J51="4H3",J53=3),LOOKUP(J84,T!$M343:$M356,T!$C343:$C356),IF(AND(J51="4H3",J53=4),LOOKUP(J84,T!$M343:$M356,T!$D343:$D356),IF(AND(J51="4H3",J53=5),LOOKUP(J84,T!$M343:$M356,T!$E343:$E356),IF(AND(J51="4H3",J53=6),LOOKUP(J84,T!$M343:$M356,T!$F343:$F356),IF(AND(J51="4H3",J53=7),LOOKUP(J84,T!$M343:$M356,T!$G343:$G356),IF(AND(J51="4H3",J53=8),LOOKUP(J84,T!$M343:$M356,T!$H343:$H356),IF(AND(J51="4H3",J53=9),LOOKUP(J84,T!$M343:$M356,T!$I343:$I356),IF(AND(J51="4H3",J53=10),LOOKUP(J84,T!$M343:$M356,T!$J343:$J356),IF(AND(J51="4H3",J53=11),LOOKUP(J84,T!$M343:$M356,T!$K343:$K356),IF(AND(J51="4H3",J53=12),LOOKUP(J84,T!$M343:$M356,T!$L343:$L356),IF(AND(J51="4H4",J53=2),LOOKUP(J84,T!$H362:$H372,T!$B362:$B367),IF(AND(J51="4H4",J53=3),LOOKUP(J84,T!$H362:$H372,T!$C362:$C372),IF(AND(J51="4H4",J53=4),LOOKUP(J84,T!$H362:$H372,T!$D362:$D367),IF(AND(J51="4H4",J53=5),LOOKUP(J84,T!$H362:$H372,T!$E362:$E372),IF(AND(J51="4H4",J53=6),LOOKUP(J84,T!$H363:$H372,T!$F363:$F367),IF(AND(J51="4H4",J53=7),LOOKUP(J84,T!$H363:$H372,T!$G363:$G372),"-"))))))))))))))))))))))))))))))))))))),IF(OR(J51="4J1",J51="4J2",J51="4J3",J51="4J4"),IF(AND(J51="4J1",J53=2),LOOKUP(J84,T!$M378:$M391,T!$B378:$B385),IF(AND(J51="4J1",J53=3),LOOKUP(J84,T!$M378:$M391,T!$C378:$C385),IF(AND(J51="4J1",J53=4),LOOKUP(J84,T!$M378:$M391,T!$D378:$D385),IF(AND(J51="4J1",J53=5),LOOKUP(J84,T!$M378:$M391,T!$E378:$E385),IF(AND(J51="4J1",J53=6),LOOKUP(J84,T!$M378:$M391,T!$F378:$F391),IF(AND(J51="4J1",J53=7),LOOKUP(J84,T!$M378:$M391,T!$G378:$G391),IF(AND(J51="4J1",J53=8),LOOKUP(J84,T!$M378:$M391,T!$H378:$H391),IF(AND(J51="4J1",J53=9),LOOKUP(J84,T!$M378:$M391,T!$I378:$I391),IF(AND(J51="4J1",J53=10),LOOKUP(J84,T!$M378:$M391,T!$J378:$J391),IF(AND(J51="4J1",J53=11),LOOKUP(J84,T!$M378:$M391,T!$K378:$K391),IF(AND(J51="4J1",J53=12),LOOKUP(J84,T!$M378:$M391,T!$L378:$L391),IF(AND(J51="4J2",J53=2),LOOKUP(J84,T!$J397:$J407,T!$B397:$B402),IF(AND(J51="4J2",J53=3),LOOKUP(J84,T!$J397:$J407,T!$C397:$C407),IF(AND(J51="4J2",J53=4),LOOKUP(J84,T!$J397:$J407,T!$D397:$D$402),IF(AND(J51="4J2",J53=5),LOOKUP(J84,T!$J397:$J407,T!$E397:$E407),IF(AND(J51="4J2",J53=6),LOOKUP(J84,T!$J397:$J407,T!$F397:$F402),IF(AND(J51="4J2",J53=7),LOOKUP(J84,T!$J397:$J407,T!$G397:$G407),IF(AND(J51="4J2",J53=8),LOOKUP(J84,T!$J397:$J407,T!$H397:$H402),IF(AND(J51="4J2",J53=9),LOOKUP(J84,T!$J397:$J407,T!$I397:$I407),IF(AND(J51="4J3",J53=2),LOOKUP(J84,T!$M413:$M426,T!$B413:$B426),IF(AND(J51="4J3",J53=3),LOOKUP(J84,T!$M413:$M426,T!$C413:$C426),IF(AND(J51="4J3",J53=4),LOOKUP(J84,T!$M413:$M426,T!$D413:$D426),IF(AND(J51="4J3",J53=5),LOOKUP(J84,T!$M413:$M426,T!$E413:$E426),IF(AND(J51="4J3",J53=6),LOOKUP(J84,T!$M413:$M426,T!$F413:$F426),IF(AND(J51="4J3",J53=7),LOOKUP(J84,T!$M413:$M426,T!$G413:$G426),IF(AND(J51="4J3",J53=8),LOOKUP(J84,T!$M413:$M426,T!$H413:$H426),IF(AND(J51="4J3",J53=9),LOOKUP(J84,T!$M413:$M426,T!$I413:$I426),IF(AND(J51="4J3",J53=10),LOOKUP(J84,T!$M413:$M426,T!$J413:$J426),IF(AND(J51="4J3",J53=11),LOOKUP(J84,T!$M413:$M426,T!$K413:$K426),IF(AND(J51="4J3",J53=12),LOOKUP(J84,T!$M413:$M426,T!$L413:$L426),IF(AND(J51="4J4",J53=2),LOOKUP(J84,T!$H432:$H442,T!$B432:$B437),IF(AND(J51="4J4",J53=3),LOOKUP(J84,T!$H432:$H442,T!$C432:$C442),IF(AND(J51="4J4",J53=4),LOOKUP(J84,T!$H432:$H442,T!$D872:$D877),IF(AND(J51="4J4",J53=5),LOOKUP(J84,T!$H432:$H442,T!$E432:$E442),IF(AND(J51="4J4",J53=6),LOOKUP(J84,T!$H432:$H442,T!$F432:$F437),IF(AND(J51="4J4",J53=7),LOOKUP(J84,T!$H432:$H442,T!$G432:$G442),"-")))))))))))))))))))))))))))))))))))),"")))</f>
        <v/>
      </c>
      <c r="K35" s="141" t="str">
        <f>IF(K27="","",IF(OR(K51="4H1",K51="4H2",K51="4H3",K51="4H4"),IF(K27="","",IF(AND(K51="4H1",K53=2),LOOKUP(K84,T!$M308:$M321,T!$B308:$B315),IF(AND(K51="4H1",K53=3),LOOKUP(K84,T!$M308:$M321,T!$C308:$C315),IF(AND(K51="4H1",K53=4),LOOKUP(K84,T!$M308:$M321,T!$D308:$D318),IF(AND(K51="4H1",K53=5),LOOKUP(K84,T!$M308:$M321,T!$E308:$E318),IF(AND(K51="4H1",K53=6),LOOKUP(K84,T!$M308:$M321,T!$F308:$F321),IF(AND(K51="4H1",K53=7),LOOKUP(K84,T!$M308:$M321,T!$G308:$G321),IF(AND(K51="4H1",K53=8),LOOKUP(K84,T!$M308:$M321,T!$H308:$H321),IF(AND(K51="4H1",K53=9),LOOKUP(K84,T!$M308:$M321,T!$I305:$I321),IF(AND(K51="4H1",K53=10),LOOKUP(K84,T!$M308:$M321,T!$J308:$J321),IF(AND(K51="4H1",K53=11),LOOKUP(K84,T!$M308:$M321,T!$K308:$K321),IF(AND(K51="4H1",K53=12),LOOKUP(K84,T!$M308:$M321,T!$L308:$L321),IF(AND(K51="4H2",K53=2),LOOKUP(K84,T!$J327:$J337,T!$B327:$B332),IF(AND(K51="4H2",K53=3),LOOKUP(K84,T!$J327:$J337,T!$C327:$C337),IF(AND(K51="4H2",K53=4),LOOKUP(K84,T!$J327:$J337,T!$D327:$D332),IF(AND(K51="4H2",K53=5),LOOKUP(K84,T!$J327:$J337,T!$E327:$E337),IF(AND(K51="4H2",K53=6),LOOKUP(K84,T!$J327:$J337,T!$F327:$F332),IF(AND(K51="4H2",K53=7),LOOKUP(K84,T!$G327:$J337,T!$G327:$G337),IF(AND(K51="4H2",K53=8),LOOKUP(K84,T!$J327:$J337,T!$H327:$H332),IF(AND(K51="4H2",K53=9),LOOKUP(K84,T!$J327:$J337,T!$I327:$I337),IF(AND(K51="4H3",K53=2),LOOKUP(K84,T!$M343:$M356,T!$B343:$B356),IF(AND(K51="4H3",K53=3),LOOKUP(K84,T!$M343:$M356,T!$C343:$C356),IF(AND(K51="4H3",K53=4),LOOKUP(K84,T!$M343:$M356,T!$D343:$D356),IF(AND(K51="4H3",K53=5),LOOKUP(K84,T!$M343:$M356,T!$E343:$E356),IF(AND(K51="4H3",K53=6),LOOKUP(K84,T!$M343:$M356,T!$F343:$F356),IF(AND(K51="4H3",K53=7),LOOKUP(K84,T!$M343:$M356,T!$G343:$G356),IF(AND(K51="4H3",K53=8),LOOKUP(K84,T!$M343:$M356,T!$H343:$H356),IF(AND(K51="4H3",K53=9),LOOKUP(K84,T!$M343:$M356,T!$I343:$I356),IF(AND(K51="4H3",K53=10),LOOKUP(K84,T!$M343:$M356,T!$J343:$J356),IF(AND(K51="4H3",K53=11),LOOKUP(K84,T!$M343:$M356,T!$K343:$K356),IF(AND(K51="4H3",K53=12),LOOKUP(K84,T!$M343:$M356,T!$L343:$L356),IF(AND(K51="4H4",K53=2),LOOKUP(K84,T!$H362:$H372,T!$B362:$B367),IF(AND(K51="4H4",K53=3),LOOKUP(K84,T!$H362:$H372,T!$C362:$C372),IF(AND(K51="4H4",K53=4),LOOKUP(K84,T!$H362:$H372,T!$D362:$D367),IF(AND(K51="4H4",K53=5),LOOKUP(K84,T!$H362:$H372,T!$E362:$E372),IF(AND(K51="4H4",K53=6),LOOKUP(K84,T!$H363:$H372,T!$F363:$F367),IF(AND(K51="4H4",K53=7),LOOKUP(K84,T!$H363:$H372,T!$G363:$G372),"-"))))))))))))))))))))))))))))))))))))),IF(OR(K51="4J1",K51="4J2",K51="4J3",K51="4J4"),IF(AND(K51="4J1",K53=2),LOOKUP(K84,T!$M378:$M391,T!$B378:$B385),IF(AND(K51="4J1",K53=3),LOOKUP(K84,T!$M378:$M391,T!$C378:$C385),IF(AND(K51="4J1",K53=4),LOOKUP(K84,T!$M378:$M391,T!$D378:$D385),IF(AND(K51="4J1",K53=5),LOOKUP(K84,T!$M378:$M391,T!$E378:$E385),IF(AND(K51="4J1",K53=6),LOOKUP(K84,T!$M378:$M391,T!$F378:$F391),IF(AND(K51="4J1",K53=7),LOOKUP(K84,T!$M378:$M391,T!$G378:$G391),IF(AND(K51="4J1",K53=8),LOOKUP(K84,T!$M378:$M391,T!$H378:$H391),IF(AND(K51="4J1",K53=9),LOOKUP(K84,T!$M378:$M391,T!$I378:$I391),IF(AND(K51="4J1",K53=10),LOOKUP(K84,T!$M378:$M391,T!$J378:$J391),IF(AND(K51="4J1",K53=11),LOOKUP(K84,T!$M378:$M391,T!$K378:$K391),IF(AND(K51="4J1",K53=12),LOOKUP(K84,T!$M378:$M391,T!$L378:$L391),IF(AND(K51="4J2",K53=2),LOOKUP(K84,T!$J397:$J407,T!$B397:$B402),IF(AND(K51="4J2",K53=3),LOOKUP(K84,T!$J397:$J407,T!$C397:$C407),IF(AND(K51="4J2",K53=4),LOOKUP(K84,T!$J397:$J407,T!$D397:$D$402),IF(AND(K51="4J2",K53=5),LOOKUP(K84,T!$J397:$J407,T!$E397:$E407),IF(AND(K51="4J2",K53=6),LOOKUP(K84,T!$J397:$J407,T!$F397:$F402),IF(AND(K51="4J2",K53=7),LOOKUP(K84,T!$J397:$J407,T!$G397:$G407),IF(AND(K51="4J2",K53=8),LOOKUP(K84,T!$J397:$J407,T!$H397:$H402),IF(AND(K51="4J2",K53=9),LOOKUP(K84,T!$J397:$J407,T!$I397:$I407),IF(AND(K51="4J3",K53=2),LOOKUP(K84,T!$M413:$M426,T!$B413:$B426),IF(AND(K51="4J3",K53=3),LOOKUP(K84,T!$M413:$M426,T!$C413:$C426),IF(AND(K51="4J3",K53=4),LOOKUP(K84,T!$M413:$M426,T!$D413:$D426),IF(AND(K51="4J3",K53=5),LOOKUP(K84,T!$M413:$M426,T!$E413:$E426),IF(AND(K51="4J3",K53=6),LOOKUP(K84,T!$M413:$M426,T!$F413:$F426),IF(AND(K51="4J3",K53=7),LOOKUP(K84,T!$M413:$M426,T!$G413:$G426),IF(AND(K51="4J3",K53=8),LOOKUP(K84,T!$M413:$M426,T!$H413:$H426),IF(AND(K51="4J3",K53=9),LOOKUP(K84,T!$M413:$M426,T!$I413:$I426),IF(AND(K51="4J3",K53=10),LOOKUP(K84,T!$M413:$M426,T!$J413:$J426),IF(AND(K51="4J3",K53=11),LOOKUP(K84,T!$M413:$M426,T!$K413:$K426),IF(AND(K51="4J3",K53=12),LOOKUP(K84,T!$M413:$M426,T!$L413:$L426),IF(AND(K51="4J4",K53=2),LOOKUP(K84,T!$H432:$H442,T!$B432:$B437),IF(AND(K51="4J4",K53=3),LOOKUP(K84,T!$H432:$H442,T!$C432:$C442),IF(AND(K51="4J4",K53=4),LOOKUP(K84,T!$H432:$H442,T!$D872:$D877),IF(AND(K51="4J4",K53=5),LOOKUP(K84,T!$H432:$H442,T!$E432:$E442),IF(AND(K51="4J4",K53=6),LOOKUP(K84,T!$H432:$H442,T!$F432:$F437),IF(AND(K51="4J4",K53=7),LOOKUP(K84,T!$H432:$H442,T!$G432:$G442),"-")))))))))))))))))))))))))))))))))))),"")))</f>
        <v/>
      </c>
      <c r="L35" s="141" t="str">
        <f>IF(L27="","",IF(OR(L51="4H1",L51="4H2",L51="4H3",L51="4H4"),IF(L27="","",IF(AND(L51="4H1",L53=2),LOOKUP(L84,T!$M308:$M321,T!$B308:$B315),IF(AND(L51="4H1",L53=3),LOOKUP(L84,T!$M308:$M321,T!$C308:$C315),IF(AND(L51="4H1",L53=4),LOOKUP(L84,T!$M308:$M321,T!$D308:$D318),IF(AND(L51="4H1",L53=5),LOOKUP(L84,T!$M308:$M321,T!$E308:$E318),IF(AND(L51="4H1",L53=6),LOOKUP(L84,T!$M308:$M321,T!$F308:$F321),IF(AND(L51="4H1",L53=7),LOOKUP(L84,T!$M308:$M321,T!$G308:$G321),IF(AND(L51="4H1",L53=8),LOOKUP(L84,T!$M308:$M321,T!$H308:$H321),IF(AND(L51="4H1",L53=9),LOOKUP(L84,T!$M308:$M321,T!$I305:$I321),IF(AND(L51="4H1",L53=10),LOOKUP(L84,T!$M308:$M321,T!$J308:$J321),IF(AND(L51="4H1",L53=11),LOOKUP(L84,T!$M308:$M321,T!$K308:$K321),IF(AND(L51="4H1",L53=12),LOOKUP(L84,T!$M308:$M321,T!$L308:$L321),IF(AND(L51="4H2",L53=2),LOOKUP(L84,T!$J327:$J337,T!$B327:$B332),IF(AND(L51="4H2",L53=3),LOOKUP(L84,T!$J327:$J337,T!$C327:$C337),IF(AND(L51="4H2",L53=4),LOOKUP(L84,T!$J327:$J337,T!$D327:$D332),IF(AND(L51="4H2",L53=5),LOOKUP(L84,T!$J327:$J337,T!$E327:$E337),IF(AND(L51="4H2",L53=6),LOOKUP(L84,T!$J327:$J337,T!$F327:$F332),IF(AND(L51="4H2",L53=7),LOOKUP(L84,T!$G327:$J337,T!$G327:$G337),IF(AND(L51="4H2",L53=8),LOOKUP(L84,T!$J327:$J337,T!$H327:$H332),IF(AND(L51="4H2",L53=9),LOOKUP(L84,T!$J327:$J337,T!$I327:$I337),IF(AND(L51="4H3",L53=2),LOOKUP(L84,T!$M343:$M356,T!$B343:$B356),IF(AND(L51="4H3",L53=3),LOOKUP(L84,T!$M343:$M356,T!$C343:$C356),IF(AND(L51="4H3",L53=4),LOOKUP(L84,T!$M343:$M356,T!$D343:$D356),IF(AND(L51="4H3",L53=5),LOOKUP(L84,T!$M343:$M356,T!$E343:$E356),IF(AND(L51="4H3",L53=6),LOOKUP(L84,T!$M343:$M356,T!$F343:$F356),IF(AND(L51="4H3",L53=7),LOOKUP(L84,T!$M343:$M356,T!$G343:$G356),IF(AND(L51="4H3",L53=8),LOOKUP(L84,T!$M343:$M356,T!$H343:$H356),IF(AND(L51="4H3",L53=9),LOOKUP(L84,T!$M343:$M356,T!$I343:$I356),IF(AND(L51="4H3",L53=10),LOOKUP(L84,T!$M343:$M356,T!$J343:$J356),IF(AND(L51="4H3",L53=11),LOOKUP(L84,T!$M343:$M356,T!$K343:$K356),IF(AND(L51="4H3",L53=12),LOOKUP(L84,T!$M343:$M356,T!$L343:$L356),IF(AND(L51="4H4",L53=2),LOOKUP(L84,T!$H362:$H372,T!$B362:$B367),IF(AND(L51="4H4",L53=3),LOOKUP(L84,T!$H362:$H372,T!$C362:$C372),IF(AND(L51="4H4",L53=4),LOOKUP(L84,T!$H362:$H372,T!$D362:$D367),IF(AND(L51="4H4",L53=5),LOOKUP(L84,T!$H362:$H372,T!$E362:$E372),IF(AND(L51="4H4",L53=6),LOOKUP(L84,T!$H363:$H372,T!$F363:$F367),IF(AND(L51="4H4",L53=7),LOOKUP(L84,T!$H363:$H372,T!$G363:$G372),"-"))))))))))))))))))))))))))))))))))))),IF(OR(L51="4J1",L51="4J2",L51="4J3",L51="4J4"),IF(AND(L51="4J1",L53=2),LOOKUP(L84,T!$M378:$M391,T!$B378:$B385),IF(AND(L51="4J1",L53=3),LOOKUP(L84,T!$M378:$M391,T!$C378:$C385),IF(AND(L51="4J1",L53=4),LOOKUP(L84,T!$M378:$M391,T!$D378:$D385),IF(AND(L51="4J1",L53=5),LOOKUP(L84,T!$M378:$M391,T!$E378:$E385),IF(AND(L51="4J1",L53=6),LOOKUP(L84,T!$M378:$M391,T!$F378:$F391),IF(AND(L51="4J1",L53=7),LOOKUP(L84,T!$M378:$M391,T!$G378:$G391),IF(AND(L51="4J1",L53=8),LOOKUP(L84,T!$M378:$M391,T!$H378:$H391),IF(AND(L51="4J1",L53=9),LOOKUP(L84,T!$M378:$M391,T!$I378:$I391),IF(AND(L51="4J1",L53=10),LOOKUP(L84,T!$M378:$M391,T!$J378:$J391),IF(AND(L51="4J1",L53=11),LOOKUP(L84,T!$M378:$M391,T!$K378:$K391),IF(AND(L51="4J1",L53=12),LOOKUP(L84,T!$M378:$M391,T!$L378:$L391),IF(AND(L51="4J2",L53=2),LOOKUP(L84,T!$J397:$J407,T!$B397:$B402),IF(AND(L51="4J2",L53=3),LOOKUP(L84,T!$J397:$J407,T!$C397:$C407),IF(AND(L51="4J2",L53=4),LOOKUP(L84,T!$J397:$J407,T!$D397:$D$402),IF(AND(L51="4J2",L53=5),LOOKUP(L84,T!$J397:$J407,T!$E397:$E407),IF(AND(L51="4J2",L53=6),LOOKUP(L84,T!$J397:$J407,T!$F397:$F402),IF(AND(L51="4J2",L53=7),LOOKUP(L84,T!$J397:$J407,T!$G397:$G407),IF(AND(L51="4J2",L53=8),LOOKUP(L84,T!$J397:$J407,T!$H397:$H402),IF(AND(L51="4J2",L53=9),LOOKUP(L84,T!$J397:$J407,T!$I397:$I407),IF(AND(L51="4J3",L53=2),LOOKUP(L84,T!$M413:$M426,T!$B413:$B426),IF(AND(L51="4J3",L53=3),LOOKUP(L84,T!$M413:$M426,T!$C413:$C426),IF(AND(L51="4J3",L53=4),LOOKUP(L84,T!$M413:$M426,T!$D413:$D426),IF(AND(L51="4J3",L53=5),LOOKUP(L84,T!$M413:$M426,T!$E413:$E426),IF(AND(L51="4J3",L53=6),LOOKUP(L84,T!$M413:$M426,T!$F413:$F426),IF(AND(L51="4J3",L53=7),LOOKUP(L84,T!$M413:$M426,T!$G413:$G426),IF(AND(L51="4J3",L53=8),LOOKUP(L84,T!$M413:$M426,T!$H413:$H426),IF(AND(L51="4J3",L53=9),LOOKUP(L84,T!$M413:$M426,T!$I413:$I426),IF(AND(L51="4J3",L53=10),LOOKUP(L84,T!$M413:$M426,T!$J413:$J426),IF(AND(L51="4J3",L53=11),LOOKUP(L84,T!$M413:$M426,T!$K413:$K426),IF(AND(L51="4J3",L53=12),LOOKUP(L84,T!$M413:$M426,T!$L413:$L426),IF(AND(L51="4J4",L53=2),LOOKUP(L84,T!$H432:$H442,T!$B432:$B437),IF(AND(L51="4J4",L53=3),LOOKUP(L84,T!$H432:$H442,T!$C432:$C442),IF(AND(L51="4J4",L53=4),LOOKUP(L84,T!$H432:$H442,T!$D872:$D877),IF(AND(L51="4J4",L53=5),LOOKUP(L84,T!$H432:$H442,T!$E432:$E442),IF(AND(L51="4J4",L53=6),LOOKUP(L84,T!$H432:$H442,T!$F432:$F437),IF(AND(L51="4J4",L53=7),LOOKUP(L84,T!$H432:$H442,T!$G432:$G442),"-")))))))))))))))))))))))))))))))))))),"")))</f>
        <v/>
      </c>
      <c r="M35" s="141" t="str">
        <f>IF(M27="","",IF(OR(M51="4H1",M51="4H2",M51="4H3",M51="4H4"),IF(M27="","",IF(AND(M51="4H1",M53=2),LOOKUP(M84,T!$M308:$M321,T!$B308:$B315),IF(AND(M51="4H1",M53=3),LOOKUP(M84,T!$M308:$M321,T!$C308:$C315),IF(AND(M51="4H1",M53=4),LOOKUP(M84,T!$M308:$M321,T!$D308:$D318),IF(AND(M51="4H1",M53=5),LOOKUP(M84,T!$M308:$M321,T!$E308:$E318),IF(AND(M51="4H1",M53=6),LOOKUP(M84,T!$M308:$M321,T!$F308:$F321),IF(AND(M51="4H1",M53=7),LOOKUP(M84,T!$M308:$M321,T!$G308:$G321),IF(AND(M51="4H1",M53=8),LOOKUP(M84,T!$M308:$M321,T!$H308:$H321),IF(AND(M51="4H1",M53=9),LOOKUP(M84,T!$M308:$M321,T!$I305:$I321),IF(AND(M51="4H1",M53=10),LOOKUP(M84,T!$M308:$M321,T!$J308:$J321),IF(AND(M51="4H1",M53=11),LOOKUP(M84,T!$M308:$M321,T!$K308:$K321),IF(AND(M51="4H1",M53=12),LOOKUP(M84,T!$M308:$M321,T!$L308:$L321),IF(AND(M51="4H2",M53=2),LOOKUP(M84,T!$J327:$J337,T!$B327:$B332),IF(AND(M51="4H2",M53=3),LOOKUP(M84,T!$J327:$J337,T!$C327:$C337),IF(AND(M51="4H2",M53=4),LOOKUP(M84,T!$J327:$J337,T!$D327:$D332),IF(AND(M51="4H2",M53=5),LOOKUP(M84,T!$J327:$J337,T!$E327:$E337),IF(AND(M51="4H2",M53=6),LOOKUP(M84,T!$J327:$J337,T!$F327:$F332),IF(AND(M51="4H2",M53=7),LOOKUP(M84,T!$G327:$J337,T!$G327:$G337),IF(AND(M51="4H2",M53=8),LOOKUP(M84,T!$J327:$J337,T!$H327:$H332),IF(AND(M51="4H2",M53=9),LOOKUP(M84,T!$J327:$J337,T!$I327:$I337),IF(AND(M51="4H3",M53=2),LOOKUP(M84,T!$M343:$M356,T!$B343:$B356),IF(AND(M51="4H3",M53=3),LOOKUP(M84,T!$M343:$M356,T!$C343:$C356),IF(AND(M51="4H3",M53=4),LOOKUP(M84,T!$M343:$M356,T!$D343:$D356),IF(AND(M51="4H3",M53=5),LOOKUP(M84,T!$M343:$M356,T!$E343:$E356),IF(AND(M51="4H3",M53=6),LOOKUP(M84,T!$M343:$M356,T!$F343:$F356),IF(AND(M51="4H3",M53=7),LOOKUP(M84,T!$M343:$M356,T!$G343:$G356),IF(AND(M51="4H3",M53=8),LOOKUP(M84,T!$M343:$M356,T!$H343:$H356),IF(AND(M51="4H3",M53=9),LOOKUP(M84,T!$M343:$M356,T!$I343:$I356),IF(AND(M51="4H3",M53=10),LOOKUP(M84,T!$M343:$M356,T!$J343:$J356),IF(AND(M51="4H3",M53=11),LOOKUP(M84,T!$M343:$M356,T!$K343:$K356),IF(AND(M51="4H3",M53=12),LOOKUP(M84,T!$M343:$M356,T!$L343:$L356),IF(AND(M51="4H4",M53=2),LOOKUP(M84,T!$H362:$H372,T!$B362:$B367),IF(AND(M51="4H4",M53=3),LOOKUP(M84,T!$H362:$H372,T!$C362:$C372),IF(AND(M51="4H4",M53=4),LOOKUP(M84,T!$H362:$H372,T!$D362:$D367),IF(AND(M51="4H4",M53=5),LOOKUP(M84,T!$H362:$H372,T!$E362:$E372),IF(AND(M51="4H4",M53=6),LOOKUP(M84,T!$H363:$H372,T!$F363:$F367),IF(AND(M51="4H4",M53=7),LOOKUP(M84,T!$H363:$H372,T!$G363:$G372),"-"))))))))))))))))))))))))))))))))))))),IF(OR(M51="4J1",M51="4J2",M51="4J3",M51="4J4"),IF(AND(M51="4J1",M53=2),LOOKUP(M84,T!$M378:$M391,T!$B378:$B385),IF(AND(M51="4J1",M53=3),LOOKUP(M84,T!$M378:$M391,T!$C378:$C385),IF(AND(M51="4J1",M53=4),LOOKUP(M84,T!$M378:$M391,T!$D378:$D385),IF(AND(M51="4J1",M53=5),LOOKUP(M84,T!$M378:$M391,T!$E378:$E385),IF(AND(M51="4J1",M53=6),LOOKUP(M84,T!$M378:$M391,T!$F378:$F391),IF(AND(M51="4J1",M53=7),LOOKUP(M84,T!$M378:$M391,T!$G378:$G391),IF(AND(M51="4J1",M53=8),LOOKUP(M84,T!$M378:$M391,T!$H378:$H391),IF(AND(M51="4J1",M53=9),LOOKUP(M84,T!$M378:$M391,T!$I378:$I391),IF(AND(M51="4J1",M53=10),LOOKUP(M84,T!$M378:$M391,T!$J378:$J391),IF(AND(M51="4J1",M53=11),LOOKUP(M84,T!$M378:$M391,T!$K378:$K391),IF(AND(M51="4J1",M53=12),LOOKUP(M84,T!$M378:$M391,T!$L378:$L391),IF(AND(M51="4J2",M53=2),LOOKUP(M84,T!$J397:$J407,T!$B397:$B402),IF(AND(M51="4J2",M53=3),LOOKUP(M84,T!$J397:$J407,T!$C397:$C407),IF(AND(M51="4J2",M53=4),LOOKUP(M84,T!$J397:$J407,T!$D397:$D$402),IF(AND(M51="4J2",M53=5),LOOKUP(M84,T!$J397:$J407,T!$E397:$E407),IF(AND(M51="4J2",M53=6),LOOKUP(M84,T!$J397:$J407,T!$F397:$F402),IF(AND(M51="4J2",M53=7),LOOKUP(M84,T!$J397:$J407,T!$G397:$G407),IF(AND(M51="4J2",M53=8),LOOKUP(M84,T!$J397:$J407,T!$H397:$H402),IF(AND(M51="4J2",M53=9),LOOKUP(M84,T!$J397:$J407,T!$I397:$I407),IF(AND(M51="4J3",M53=2),LOOKUP(M84,T!$M413:$M426,T!$B413:$B426),IF(AND(M51="4J3",M53=3),LOOKUP(M84,T!$M413:$M426,T!$C413:$C426),IF(AND(M51="4J3",M53=4),LOOKUP(M84,T!$M413:$M426,T!$D413:$D426),IF(AND(M51="4J3",M53=5),LOOKUP(M84,T!$M413:$M426,T!$E413:$E426),IF(AND(M51="4J3",M53=6),LOOKUP(M84,T!$M413:$M426,T!$F413:$F426),IF(AND(M51="4J3",M53=7),LOOKUP(M84,T!$M413:$M426,T!$G413:$G426),IF(AND(M51="4J3",M53=8),LOOKUP(M84,T!$M413:$M426,T!$H413:$H426),IF(AND(M51="4J3",M53=9),LOOKUP(M84,T!$M413:$M426,T!$I413:$I426),IF(AND(M51="4J3",M53=10),LOOKUP(M84,T!$M413:$M426,T!$J413:$J426),IF(AND(M51="4J3",M53=11),LOOKUP(M84,T!$M413:$M426,T!$K413:$K426),IF(AND(M51="4J3",M53=12),LOOKUP(M84,T!$M413:$M426,T!$L413:$L426),IF(AND(M51="4J4",M53=2),LOOKUP(M84,T!$H432:$H442,T!$B432:$B437),IF(AND(M51="4J4",M53=3),LOOKUP(M84,T!$H432:$H442,T!$C432:$C442),IF(AND(M51="4J4",M53=4),LOOKUP(M84,T!$H432:$H442,T!$D872:$D877),IF(AND(M51="4J4",M53=5),LOOKUP(M84,T!$H432:$H442,T!$E432:$E442),IF(AND(M51="4J4",M53=6),LOOKUP(M84,T!$H432:$H442,T!$F432:$F437),IF(AND(M51="4J4",M53=7),LOOKUP(M84,T!$H432:$H442,T!$G432:$G442),"-")))))))))))))))))))))))))))))))))))),"")))</f>
        <v/>
      </c>
      <c r="N35" s="141" t="str">
        <f>IF(N27="","",IF(OR(N51="4H1",N51="4H2",N51="4H3",N51="4H4"),IF(N27="","",IF(AND(N51="4H1",N53=2),LOOKUP(N84,T!$M308:$M321,T!$B308:$B315),IF(AND(N51="4H1",N53=3),LOOKUP(N84,T!$M308:$M321,T!$C308:$C315),IF(AND(N51="4H1",N53=4),LOOKUP(N84,T!$M308:$M321,T!$D308:$D318),IF(AND(N51="4H1",N53=5),LOOKUP(N84,T!$M308:$M321,T!$E308:$E318),IF(AND(N51="4H1",N53=6),LOOKUP(N84,T!$M308:$M321,T!$F308:$F321),IF(AND(N51="4H1",N53=7),LOOKUP(N84,T!$M308:$M321,T!$G308:$G321),IF(AND(N51="4H1",N53=8),LOOKUP(N84,T!$M308:$M321,T!$H308:$H321),IF(AND(N51="4H1",N53=9),LOOKUP(N84,T!$M308:$M321,T!$I305:$I321),IF(AND(N51="4H1",N53=10),LOOKUP(N84,T!$M308:$M321,T!$J308:$J321),IF(AND(N51="4H1",N53=11),LOOKUP(N84,T!$M308:$M321,T!$K308:$K321),IF(AND(N51="4H1",N53=12),LOOKUP(N84,T!$M308:$M321,T!$L308:$L321),IF(AND(N51="4H2",N53=2),LOOKUP(N84,T!$J327:$J337,T!$B327:$B332),IF(AND(N51="4H2",N53=3),LOOKUP(N84,T!$J327:$J337,T!$C327:$C337),IF(AND(N51="4H2",N53=4),LOOKUP(N84,T!$J327:$J337,T!$D327:$D332),IF(AND(N51="4H2",N53=5),LOOKUP(N84,T!$J327:$J337,T!$E327:$E337),IF(AND(N51="4H2",N53=6),LOOKUP(N84,T!$J327:$J337,T!$F327:$F332),IF(AND(N51="4H2",N53=7),LOOKUP(N84,T!$G327:$J337,T!$G327:$G337),IF(AND(N51="4H2",N53=8),LOOKUP(N84,T!$J327:$J337,T!$H327:$H332),IF(AND(N51="4H2",N53=9),LOOKUP(N84,T!$J327:$J337,T!$I327:$I337),IF(AND(N51="4H3",N53=2),LOOKUP(N84,T!$M343:$M356,T!$B343:$B356),IF(AND(N51="4H3",N53=3),LOOKUP(N84,T!$M343:$M356,T!$C343:$C356),IF(AND(N51="4H3",N53=4),LOOKUP(N84,T!$M343:$M356,T!$D343:$D356),IF(AND(N51="4H3",N53=5),LOOKUP(N84,T!$M343:$M356,T!$E343:$E356),IF(AND(N51="4H3",N53=6),LOOKUP(N84,T!$M343:$M356,T!$F343:$F356),IF(AND(N51="4H3",N53=7),LOOKUP(N84,T!$M343:$M356,T!$G343:$G356),IF(AND(N51="4H3",N53=8),LOOKUP(N84,T!$M343:$M356,T!$H343:$H356),IF(AND(N51="4H3",N53=9),LOOKUP(N84,T!$M343:$M356,T!$I343:$I356),IF(AND(N51="4H3",N53=10),LOOKUP(N84,T!$M343:$M356,T!$J343:$J356),IF(AND(N51="4H3",N53=11),LOOKUP(N84,T!$M343:$M356,T!$K343:$K356),IF(AND(N51="4H3",N53=12),LOOKUP(N84,T!$M343:$M356,T!$L343:$L356),IF(AND(N51="4H4",N53=2),LOOKUP(N84,T!$H362:$H372,T!$B362:$B367),IF(AND(N51="4H4",N53=3),LOOKUP(N84,T!$H362:$H372,T!$C362:$C372),IF(AND(N51="4H4",N53=4),LOOKUP(N84,T!$H362:$H372,T!$D362:$D367),IF(AND(N51="4H4",N53=5),LOOKUP(N84,T!$H362:$H372,T!$E362:$E372),IF(AND(N51="4H4",N53=6),LOOKUP(N84,T!$H363:$H372,T!$F363:$F367),IF(AND(N51="4H4",N53=7),LOOKUP(N84,T!$H363:$H372,T!$G363:$G372),"-"))))))))))))))))))))))))))))))))))))),IF(OR(N51="4J1",N51="4J2",N51="4J3",N51="4J4"),IF(AND(N51="4J1",N53=2),LOOKUP(N84,T!$M378:$M391,T!$B378:$B385),IF(AND(N51="4J1",N53=3),LOOKUP(N84,T!$M378:$M391,T!$C378:$C385),IF(AND(N51="4J1",N53=4),LOOKUP(N84,T!$M378:$M391,T!$D378:$D385),IF(AND(N51="4J1",N53=5),LOOKUP(N84,T!$M378:$M391,T!$E378:$E385),IF(AND(N51="4J1",N53=6),LOOKUP(N84,T!$M378:$M391,T!$F378:$F391),IF(AND(N51="4J1",N53=7),LOOKUP(N84,T!$M378:$M391,T!$G378:$G391),IF(AND(N51="4J1",N53=8),LOOKUP(N84,T!$M378:$M391,T!$H378:$H391),IF(AND(N51="4J1",N53=9),LOOKUP(N84,T!$M378:$M391,T!$I378:$I391),IF(AND(N51="4J1",N53=10),LOOKUP(N84,T!$M378:$M391,T!$J378:$J391),IF(AND(N51="4J1",N53=11),LOOKUP(N84,T!$M378:$M391,T!$K378:$K391),IF(AND(N51="4J1",N53=12),LOOKUP(N84,T!$M378:$M391,T!$L378:$L391),IF(AND(N51="4J2",N53=2),LOOKUP(N84,T!$J397:$J407,T!$B397:$B402),IF(AND(N51="4J2",N53=3),LOOKUP(N84,T!$J397:$J407,T!$C397:$C407),IF(AND(N51="4J2",N53=4),LOOKUP(N84,T!$J397:$J407,T!$D397:$D$402),IF(AND(N51="4J2",N53=5),LOOKUP(N84,T!$J397:$J407,T!$E397:$E407),IF(AND(N51="4J2",N53=6),LOOKUP(N84,T!$J397:$J407,T!$F397:$F402),IF(AND(N51="4J2",N53=7),LOOKUP(N84,T!$J397:$J407,T!$G397:$G407),IF(AND(N51="4J2",N53=8),LOOKUP(N84,T!$J397:$J407,T!$H397:$H402),IF(AND(N51="4J2",N53=9),LOOKUP(N84,T!$J397:$J407,T!$I397:$I407),IF(AND(N51="4J3",N53=2),LOOKUP(N84,T!$M413:$M426,T!$B413:$B426),IF(AND(N51="4J3",N53=3),LOOKUP(N84,T!$M413:$M426,T!$C413:$C426),IF(AND(N51="4J3",N53=4),LOOKUP(N84,T!$M413:$M426,T!$D413:$D426),IF(AND(N51="4J3",N53=5),LOOKUP(N84,T!$M413:$M426,T!$E413:$E426),IF(AND(N51="4J3",N53=6),LOOKUP(N84,T!$M413:$M426,T!$F413:$F426),IF(AND(N51="4J3",N53=7),LOOKUP(N84,T!$M413:$M426,T!$G413:$G426),IF(AND(N51="4J3",N53=8),LOOKUP(N84,T!$M413:$M426,T!$H413:$H426),IF(AND(N51="4J3",N53=9),LOOKUP(N84,T!$M413:$M426,T!$I413:$I426),IF(AND(N51="4J3",N53=10),LOOKUP(N84,T!$M413:$M426,T!$J413:$J426),IF(AND(N51="4J3",N53=11),LOOKUP(N84,T!$M413:$M426,T!$K413:$K426),IF(AND(N51="4J3",N53=12),LOOKUP(N84,T!$M413:$M426,T!$L413:$L426),IF(AND(N51="4J4",N53=2),LOOKUP(N84,T!$H432:$H442,T!$B432:$B437),IF(AND(N51="4J4",N53=3),LOOKUP(N84,T!$H432:$H442,T!$C432:$C442),IF(AND(N51="4J4",N53=4),LOOKUP(N84,T!$H432:$H442,T!$D872:$D877),IF(AND(N51="4J4",N53=5),LOOKUP(N84,T!$H432:$H442,T!$E432:$E442),IF(AND(N51="4J4",N53=6),LOOKUP(N84,T!$H432:$H442,T!$F432:$F437),IF(AND(N51="4J4",N53=7),LOOKUP(N84,T!$H432:$H442,T!$G432:$G442),"-")))))))))))))))))))))))))))))))))))),"")))</f>
        <v/>
      </c>
      <c r="O35" s="140" t="str">
        <f>IF(N35&lt;&gt;"","A","")</f>
        <v/>
      </c>
    </row>
    <row r="36" spans="1:15" s="129" customFormat="1" ht="16">
      <c r="A36" s="166"/>
      <c r="B36" s="156"/>
      <c r="C36" s="157"/>
      <c r="D36" s="157"/>
      <c r="E36" s="157"/>
      <c r="F36" s="157"/>
      <c r="G36" s="157"/>
      <c r="H36" s="157"/>
      <c r="I36" s="157"/>
      <c r="J36" s="157"/>
      <c r="K36" s="157"/>
      <c r="L36" s="157"/>
      <c r="M36" s="157"/>
      <c r="N36" s="157"/>
      <c r="O36" s="148"/>
    </row>
    <row r="37" spans="1:15" s="129" customFormat="1" ht="16">
      <c r="A37" s="166"/>
      <c r="B37" s="156" t="s">
        <v>2095</v>
      </c>
      <c r="C37" s="157"/>
      <c r="D37" s="157" t="s">
        <v>2096</v>
      </c>
      <c r="E37" s="157" t="s">
        <v>2096</v>
      </c>
      <c r="F37" s="157" t="s">
        <v>2096</v>
      </c>
      <c r="G37" s="157" t="s">
        <v>2096</v>
      </c>
      <c r="H37" s="157" t="s">
        <v>2096</v>
      </c>
      <c r="I37" s="157" t="s">
        <v>2096</v>
      </c>
      <c r="J37" s="157" t="s">
        <v>2096</v>
      </c>
      <c r="K37" s="157" t="s">
        <v>2096</v>
      </c>
      <c r="L37" s="157" t="s">
        <v>2096</v>
      </c>
      <c r="M37" s="157"/>
      <c r="N37" s="157" t="s">
        <v>2096</v>
      </c>
      <c r="O37" s="148"/>
    </row>
    <row r="38" spans="1:15" s="129" customFormat="1" ht="16">
      <c r="A38" s="156"/>
      <c r="B38" s="156"/>
      <c r="C38" s="157"/>
      <c r="D38" s="157"/>
      <c r="E38" s="157"/>
      <c r="F38" s="157"/>
      <c r="G38" s="157"/>
      <c r="H38" s="157"/>
      <c r="I38" s="157"/>
      <c r="J38" s="157"/>
      <c r="K38" s="157"/>
      <c r="L38" s="157"/>
      <c r="M38" s="157"/>
      <c r="N38" s="157"/>
      <c r="O38" s="148"/>
    </row>
    <row r="39" spans="1:15" s="129" customFormat="1" ht="16">
      <c r="A39" s="156"/>
      <c r="B39" s="156" t="s">
        <v>2097</v>
      </c>
      <c r="C39" s="157"/>
      <c r="D39" s="157">
        <f>IF((D$17*1.15)&lt;&gt;0,IF((D$17*1.15)&lt;50,50,IF((D$17*1.15)&lt;100,100,IF((D$17*1.15)&lt;160,160,IF((D$17*1.15)&lt;250,250,IF((D$17*1.15)&lt;315,315,IF((D$17*1.15)&lt;400,400,IF((D$17*1.15)&lt;500,500,IF((D$17*1.15)&lt;630,630,IF((D$17*1.15)&lt;800,800,IF((D$17*1.15)&lt;1000,1000,IF((D$17*1.15)&lt;1250,1250,IF((D$17*1.15)&lt;1500,1500,IF((D$17*1.15)&lt;2000,2000,IF((D$17*1.15)&lt;2500,2500,IF((D$17*1.15)&lt;3000,3000,IF((D$17*1.15)&lt;3500,3500,IF((D$17*1.15)&lt;4000,4000,IF((D$17*1.15)&lt;4500,4500,IF((D$17*1.15)&lt;5000,5000,""))))))))))))))))))),"")</f>
        <v>50</v>
      </c>
      <c r="E39" s="157">
        <f ca="1">IF((E$17*1.15)&lt;&gt;0,IF((E$17*1.15)&lt;50,50,IF((E$17*1.15)&lt;100,100,IF((E$17*1.15)&lt;160,160,IF((E$17*1.15)&lt;250,250,IF((E$17*1.15)&lt;315,315,IF((E$17*1.15)&lt;400,400,IF((E$17*1.15)&lt;500,500,IF((E$17*1.15)&lt;630,630,IF((E$17*1.15)&lt;800,800,IF((E$17*1.15)&lt;1000,1000,IF((E$17*1.15)&lt;1250,1250,IF((E$17*1.15)&lt;1500,1500,IF((E$17*1.15)&lt;2000,2000,IF((E$17*1.15)&lt;2500,2500,IF((E$17*1.15)&lt;3000,3000,IF((E$17*1.15)&lt;3500,3500,IF((E$17*1.15)&lt;4000,4000,IF((E$17*1.15)&lt;4500,4500,IF((E$17*1.15)&lt;5000,5000,""))))))))))))))))))),"")</f>
        <v>50</v>
      </c>
      <c r="F39" s="157">
        <f t="shared" ref="F39:M39" ca="1" si="12">IF((F$17*1.15)&lt;&gt;0,IF((F$17*1.15)&lt;50,50,IF((F$17*1.15)&lt;100,100,IF((F$17*1.15)&lt;160,160,IF((F$17*1.15)&lt;250,250,IF((F$17*1.15)&lt;315,315,IF((F$17*1.15)&lt;400,400,IF((F$17*1.15)&lt;500,500,IF((F$17*1.15)&lt;630,630,IF((F$17*1.15)&lt;800,800,IF((F$17*1.15)&lt;1000,1000,IF((F$17*1.15)&lt;1250,1250,IF((F$17*1.15)&lt;1500,1500,IF((F$17*1.15)&lt;2000,2000,IF((F$17*1.15)&lt;2500,2500,IF((F$17*1.15)&lt;3000,3000,IF((F$17*1.15)&lt;3500,3500,IF((F$17*1.15)&lt;4000,4000,IF((F$17*1.15)&lt;4500,4500,IF((F$17*1.15)&lt;5000,5000,""))))))))))))))))))),"")</f>
        <v>50</v>
      </c>
      <c r="G39" s="157">
        <f t="shared" ca="1" si="12"/>
        <v>50</v>
      </c>
      <c r="H39" s="157">
        <f t="shared" ca="1" si="12"/>
        <v>50</v>
      </c>
      <c r="I39" s="157">
        <f t="shared" si="12"/>
        <v>250</v>
      </c>
      <c r="J39" s="157">
        <f t="shared" si="12"/>
        <v>50</v>
      </c>
      <c r="K39" s="157">
        <f>IF((K$17*1.15)&lt;&gt;0,IF((K$17*1.15)&lt;50,50,IF((K$17*1.15)&lt;100,100,IF((K$17*1.15)&lt;160,160,IF((K$17*1.15)&lt;250,250,IF((K$17*1.15)&lt;315,315,IF((K$17*1.15)&lt;400,400,IF((K$17*1.15)&lt;500,500,IF((K$17*1.15)&lt;630,630,IF((K$17*1.15)&lt;800,800,IF((K$17*1.15)&lt;1000,1000,IF((K$17*1.15)&lt;1250,1250,IF((K$17*1.15)&lt;1500,1500,IF((K$17*1.15)&lt;2000,2000,IF((K$17*1.15)&lt;2500,2500,IF((K$17*1.15)&lt;3000,3000,IF((K$17*1.15)&lt;3500,3500,IF((K$17*1.15)&lt;4000,4000,IF((K$17*1.15)&lt;4500,4500,IF((K$17*1.15)&lt;5000,5000,""))))))))))))))))))),"")</f>
        <v>160</v>
      </c>
      <c r="L39" s="157">
        <f>IF((L$17*1.15)&lt;&gt;0,IF((L$17*1.15)&lt;50,50,IF((L$17*1.15)&lt;100,100,IF((L$17*1.15)&lt;160,160,IF((L$17*1.15)&lt;250,250,IF((L$17*1.15)&lt;315,315,IF((L$17*1.15)&lt;400,400,IF((L$17*1.15)&lt;500,500,IF((L$17*1.15)&lt;630,630,IF((L$17*1.15)&lt;800,800,IF((L$17*1.15)&lt;1000,1000,IF((L$17*1.15)&lt;1250,1250,IF((L$17*1.15)&lt;1500,1500,IF((L$17*1.15)&lt;2000,2000,IF((L$17*1.15)&lt;2500,2500,IF((L$17*1.15)&lt;3000,3000,IF((L$17*1.15)&lt;3500,3500,IF((L$17*1.15)&lt;4000,4000,IF((L$17*1.15)&lt;4500,4500,IF((L$17*1.15)&lt;5000,5000,""))))))))))))))))))),"")</f>
        <v>400</v>
      </c>
      <c r="M39" s="157" t="str">
        <f t="shared" si="12"/>
        <v/>
      </c>
      <c r="N39" s="167">
        <f>IF(N$17&lt;&gt;0,IF(N$17&lt;50,50,IF(N$17&lt;100,100,IF(N$17&lt;160,160,IF(N$17&lt;250,250,IF(N$17&lt;315,315,IF(N$17&lt;400,400,IF(N$17&lt;500,500,IF(N$17&lt;630,630,IF(N$17&lt;800,800,IF(N$17&lt;1000,1000,IF(N$17&lt;1250,1250,IF(N$17&lt;1500,1500,IF(N$17&lt;2000,2000,IF(N$17&lt;2500,2500,IF(N$17&lt;3000,3000,IF(N$17&lt;3500,3500,IF(N$17&lt;4000,4000,IF(N$17&lt;4500,4500,IF(N$17&lt;5000,5000,""))))))))))))))))))),"")</f>
        <v>250</v>
      </c>
      <c r="O39" s="148" t="str">
        <f>IF(N39&lt;&gt;"","kVA","")</f>
        <v>kVA</v>
      </c>
    </row>
    <row r="40" spans="1:15" s="129" customFormat="1" ht="16">
      <c r="A40" s="156"/>
      <c r="B40" s="156"/>
      <c r="C40" s="157"/>
      <c r="D40" s="157"/>
      <c r="E40" s="157"/>
      <c r="F40" s="157"/>
      <c r="G40" s="157"/>
      <c r="H40" s="157"/>
      <c r="I40" s="157"/>
      <c r="J40" s="157"/>
      <c r="K40" s="157"/>
      <c r="L40" s="157"/>
      <c r="M40" s="157"/>
      <c r="N40" s="157"/>
      <c r="O40" s="148"/>
    </row>
    <row r="41" spans="1:15" s="129" customFormat="1" ht="16">
      <c r="A41" s="156"/>
      <c r="B41" s="156" t="s">
        <v>2098</v>
      </c>
      <c r="C41" s="157"/>
      <c r="D41" s="157">
        <f>IF((D$13*1.25)&lt;&gt;0,IF((D$13*1.25)&lt;0.65,0.65,IF((D$13*1.25)&lt;0.85,0.85,IF((D$13*1.25)&lt;1,1,IF((D$13*1.25)&lt;1.2,1.2,IF((D$13*1.25)&lt;1.5,1.5,IF((D$13*1.25)&lt;2,2,IF((D$13*1.25)&lt;3,3,IF((D$13*1.25)&lt;5,5,IF((D$13*1.25)&lt;6,6,IF((D$13*1.25)&lt;8,8,IF((D$13*1.25)&lt;10,10,IF((D$13*1.25)&lt;15,15,IF((D$13*1.25)&lt;20,20,IF((D$13*1.25)&lt;25,25,IF((D$13*1.25)&lt;30,30,IF((D$13*1.25)&lt;40,40,IF((D$13*1.25)&lt;50,50,IF((D$13*1.25)&lt;60,60,IF((D$13*1.25)&lt;80,80,IF((D$13*1.25)&lt;100,100,IF((D$13*1.25)&lt;120,120,IF((D$13*1.25)&lt;150,150,IF((D$13*1.25)&lt;200,200,IF((D$13*1.25)&lt;250,250,IF((D$13*1.25)&lt;300,300,IF((D$13*1.25)&lt;350,350,IF((D$13*1.25)&lt;400,400,IF((D$13*1.25)&lt;500,500,IF((D$13*1.25)&lt;600,600,IF((D$13*1.25)&lt;700,700,IF((D$13*1.25)&lt;800,800,IF((D$13*1.25)&lt;900,900,IF((D$13*1.25)&lt;1000,1000,IF((D$13*1.25)&lt;1200,1200,IF((D$13*1.25)&lt;1400,1400,IF((D$13*1.25)&lt;1500,1500,IF((D$13*1.25)&lt;1800,1800,IF((D$13*1.25)&lt;2000,2000,IF((D$13*1.25)&lt;2500,2500,IF((D$13*1.25)&lt;3000,3000,"")))))))))))))))))))))))))))))))))))))))),"")</f>
        <v>8</v>
      </c>
      <c r="E41" s="157">
        <f ca="1">IF((E$13*1.25)&lt;&gt;0,IF((E$13*1.25)&lt;0.65,0.65,IF((E$13*1.25)&lt;0.85,0.85,IF((E$13*1.25)&lt;1,1,IF((E$13*1.25)&lt;1.2,1.2,IF((E$13*1.25)&lt;1.5,1.5,IF((E$13*1.25)&lt;2,2,IF((E$13*1.25)&lt;3,3,IF((E$13*1.25)&lt;5,5,IF((E$13*1.25)&lt;6,6,IF((E$13*1.25)&lt;8,8,IF((E$13*1.25)&lt;10,10,IF((E$13*1.25)&lt;15,15,IF((E$13*1.25)&lt;20,20,IF((E$13*1.25)&lt;25,25,IF((E$13*1.25)&lt;30,30,IF((E$13*1.25)&lt;40,40,IF((E$13*1.25)&lt;50,50,IF((E$13*1.25)&lt;60,60,IF((E$13*1.25)&lt;80,80,IF((E$13*1.25)&lt;100,100,IF((E$13*1.25)&lt;120,120,IF((E$13*1.25)&lt;150,150,IF((E$13*1.25)&lt;200,200,IF((E$13*1.25)&lt;250,250,IF((E$13*1.25)&lt;300,300,IF((E$13*1.25)&lt;350,350,IF((E$13*1.25)&lt;400,400,IF((E$13*1.25)&lt;500,500,IF((E$13*1.25)&lt;600,600,IF((E$13*1.25)&lt;700,700,IF((E$13*1.25)&lt;800,800,IF((E$13*1.25)&lt;900,900,IF((E$13*1.25)&lt;1000,1000,IF((E$13*1.25)&lt;1200,1200,IF((E$13*1.25)&lt;1400,1400,IF((E$13*1.25)&lt;1500,1500,IF((E$13*1.25)&lt;1800,1800,IF((E$13*1.25)&lt;2000,2000,IF((E$13*1.25)&lt;2500,2500,IF((E$13*1.25)&lt;3000,3000,"")))))))))))))))))))))))))))))))))))))))),"")</f>
        <v>8</v>
      </c>
      <c r="F41" s="157">
        <f t="shared" ref="F41:M41" ca="1" si="13">IF((F$13*1.25)&lt;&gt;0,IF((F$13*1.25)&lt;0.65,0.65,IF((F$13*1.25)&lt;0.85,0.85,IF((F$13*1.25)&lt;1,1,IF((F$13*1.25)&lt;1.2,1.2,IF((F$13*1.25)&lt;1.5,1.5,IF((F$13*1.25)&lt;2,2,IF((F$13*1.25)&lt;3,3,IF((F$13*1.25)&lt;5,5,IF((F$13*1.25)&lt;6,6,IF((F$13*1.25)&lt;8,8,IF((F$13*1.25)&lt;10,10,IF((F$13*1.25)&lt;15,15,IF((F$13*1.25)&lt;20,20,IF((F$13*1.25)&lt;25,25,IF((F$13*1.25)&lt;30,30,IF((F$13*1.25)&lt;40,40,IF((F$13*1.25)&lt;50,50,IF((F$13*1.25)&lt;60,60,IF((F$13*1.25)&lt;80,80,IF((F$13*1.25)&lt;100,100,IF((F$13*1.25)&lt;120,120,IF((F$13*1.25)&lt;150,150,IF((F$13*1.25)&lt;200,200,IF((F$13*1.25)&lt;250,250,IF((F$13*1.25)&lt;300,300,IF((F$13*1.25)&lt;350,350,IF((F$13*1.25)&lt;400,400,IF((F$13*1.25)&lt;500,500,IF((F$13*1.25)&lt;600,600,IF((F$13*1.25)&lt;700,700,IF((F$13*1.25)&lt;800,800,IF((F$13*1.25)&lt;900,900,IF((F$13*1.25)&lt;1000,1000,IF((F$13*1.25)&lt;1200,1200,IF((F$13*1.25)&lt;1400,1400,IF((F$13*1.25)&lt;1500,1500,IF((F$13*1.25)&lt;1800,1800,IF((F$13*1.25)&lt;2000,2000,IF((F$13*1.25)&lt;2500,2500,IF((F$13*1.25)&lt;3000,3000,"")))))))))))))))))))))))))))))))))))))))),"")</f>
        <v>8</v>
      </c>
      <c r="G41" s="157">
        <f t="shared" ca="1" si="13"/>
        <v>8</v>
      </c>
      <c r="H41" s="157">
        <f t="shared" ca="1" si="13"/>
        <v>8</v>
      </c>
      <c r="I41" s="157">
        <f t="shared" si="13"/>
        <v>300</v>
      </c>
      <c r="J41" s="157">
        <f t="shared" si="13"/>
        <v>8</v>
      </c>
      <c r="K41" s="157">
        <f>IF((K$13*1.25)&lt;&gt;0,IF((K$13*1.25)&lt;0.65,0.65,IF((K$13*1.25)&lt;0.85,0.85,IF((K$13*1.25)&lt;1,1,IF((K$13*1.25)&lt;1.2,1.2,IF((K$13*1.25)&lt;1.5,1.5,IF((K$13*1.25)&lt;2,2,IF((K$13*1.25)&lt;3,3,IF((K$13*1.25)&lt;5,5,IF((K$13*1.25)&lt;6,6,IF((K$13*1.25)&lt;8,8,IF((K$13*1.25)&lt;10,10,IF((K$13*1.25)&lt;15,15,IF((K$13*1.25)&lt;20,20,IF((K$13*1.25)&lt;25,25,IF((K$13*1.25)&lt;30,30,IF((K$13*1.25)&lt;40,40,IF((K$13*1.25)&lt;50,50,IF((K$13*1.25)&lt;60,60,IF((K$13*1.25)&lt;80,80,IF((K$13*1.25)&lt;100,100,IF((K$13*1.25)&lt;120,120,IF((K$13*1.25)&lt;150,150,IF((K$13*1.25)&lt;200,200,IF((K$13*1.25)&lt;250,250,IF((K$13*1.25)&lt;300,300,IF((K$13*1.25)&lt;350,350,IF((K$13*1.25)&lt;400,400,IF((K$13*1.25)&lt;500,500,IF((K$13*1.25)&lt;600,600,IF((K$13*1.25)&lt;700,700,IF((K$13*1.25)&lt;800,800,IF((K$13*1.25)&lt;900,900,IF((K$13*1.25)&lt;1000,1000,IF((K$13*1.25)&lt;1200,1200,IF((K$13*1.25)&lt;1400,1400,IF((K$13*1.25)&lt;1500,1500,IF((K$13*1.25)&lt;1800,1800,IF((K$13*1.25)&lt;2000,2000,IF((K$13*1.25)&lt;2500,2500,IF((K$13*1.25)&lt;3000,3000,"")))))))))))))))))))))))))))))))))))))))),"")</f>
        <v>200</v>
      </c>
      <c r="L41" s="157">
        <f>IF((L$13*1.25)&lt;&gt;0,IF((L$13*1.25)&lt;0.65,0.65,IF((L$13*1.25)&lt;0.85,0.85,IF((L$13*1.25)&lt;1,1,IF((L$13*1.25)&lt;1.2,1.2,IF((L$13*1.25)&lt;1.5,1.5,IF((L$13*1.25)&lt;2,2,IF((L$13*1.25)&lt;3,3,IF((L$13*1.25)&lt;5,5,IF((L$13*1.25)&lt;6,6,IF((L$13*1.25)&lt;8,8,IF((L$13*1.25)&lt;10,10,IF((L$13*1.25)&lt;15,15,IF((L$13*1.25)&lt;20,20,IF((L$13*1.25)&lt;25,25,IF((L$13*1.25)&lt;30,30,IF((L$13*1.25)&lt;40,40,IF((L$13*1.25)&lt;50,50,IF((L$13*1.25)&lt;60,60,IF((L$13*1.25)&lt;80,80,IF((L$13*1.25)&lt;100,100,IF((L$13*1.25)&lt;120,120,IF((L$13*1.25)&lt;150,150,IF((L$13*1.25)&lt;200,200,IF((L$13*1.25)&lt;250,250,IF((L$13*1.25)&lt;300,300,IF((L$13*1.25)&lt;350,350,IF((L$13*1.25)&lt;400,400,IF((L$13*1.25)&lt;500,500,IF((L$13*1.25)&lt;600,600,IF((L$13*1.25)&lt;700,700,IF((L$13*1.25)&lt;800,800,IF((L$13*1.25)&lt;900,900,IF((L$13*1.25)&lt;1000,1000,IF((L$13*1.25)&lt;1200,1200,IF((L$13*1.25)&lt;1400,1400,IF((L$13*1.25)&lt;1500,1500,IF((L$13*1.25)&lt;1800,1800,IF((L$13*1.25)&lt;2000,2000,IF((L$13*1.25)&lt;2500,2500,IF((L$13*1.25)&lt;3000,3000,"")))))))))))))))))))))))))))))))))))))))),"")</f>
        <v>400</v>
      </c>
      <c r="M41" s="157" t="str">
        <f t="shared" si="13"/>
        <v/>
      </c>
      <c r="N41" s="167">
        <f>IF(N$17&lt;&gt;0,IF(N$17&lt;0.65,0.65,IF(N$17&lt;0.85,0.85,IF(N$17&lt;1,1,IF(N$17&lt;1.2,1.2,IF(N$17&lt;1.5,1.5,IF(N$17&lt;2,2,IF(N$17&lt;3,3,IF(N$17&lt;5,5,IF(N$17&lt;6,6,IF(N$17&lt;8,8,IF(N$17&lt;10,10,IF(N$17&lt;15,15,IF(N$17&lt;20,20,IF(N$17&lt;25,25,IF(N$17&lt;30,30,IF(N$17&lt;40,40,IF(N$17&lt;50,50,IF(N$17&lt;60,60,IF(N$17&lt;80,80,IF(N$17&lt;100,100,IF(N$17&lt;120,120,IF(N$17&lt;150,150,IF(N$17&lt;200,200,IF(N$17&lt;250,250,IF(N$17&lt;300,300,IF(N$17&lt;350,350,IF(N$17&lt;400,400,IF(N$17&lt;500,500,IF(N$17&lt;600,600,IF(N$17&lt;700,700,IF(N$17&lt;800,800,IF(N$17&lt;900,900,IF(N$17&lt;1000,1000,IF(N$17&lt;1200,1200,IF(N$17&lt;1400,1400,IF(N$17&lt;1500,1500,IF(N$17&lt;1800,1800,IF(N$17&lt;2000,2000,IF(N$17&lt;2500,2500,IF(N$17&lt;3000,3000,"")))))))))))))))))))))))))))))))))))))))),"")</f>
        <v>250</v>
      </c>
      <c r="O41" s="148" t="str">
        <f>IF(N41&lt;&gt;"","kVA","")</f>
        <v>kVA</v>
      </c>
    </row>
    <row r="42" spans="1:15" s="129" customFormat="1" ht="16">
      <c r="A42" s="156"/>
      <c r="B42" s="156"/>
      <c r="C42" s="157"/>
      <c r="D42" s="157"/>
      <c r="E42" s="157"/>
      <c r="F42" s="157"/>
      <c r="G42" s="157"/>
      <c r="H42" s="157"/>
      <c r="I42" s="157"/>
      <c r="J42" s="157"/>
      <c r="K42" s="157"/>
      <c r="L42" s="157"/>
      <c r="M42" s="157"/>
      <c r="N42" s="157"/>
      <c r="O42" s="148"/>
    </row>
    <row r="43" spans="1:15" s="129" customFormat="1" ht="16">
      <c r="A43" s="166"/>
      <c r="B43" s="156" t="s">
        <v>2099</v>
      </c>
      <c r="C43" s="157"/>
      <c r="D43" s="157">
        <f t="shared" ref="D43:J43" si="14">IF(D29="","",IF(D94&lt;&gt;0,IF(D45&lt;=16,D45,IF(AND(D45&gt;=16,D45&lt;=35),16,IF(D45&lt;=50,25,IF(D45&lt;=70,35,IF(D45&lt;=95,50,IF(D45&lt;=120,70,IF(D45&lt;=150,95,IF(D45&lt;=185,95,IF(D45&lt;=240,120,IF(D45&lt;=300,150,IF(D45&lt;=400,240,IF(D45&lt;=500,300,IF(D45&lt;=630,400,IF(D45&lt;=1000,500,IF(D45&lt;=2000,1000))))))))))))))),IF(D98&lt;&gt;0,IF(D45&lt;=16,D45,IF(AND(D45&gt;=16,D45&lt;=35),16,IF(D45&lt;=50,25,IF(D45&lt;=70,35,IF(D45&lt;=95,50,IF(D45&lt;=120,70,IF(D45&lt;=150,95,IF(D45&lt;=185,95,IF(D45&lt;=240,120,IF(D45&lt;=300,150,IF(D45&lt;=380,240,IF(D45&lt;=480,240,IF(D45&lt;=600,300,IF(D45&lt;=740,380,IF(D45&lt;=960,480,IF(D45&lt;=1200,600,"")))))))))))))))),"")))</f>
        <v>4</v>
      </c>
      <c r="E43" s="157">
        <f t="shared" ca="1" si="14"/>
        <v>4</v>
      </c>
      <c r="F43" s="157">
        <f t="shared" ca="1" si="14"/>
        <v>6</v>
      </c>
      <c r="G43" s="157">
        <f t="shared" ca="1" si="14"/>
        <v>10</v>
      </c>
      <c r="H43" s="157">
        <f ca="1">IF(H29="","",IF(H94&lt;&gt;0,IF(H45&lt;=16,H45,IF(AND(H45&gt;=16,H45&lt;=35),16,IF(H45&lt;=50,25,IF(H45&lt;=70,35,IF(H45&lt;=95,50,IF(H45&lt;=120,70,IF(H45&lt;=150,95,IF(H45&lt;=185,95,IF(H45&lt;=240,120,IF(H45&lt;=300,150,IF(H45&lt;=400,240,IF(H45&lt;=500,300,IF(H45&lt;=630,400,IF(H45&lt;=1000,500,IF(H45&lt;=2000,1000))))))))))))))),IF(H98&lt;&gt;0,IF(H45&lt;=16,H45,IF(AND(H45&gt;=16,H45&lt;=35),16,IF(H45&lt;=50,25,IF(H45&lt;=70,35,IF(H45&lt;=95,50,IF(H45&lt;=120,70,IF(H45&lt;=150,95,IF(H45&lt;=185,95,IF(H45&lt;=240,120,IF(H45&lt;=300,150,IF(H45&lt;=380,240,IF(H45&lt;=480,240,IF(H45&lt;=600,300,IF(H45&lt;=740,380,IF(H45&lt;=960,480,IF(H45&lt;=1200,600,"")))))))))))))))),"")))</f>
        <v>16</v>
      </c>
      <c r="I43" s="157" t="str">
        <f t="shared" si="14"/>
        <v/>
      </c>
      <c r="J43" s="157">
        <f t="shared" si="14"/>
        <v>4</v>
      </c>
      <c r="K43" s="157">
        <f>IF(K29="","",IF(K94&lt;&gt;0,IF(K45&lt;=16,K45,IF(AND(K45&gt;=16,K45&lt;=35),16,IF(K45&lt;=50,25,IF(K45&lt;=70,35,IF(K45&lt;=95,50,IF(K45&lt;=120,70,IF(K45&lt;=150,95,IF(K45&lt;=185,95,IF(K45&lt;=240,120,IF(K45&lt;=300,150,IF(K45&lt;=400,240,IF(K45&lt;=500,300,IF(K45&lt;=630,400,IF(K45&lt;=1000,500,IF(K45&lt;=2000,1000))))))))))))))),IF(K98&lt;&gt;0,IF(K45&lt;=16,K45,IF(AND(K45&gt;=16,K45&lt;=35),16,IF(K45&lt;=50,25,IF(K45&lt;=70,35,IF(K45&lt;=95,50,IF(K45&lt;=120,70,IF(K45&lt;=150,95,IF(K45&lt;=185,95,IF(K45&lt;=240,120,IF(K45&lt;=300,150,IF(K45&lt;=380,240,IF(K45&lt;=480,240,IF(K45&lt;=600,300,IF(K45&lt;=740,380,IF(K45&lt;=960,480,IF(K45&lt;=1200,600,"")))))))))))))))),"")))</f>
        <v>4</v>
      </c>
      <c r="L43" s="157">
        <f>IF(L29="","",IF(L94&lt;&gt;0,IF(L45&lt;=16,L45,IF(AND(L45&gt;=16,L45&lt;=35),16,IF(L45&lt;=50,25,IF(L45&lt;=70,35,IF(L45&lt;=95,50,IF(L45&lt;=120,70,IF(L45&lt;=150,95,IF(L45&lt;=185,95,IF(L45&lt;=240,120,IF(L45&lt;=300,150,IF(L45&lt;=400,240,IF(L45&lt;=500,300,IF(L45&lt;=630,400,IF(L45&lt;=1000,500,IF(L45&lt;=2000,1000))))))))))))))),IF(L98&lt;&gt;0,IF(L45&lt;=16,L45,IF(AND(L45&gt;=16,L45&lt;=35),16,IF(L45&lt;=50,25,IF(L45&lt;=70,35,IF(L45&lt;=95,50,IF(L45&lt;=120,70,IF(L45&lt;=150,95,IF(L45&lt;=185,95,IF(L45&lt;=240,120,IF(L45&lt;=300,150,IF(L45&lt;=380,240,IF(L45&lt;=480,240,IF(L45&lt;=600,300,IF(L45&lt;=740,380,IF(L45&lt;=960,480,IF(L45&lt;=1200,600,"")))))))))))))))),"")))</f>
        <v>6</v>
      </c>
      <c r="M43" s="157" t="str">
        <f>IF(M29="","",IF(M94&lt;&gt;0,IF(M45&lt;=16,M45,IF(AND(M45&gt;=16,M45&lt;=35),16,IF(M45&lt;=50,25,IF(M45&lt;=70,35,IF(M45&lt;=95,50,IF(M45&lt;=120,70,IF(M45&lt;=150,95,IF(M45&lt;=185,95,IF(M45&lt;=240,120,IF(M45&lt;=300,150,IF(M45&lt;=400,240,IF(M45&lt;=500,300,IF(M45&lt;=630,400,IF(M45&lt;=1000,500,IF(M45&lt;=2000,1000))))))))))))))),IF(M98&lt;&gt;0,IF(M45&lt;=16,M45,IF(AND(M45&gt;=16,M45&lt;=35),16,IF(M45&lt;=50,25,IF(M45&lt;=70,35,IF(M45&lt;=95,50,IF(M45&lt;=120,70,IF(M45&lt;=150,95,IF(M45&lt;=185,95,IF(M45&lt;=240,120,IF(M45&lt;=300,150,IF(M45&lt;=380,240,IF(M45&lt;=480,240,IF(M45&lt;=600,300,IF(M45&lt;=740,380,IF(M45&lt;=960,480,IF(M45&lt;=1200,600,"")))))))))))))))),"")))</f>
        <v/>
      </c>
      <c r="N43" s="157">
        <f>IF(N29="","",IF(N94&lt;&gt;0,IF(N45&lt;=16,N45,IF(AND(N45&gt;=16,N45&lt;=35),16,IF(N45&lt;=50,25,IF(N45&lt;=70,35,IF(N45&lt;=95,50,IF(N45&lt;=120,70,IF(N45&lt;=150,95,IF(N45&lt;=185,95,IF(N45&lt;=240,120,IF(N45&lt;=300,150,IF(N45&lt;=400,240,IF(N45&lt;=500,300,IF(N45&lt;=630,400,IF(N45&lt;=1000,500,IF(N45&lt;=2000,1000))))))))))))))),IF(N98&lt;&gt;0,IF(N45&lt;=16,N45,IF(AND(N45&gt;=16,N45&lt;=35),16,IF(N45&lt;=50,25,IF(N45&lt;=70,35,IF(N45&lt;=95,50,IF(N45&lt;=120,70,IF(N45&lt;=150,95,IF(N45&lt;=185,95,IF(N45&lt;=240,120,IF(N45&lt;=300,150,IF(N45&lt;=380,240,IF(N45&lt;=480,240,IF(N45&lt;=600,300,IF(N45&lt;=740,380,IF(N45&lt;=960,480,IF(N45&lt;=1200,600,"")))))))))))))))),"")))</f>
        <v>70</v>
      </c>
      <c r="O43" s="148" t="str">
        <f>IF(L43&lt;&gt;"","mm²","")</f>
        <v>mm²</v>
      </c>
    </row>
    <row r="44" spans="1:15" s="129" customFormat="1" ht="16">
      <c r="A44" s="156"/>
      <c r="B44" s="156"/>
      <c r="C44" s="157"/>
      <c r="D44" s="157"/>
      <c r="E44" s="157"/>
      <c r="F44" s="157"/>
      <c r="G44" s="157"/>
      <c r="H44" s="157"/>
      <c r="I44" s="157"/>
      <c r="J44" s="157"/>
      <c r="K44" s="157"/>
      <c r="L44" s="157"/>
      <c r="M44" s="157"/>
      <c r="N44" s="157"/>
      <c r="O44" s="148"/>
    </row>
    <row r="45" spans="1:15" s="129" customFormat="1" ht="16">
      <c r="A45" s="134"/>
      <c r="B45" s="132" t="s">
        <v>2100</v>
      </c>
      <c r="C45" s="134"/>
      <c r="D45" s="134">
        <f>IF(COUNT(D78:D79)&gt;=1,D84,IF(COUNT(D80)&gt;=1,D83,""))</f>
        <v>4</v>
      </c>
      <c r="E45" s="134">
        <f ca="1">IF(COUNT(E78:E79)&gt;=1,E84,IF(COUNT(E80)&gt;=1,E83,""))</f>
        <v>4</v>
      </c>
      <c r="F45" s="134">
        <f t="shared" ref="F45:M45" ca="1" si="15">IF(COUNT(F78:F79)&gt;=1,F84,IF(COUNT(F80)&gt;=1,F83,""))</f>
        <v>6</v>
      </c>
      <c r="G45" s="134">
        <f t="shared" ca="1" si="15"/>
        <v>10</v>
      </c>
      <c r="H45" s="134">
        <f ca="1">IF(COUNT(H78:H79)&gt;=1,H84,IF(COUNT(H80)&gt;=1,H83,""))</f>
        <v>16</v>
      </c>
      <c r="I45" s="134">
        <f t="shared" si="15"/>
        <v>25</v>
      </c>
      <c r="J45" s="134">
        <f t="shared" si="15"/>
        <v>4</v>
      </c>
      <c r="K45" s="134">
        <f>IF(COUNT(K78:K79)&gt;=1,K84,IF(COUNT(K80)&gt;=1,K83,""))</f>
        <v>4</v>
      </c>
      <c r="L45" s="134">
        <f>IF(COUNT(L78:L79)&gt;=1,L84,IF(COUNT(L80)&gt;=1,L83,""))</f>
        <v>6</v>
      </c>
      <c r="M45" s="134" t="str">
        <f t="shared" si="15"/>
        <v/>
      </c>
      <c r="N45" s="169">
        <f>IF(COUNT(N78:N79)&gt;=1,N84,IF(COUNT(N80)&gt;=1,N83,""))</f>
        <v>120</v>
      </c>
      <c r="O45" s="133" t="str">
        <f>IF(L45&lt;&gt;"","mm²","")</f>
        <v>mm²</v>
      </c>
    </row>
    <row r="46" spans="1:15" s="129" customFormat="1" ht="18.75" customHeight="1">
      <c r="A46" s="170"/>
      <c r="B46" s="156"/>
      <c r="C46" s="157"/>
      <c r="D46" s="157"/>
      <c r="E46" s="157"/>
      <c r="F46" s="157"/>
      <c r="G46" s="157"/>
      <c r="H46" s="157"/>
      <c r="I46" s="157"/>
      <c r="J46" s="157"/>
      <c r="K46" s="157"/>
      <c r="L46" s="157"/>
      <c r="M46" s="157"/>
      <c r="N46" s="157"/>
      <c r="O46" s="148"/>
    </row>
    <row r="47" spans="1:15" s="173" customFormat="1" ht="193.5" customHeight="1">
      <c r="A47" s="171" t="s">
        <v>2101</v>
      </c>
      <c r="B47" s="172" t="s">
        <v>2102</v>
      </c>
      <c r="C47" s="161"/>
      <c r="D47" s="161" t="str">
        <f t="shared" ref="D47:M47" si="16">IF(D27="","",IF(AND(OR(ISNUMBER(SEARCH("4D",D51)),ISNUMBER(SEARCH("4E",D51)),ISNUMBER(SEARCH("4F",D51)),ISNUMBER(SEARCH("4G",D51))),D45&lt;&gt;""),ROUNDUP(D29/MAX(D33:D35),0)&amp;"No.   ","")&amp;IF(OR(D51="4D1",D51="4D2",D51="4D3",D51="4D4",D51="4D5"),IF(AND(D51="4D1",D53&gt;1,D53&lt;13),"Single Core, Non-Armour, ",IF(AND(D51="4D2",D53&gt;1,D53&lt;10),"Multi Core, Thermo-plastic Sheath, Non-Armour, ",IF(AND(D51="4D3",D53&gt;1,D53&lt;13),"Single Core, Armour, ",IF(AND(D51="4D4",D53&gt;1,D53&lt;8),"Multi Core, Armour, ",IF(AND(D51="4D5",D53&gt;1,D53&lt;8),"Sheath, Flat, Protective Conductor, ","")))))&amp;IF(AND(OR(D51="4D1"),D53=2),"Ref A, 2_Cables",IF(AND(OR(D51="4D1"),D53=3),"Ref_A,   3 or 4 Cables",IF(AND(OR(D51="4D1"),D53=4),"Ref B, 2_Cables",IF(AND(OR(D51="4D1"),D53=5),"Ref_B,    3 or 4 Cables",IF(AND(OR(D51="4D1"),D53=6),"Ref C, 2_Cables Touching Flat",IF(AND(OR(D51="4D1"),D53=7),"Ref_C,   3 or 4 Cables, Touching",IF(AND(OR(D51="4D1"),D53=8),"Ref F, 2_Cables Touching Flat",IF(AND(OR(D51="4D1"),D53=9),"Ref_F,   3_Cables Touching Flat",IF(AND(OR(D51="4D1"),D53=10),"Ref_F,   3_Cables Touching Trefoil",IF(AND(OR(D51="4D1"),D53=11),"Ref_F,     2 or 3 Cables Spaced Flat Horizontal",IF(AND(OR(D51="4D1"),D53=12),"Ref_F,    2 or 3 Cables Spaced Flat Vertical",IF(AND(OR(D51="4D2"),D53=2),"Ref A, 2_Cables",IF(AND(OR(D51="4D2"),D53=3),"Ref_A,   3 or 4 Cables",IF(AND(OR(D51="4D2"),D53=4),"Ref B, 2_Cables",IF(AND(OR(D51="4D2"),D53=5),"Ref_B,    3 or 4 Cables",IF(AND(OR(D51="4D2"),D53=6),"Ref C, 2_Cables",IF(AND(OR(D51="4D2"),D53=7),"Ref_C,   3 or 4 Cables",IF(AND(OR(D51="4D2"),D53=8),"Ref E, 2_Cables",IF(AND(OR(D51="4D2"),D53=9),"Ref_E,    3 or 4 Cables",IF(AND(OR(D51="4D3"),D53=2),"Ref C, 2_Cables Touching Flat",IF(AND(OR(D51="4D3"),D53=3),"Ref_C,   3 or 4 Cables Touching Flat",IF(AND(OR(D51="4D3"),D53=4),"Ref F, 2_Cables Touching Flat",IF(AND(OR(D51="4D3"),D53=5),"Ref_F,    3 or 4 Cables Touching Flat",IF(AND(OR(D51="4D3"),D53=6),"Ref F, 2_Cables Touching Trefoil",IF(AND(OR(D51="4D3"),D53=7),"Ref_F, 2_Cables, Spaced Horizontal DC",IF(AND(OR(D51="4D3"),D53=8),"Ref F, 2_Cables  Spaced Vertical DC",IF(AND(OR(D51="4D3"),D53=9),"Ref_F, 2_Cables, Spaced Horizontal AC",IF(AND(OR(D51="4D3"),D53=10),"Ref_F, 2_Cables, Spaced Vertical DC",IF(AND(OR(D51="4D3"),D53=11),"Ref_F,    3 or 4 Cables Spaced Horizontal",IF(AND(OR(D51="4D3"),D53=12),"Ref_F,    3 or 4 Cables Spaced Vertical",IF(AND(OR(D51="4D4"),D53=2),"Ref C, 2_Cables",IF(AND(OR(D51="4D4"),D53=3),"Ref_C,   3 or 4 Cables",IF(AND(OR(D51="4D4"),D53=4),"Ref E, 2_Cables",IF(AND(OR(D51="4D4"),D53=5),"Ref_E,    3 or 4 Cables",IF(AND(OR(D51="4D4"),D53=6),"Ref D, 2_Cables",IF(AND(OR(D51="4D4"),D53=7),"Ref_D,   3 or 4 Cables",IF(AND(OR(D51="4D5"),D53=2),"Method 100",IF(AND(OR(D51="4D5"),D53=3),"Method 101",IF(AND(OR(D51="4D5"),D53=4),"Method 102",IF(AND(OR(D51="4D5"),D53=5),"Method 103",IF(AND(OR(D51="4D5"),D53=6),"Ref C",IF(AND(OR(D51="4D5"),D53=7),"Ref_A","")))))))))))))))))))))))))))))))))))))))))),IF(OR(D51="4E1",D51="4E2",D51="4E3",D51="4E4"),IF(AND(D51="4E1",D53&gt;1,D53&lt;13),"Single Core, Non-Armour ",IF(AND(D51="4E2",D53&gt;1,D53&lt;10),"Multi Core, Thermo-plastic Sheath, Non-Armour ",IF(AND(D51="4E3",D53&gt;1,D53&lt;13),"Single Core, Armour ",IF(AND(D51="4E4",D53&gt;1,D53&lt;8),"Multi Core, Armour ",""))))&amp;IF(AND(OR(D51="4E1"),D53=2),"Ref A, 2_Cables",IF(AND(OR(D51="4E1"),D53=3),"Ref_A,   3 or 4 Cables",IF(AND(OR(D51="4E1"),D53=4),"Ref B, 2_Cables",IF(AND(OR(D51="4E1"),D53=5),"Ref_B,    3 or 4 Cables",IF(AND(OR(D51="4E1"),D53=6),"Ref C, 2_Cables Touching Flat",IF(AND(OR(D51="4E1"),D53=7),"Ref_C,   3 or 4 Cables, Touching",IF(AND(OR(D51="4E1"),D53=8),"Ref F, 2_Cables Touching Flat",IF(AND(OR(D51="4E1"),D53=9),"Ref_F,   3_Cables Touching Flat",IF(AND(OR(D51="4E1"),D53=10),"Ref_F,   3_Cables Touching Trefoil",IF(AND(OR(D51="4E1"),D53=11),"Ref_F,     2 or 3 Cables Spaced Flat Horizontal",IF(AND(OR(D51="4E1"),D53=12),"Ref_F,    2 or 3 Cables Spaced Flat Vertical",IF(AND(OR(D51="4E2"),D53=2),"Ref A, 2_Cables",IF(AND(OR(D51="4E2"),D53=3),"Ref_A,   3 or 4 Cables",IF(AND(OR(D51="4E2"),D53=4),"Ref B, 2_Cables",IF(AND(OR(D51="4E2"),D53=5),"Ref_B,    3 or 4 Cables",IF(AND(OR(D51="4E2"),D53=6),"Ref C, 2_Cables",IF(AND(OR(D51="4E2"),D53=7),"Ref_C,   3 or 4 Cables",IF(AND(OR(D51="4E2"),D53=8),"Ref E, 2_Cables",IF(AND(OR(D51="4E2"),D53=9),"Ref_E,    3 or 4 Cables",IF(AND(OR(D51="4E3"),D53=2),"Ref C, 2_Cables Touching Flat",IF(AND(OR(D51="4E3"),D53=3),"Ref_C,   3 or 4 Cables Touching Flat",IF(AND(OR(D51="4E3"),D53=4),"Ref F, 2_Cables Touching Flat",IF(AND(OR(D51="4E3"),D53=5),"Ref_F,     3 or 4 Cables Touching Flat",IF(AND(OR(D51="4E3"),D53=6),"Ref F, 2_Cables Touching Trefoil",IF(AND(OR(D51="4E3"),D53=7),"Ref_F, 2_Cables, Spaced Horizontal DC",IF(AND(OR(D51="4E3"),D53=8),"Ref F, 2_Cables  Spaced Vertical DC",IF(AND(OR(D51="4E3"),D53=9),"Ref_F, 2_Cables, Spaced Horizontal AC",IF(AND(OR(D51="4E3"),D53=10),"Ref_F, 2_Cables, Spaced Vertical DC",IF(AND(OR(D51="4E3"),D53=11),"Ref_F,    3 or 4 Cables Spaced Horizontal",IF(AND(OR(D51="4E3"),D53=12),"Ref_F,    3 or 4 Cables Spaced Vertical",IF(AND(OR(D51="4E4"),D53=2),"Ref C, 2_Cables",IF(AND(OR(D51="4E4"),D53=3),"Ref_C,   3 or 4 Cables",IF(AND(OR(D51="4E4"),D53=4),"Ref E, 2_Cables",IF(AND(OR(D51="4E4"),D53=5),"Ref_E,    3 or 4 Cables",IF(AND(OR(D51="4E4"),D53=6),"Ref D, 2_Cables",IF(AND(OR(D51="4E4"),D53=7),"Ref_D,   3 or 4 Cables","")))))))))))))))))))))))))))))))))))),IF(OR(D51="4F1",D51="4F2",D51="4F3"),IF(AND(D51="4F1",D53&gt;1,D53&lt;5),"60 Deg, Thermo-setting Insulated, Sheathed, Non-Armour, Flexible, ",IF(AND(D51="4F2",D53&gt;1,D53&lt;5),"90/180 Deg, Thermo-setting Insulated, Sheathed, Non-Armour, ",IF(AND(D51="4F3",D53&gt;1,D53&lt;5),"Non-Armour, ","")))&amp;IF(AND(OR(D51="4F1"),D53=2),"Multi-Core, 2_Cables",IF(AND(OR(D51="4F1"),D53=3),"Multi-Core, 3/4/5 Cables",IF(AND(OR(D51="4F1"),D53=4),"Single-Core, 2_Cables, Touching",IF(AND(OR(D51="4F2"),D53=2),"Multi-Core, 2_Cables",IF(AND(OR(D51="4F2"),D53=3),"Multi-Core, 3/4/5 Cables",IF(AND(OR(D51="4F2"),D53=4),"Single-Core, 2_Cables, Touching",IF(AND(OR(D51="4F3"),D53=2),"1_Phase",IF(AND(OR(D51="4F3"),D53=3),"3_Phase","")))))))),IF(OR(D51="4G1",D51="4G2"),IF(AND(D51="4G1",D53&gt;1,D53&lt;10),"Mineral Insulated, Sheath, Thermo-plastic Cover,   or Bare &amp; Exposed to touch , ",IF(AND(D51="4G2",D53&gt;1,D53&lt;10),"Bare, Not Exposed to touch, No Contact with Combus-tible Material, ",""))&amp;IF(AND(OR(D51="4G1"),D53=2),"Ref C,    2 Single Core Touching, or 1 Two Core",IF(AND(OR(D51="4G1"),D53=3),"Ref_C,    3 Single Core Trefoil, or   3 or 4 Multi Core",IF(AND(OR(D51="4G1"),D53=4),"Ref C,    3 Single Core, Touching, Flat",IF(AND(OR(D51="4G1"),D53=5),"Ref E/F/G,    2 Single Core Touching, or 1 Two Core",IF(AND(OR(D51="4G1"),D53=6),"Ref E/F/G,     3 Single Core Trefoil, or   3 or 4 Multi Core",IF(AND(OR(D51="4G1"),D53=7),"Ref E/F/G,    3 Single Core, Touching, Flat",IF(AND(OR(D51="4G1"),D53=8),"Ref E/F/G,    2 Single Core, Spaced, Flat, Vertical",IF(AND(OR(D51="4G1"),D53=9),"Ref E/F/G,     3 or 4 Single Core, Spaced, Flat, Horizontal",IF(AND(OR(D51="4G2"),D53=2),"Ref C,    2 Single Core Touching, or 1 Two Core",IF(AND(OR(D51="4G2"),D53=3),"Ref_C,    3 Single Core Trefoil, or   3 or 4 Multi Core",IF(AND(OR(D51="4G2"),D53=4),"Ref C,    3 Single Core, Touching, Flat",IF(AND(OR(D51="4G2"),D53=5),"Ref E/F/G,    2 Single Core Touching, or 1 Two Core",IF(AND(OR(D51="4G2"),D53=6),"Ref E/F/G,     3 Single Core Trefoil, or   3 or 4 Multi Core",IF(AND(OR(D51="4G2"),D53=7),"Ref E/F/G,    3 Single Core, Touching, Flat",IF(AND(OR(D51="4G2"),D53=8),"Ref E/F/G,    2 Single Core, Spaced, Flat, Vertical",IF(AND(OR(D51="4G2"),D53=9),"Ref E/F/G,     3 or 4 Single Core, Spaced, Flat, Horizontal","")))))))))))))))),"")))))</f>
        <v>1No.   Multi Core, Thermo-plastic Sheath, Non-Armour, Ref C, 2_Cables</v>
      </c>
      <c r="E47" s="161" t="str">
        <f t="shared" ca="1" si="16"/>
        <v>2No.   Single Core, Non-Armour, Ref C, 2_Cables Touching Flat</v>
      </c>
      <c r="F47" s="161" t="str">
        <f t="shared" ca="1" si="16"/>
        <v>2No.   Single Core, Non-Armour, Ref C, 2_Cables Touching Flat</v>
      </c>
      <c r="G47" s="161" t="str">
        <f t="shared" ca="1" si="16"/>
        <v>1No.   Single Core, Non-Armour, Ref C, 2_Cables Touching Flat</v>
      </c>
      <c r="H47" s="161" t="str">
        <f ca="1">IF(H27="","",IF(AND(OR(ISNUMBER(SEARCH("4D",H51)),ISNUMBER(SEARCH("4E",H51)),ISNUMBER(SEARCH("4F",H51)),ISNUMBER(SEARCH("4G",H51))),H45&lt;&gt;""),ROUNDUP(H29/MAX(H33:H35),0)&amp;"No.   ","")&amp;IF(OR(H51="4D1",H51="4D2",H51="4D3",H51="4D4",H51="4D5"),IF(AND(H51="4D1",H53&gt;1,H53&lt;13),"Single Core, Non-Armour, ",IF(AND(H51="4D2",H53&gt;1,H53&lt;10),"Multi Core, Thermo-plastic Sheath, Non-Armour, ",IF(AND(H51="4D3",H53&gt;1,H53&lt;13),"Single Core, Armour, ",IF(AND(H51="4D4",H53&gt;1,H53&lt;8),"Multi Core, Armour, ",IF(AND(H51="4D5",H53&gt;1,H53&lt;8),"Sheath, Flat, Protective Conductor, ","")))))&amp;IF(AND(OR(H51="4D1"),H53=2),"Ref A, 2_Cables",IF(AND(OR(H51="4D1"),H53=3),"Ref_A,   3 or 4 Cables",IF(AND(OR(H51="4D1"),H53=4),"Ref B, 2_Cables",IF(AND(OR(H51="4D1"),H53=5),"Ref_B,    3 or 4 Cables",IF(AND(OR(H51="4D1"),H53=6),"Ref C, 2_Cables Touching Flat",IF(AND(OR(H51="4D1"),H53=7),"Ref_C,   3 or 4 Cables, Touching",IF(AND(OR(H51="4D1"),H53=8),"Ref F, 2_Cables Touching Flat",IF(AND(OR(H51="4D1"),H53=9),"Ref_F,   3_Cables Touching Flat",IF(AND(OR(H51="4D1"),H53=10),"Ref_F,   3_Cables Touching Trefoil",IF(AND(OR(H51="4D1"),H53=11),"Ref_F,     2 or 3 Cables Spaced Flat Horizontal",IF(AND(OR(H51="4D1"),H53=12),"Ref_F,    2 or 3 Cables Spaced Flat Vertical",IF(AND(OR(H51="4D2"),H53=2),"Ref A, 2_Cables",IF(AND(OR(H51="4D2"),H53=3),"Ref_A,   3 or 4 Cables",IF(AND(OR(H51="4D2"),H53=4),"Ref B, 2_Cables",IF(AND(OR(H51="4D2"),H53=5),"Ref_B,    3 or 4 Cables",IF(AND(OR(H51="4D2"),H53=6),"Ref C, 2_Cables",IF(AND(OR(H51="4D2"),H53=7),"Ref_C,   3 or 4 Cables",IF(AND(OR(H51="4D2"),H53=8),"Ref E, 2_Cables",IF(AND(OR(H51="4D2"),H53=9),"Ref_E,    3 or 4 Cables",IF(AND(OR(H51="4D3"),H53=2),"Ref C, 2_Cables Touching Flat",IF(AND(OR(H51="4D3"),H53=3),"Ref_C,   3 or 4 Cables Touching Flat",IF(AND(OR(H51="4D3"),H53=4),"Ref F, 2_Cables Touching Flat",IF(AND(OR(H51="4D3"),H53=5),"Ref_F,    3 or 4 Cables Touching Flat",IF(AND(OR(H51="4D3"),H53=6),"Ref F, 2_Cables Touching Trefoil",IF(AND(OR(H51="4D3"),H53=7),"Ref_F, 2_Cables, Spaced Horizontal DC",IF(AND(OR(H51="4D3"),H53=8),"Ref F, 2_Cables  Spaced Vertical DC",IF(AND(OR(H51="4D3"),H53=9),"Ref_F, 2_Cables, Spaced Horizontal AC",IF(AND(OR(H51="4D3"),H53=10),"Ref_F, 2_Cables, Spaced Vertical DC",IF(AND(OR(H51="4D3"),H53=11),"Ref_F,    3 or 4 Cables Spaced Horizontal",IF(AND(OR(H51="4D3"),H53=12),"Ref_F,    3 or 4 Cables Spaced Vertical",IF(AND(OR(H51="4D4"),H53=2),"Ref C, 2_Cables",IF(AND(OR(H51="4D4"),H53=3),"Ref_C,   3 or 4 Cables",IF(AND(OR(H51="4D4"),H53=4),"Ref E, 2_Cables",IF(AND(OR(H51="4D4"),H53=5),"Ref_E,    3 or 4 Cables",IF(AND(OR(H51="4D4"),H53=6),"Ref D, 2_Cables",IF(AND(OR(H51="4D4"),H53=7),"Ref_D,   3 or 4 Cables",IF(AND(OR(H51="4D5"),H53=2),"Method 100",IF(AND(OR(H51="4D5"),H53=3),"Method 101",IF(AND(OR(H51="4D5"),H53=4),"Method 102",IF(AND(OR(H51="4D5"),H53=5),"Method 103",IF(AND(OR(H51="4D5"),H53=6),"Ref C",IF(AND(OR(H51="4D5"),H53=7),"Ref_A","")))))))))))))))))))))))))))))))))))))))))),IF(OR(H51="4E1",H51="4E2",H51="4E3",H51="4E4"),IF(AND(H51="4E1",H53&gt;1,H53&lt;13),"Single Core, Non-Armour ",IF(AND(H51="4E2",H53&gt;1,H53&lt;10),"Multi Core, Thermo-plastic Sheath, Non-Armour ",IF(AND(H51="4E3",H53&gt;1,H53&lt;13),"Single Core, Armour ",IF(AND(H51="4E4",H53&gt;1,H53&lt;8),"Multi Core, Armour ",""))))&amp;IF(AND(OR(H51="4E1"),H53=2),"Ref A, 2_Cables",IF(AND(OR(H51="4E1"),H53=3),"Ref_A,   3 or 4 Cables",IF(AND(OR(H51="4E1"),H53=4),"Ref B, 2_Cables",IF(AND(OR(H51="4E1"),H53=5),"Ref_B,    3 or 4 Cables",IF(AND(OR(H51="4E1"),H53=6),"Ref C, 2_Cables Touching Flat",IF(AND(OR(H51="4E1"),H53=7),"Ref_C,   3 or 4 Cables, Touching",IF(AND(OR(H51="4E1"),H53=8),"Ref F, 2_Cables Touching Flat",IF(AND(OR(H51="4E1"),H53=9),"Ref_F,   3_Cables Touching Flat",IF(AND(OR(H51="4E1"),H53=10),"Ref_F,   3_Cables Touching Trefoil",IF(AND(OR(H51="4E1"),H53=11),"Ref_F,     2 or 3 Cables Spaced Flat Horizontal",IF(AND(OR(H51="4E1"),H53=12),"Ref_F,    2 or 3 Cables Spaced Flat Vertical",IF(AND(OR(H51="4E2"),H53=2),"Ref A, 2_Cables",IF(AND(OR(H51="4E2"),H53=3),"Ref_A,   3 or 4 Cables",IF(AND(OR(H51="4E2"),H53=4),"Ref B, 2_Cables",IF(AND(OR(H51="4E2"),H53=5),"Ref_B,    3 or 4 Cables",IF(AND(OR(H51="4E2"),H53=6),"Ref C, 2_Cables",IF(AND(OR(H51="4E2"),H53=7),"Ref_C,   3 or 4 Cables",IF(AND(OR(H51="4E2"),H53=8),"Ref E, 2_Cables",IF(AND(OR(H51="4E2"),H53=9),"Ref_E,    3 or 4 Cables",IF(AND(OR(H51="4E3"),H53=2),"Ref C, 2_Cables Touching Flat",IF(AND(OR(H51="4E3"),H53=3),"Ref_C,   3 or 4 Cables Touching Flat",IF(AND(OR(H51="4E3"),H53=4),"Ref F, 2_Cables Touching Flat",IF(AND(OR(H51="4E3"),H53=5),"Ref_F,     3 or 4 Cables Touching Flat",IF(AND(OR(H51="4E3"),H53=6),"Ref F, 2_Cables Touching Trefoil",IF(AND(OR(H51="4E3"),H53=7),"Ref_F, 2_Cables, Spaced Horizontal DC",IF(AND(OR(H51="4E3"),H53=8),"Ref F, 2_Cables  Spaced Vertical DC",IF(AND(OR(H51="4E3"),H53=9),"Ref_F, 2_Cables, Spaced Horizontal AC",IF(AND(OR(H51="4E3"),H53=10),"Ref_F, 2_Cables, Spaced Vertical DC",IF(AND(OR(H51="4E3"),H53=11),"Ref_F,    3 or 4 Cables Spaced Horizontal",IF(AND(OR(H51="4E3"),H53=12),"Ref_F,    3 or 4 Cables Spaced Vertical",IF(AND(OR(H51="4E4"),H53=2),"Ref C, 2_Cables",IF(AND(OR(H51="4E4"),H53=3),"Ref_C,   3 or 4 Cables",IF(AND(OR(H51="4E4"),H53=4),"Ref E, 2_Cables",IF(AND(OR(H51="4E4"),H53=5),"Ref_E,    3 or 4 Cables",IF(AND(OR(H51="4E4"),H53=6),"Ref D, 2_Cables",IF(AND(OR(H51="4E4"),H53=7),"Ref_D,   3 or 4 Cables","")))))))))))))))))))))))))))))))))))),IF(OR(H51="4F1",H51="4F2",H51="4F3"),IF(AND(H51="4F1",H53&gt;1,H53&lt;5),"60 Deg, Thermo-setting Insulated, Sheathed, Non-Armour, Flexible, ",IF(AND(H51="4F2",H53&gt;1,H53&lt;5),"90/180 Deg, Thermo-setting Insulated, Sheathed, Non-Armour, ",IF(AND(H51="4F3",H53&gt;1,H53&lt;5),"Non-Armour, ","")))&amp;IF(AND(OR(H51="4F1"),H53=2),"Multi-Core, 2_Cables",IF(AND(OR(H51="4F1"),H53=3),"Multi-Core, 3/4/5 Cables",IF(AND(OR(H51="4F1"),H53=4),"Single-Core, 2_Cables, Touching",IF(AND(OR(H51="4F2"),H53=2),"Multi-Core, 2_Cables",IF(AND(OR(H51="4F2"),H53=3),"Multi-Core, 3/4/5 Cables",IF(AND(OR(H51="4F2"),H53=4),"Single-Core, 2_Cables, Touching",IF(AND(OR(H51="4F3"),H53=2),"1_Phase",IF(AND(OR(H51="4F3"),H53=3),"3_Phase","")))))))),IF(OR(H51="4G1",H51="4G2"),IF(AND(H51="4G1",H53&gt;1,H53&lt;10),"Mineral Insulated, Sheath, Thermo-plastic Cover,   or Bare &amp; Exposed to touch , ",IF(AND(H51="4G2",H53&gt;1,H53&lt;10),"Bare, Not Exposed to touch, No Contact with Combus-tible Material, ",""))&amp;IF(AND(OR(H51="4G1"),H53=2),"Ref C,    2 Single Core Touching, or 1 Two Core",IF(AND(OR(H51="4G1"),H53=3),"Ref_C,    3 Single Core Trefoil, or   3 or 4 Multi Core",IF(AND(OR(H51="4G1"),H53=4),"Ref C,    3 Single Core, Touching, Flat",IF(AND(OR(H51="4G1"),H53=5),"Ref E/F/G,    2 Single Core Touching, or 1 Two Core",IF(AND(OR(H51="4G1"),H53=6),"Ref E/F/G,     3 Single Core Trefoil, or   3 or 4 Multi Core",IF(AND(OR(H51="4G1"),H53=7),"Ref E/F/G,    3 Single Core, Touching, Flat",IF(AND(OR(H51="4G1"),H53=8),"Ref E/F/G,    2 Single Core, Spaced, Flat, Vertical",IF(AND(OR(H51="4G1"),H53=9),"Ref E/F/G,     3 or 4 Single Core, Spaced, Flat, Horizontal",IF(AND(OR(H51="4G2"),H53=2),"Ref C,    2 Single Core Touching, or 1 Two Core",IF(AND(OR(H51="4G2"),H53=3),"Ref_C,    3 Single Core Trefoil, or   3 or 4 Multi Core",IF(AND(OR(H51="4G2"),H53=4),"Ref C,    3 Single Core, Touching, Flat",IF(AND(OR(H51="4G2"),H53=5),"Ref E/F/G,    2 Single Core Touching, or 1 Two Core",IF(AND(OR(H51="4G2"),H53=6),"Ref E/F/G,     3 Single Core Trefoil, or   3 or 4 Multi Core",IF(AND(OR(H51="4G2"),H53=7),"Ref E/F/G,    3 Single Core, Touching, Flat",IF(AND(OR(H51="4G2"),H53=8),"Ref E/F/G,    2 Single Core, Spaced, Flat, Vertical",IF(AND(OR(H51="4G2"),H53=9),"Ref E/F/G,     3 or 4 Single Core, Spaced, Flat, Horizontal","")))))))))))))))),"")))))</f>
        <v>1No.   Single Core, Non-Armour, Ref C, 2_Cables Touching Flat</v>
      </c>
      <c r="I47" s="161" t="str">
        <f t="shared" si="16"/>
        <v>1No.   Single Core, Non-Armour, Ref_F,    2 or 3 Cables Spaced Flat Vertical</v>
      </c>
      <c r="J47" s="161" t="str">
        <f t="shared" si="16"/>
        <v>1No.   Multi Core, Thermo-plastic Sheath, Non-Armour, Ref C, 2_Cables</v>
      </c>
      <c r="K47" s="161" t="str">
        <f>IF(K27="","",IF(AND(OR(ISNUMBER(SEARCH("4D",K51)),ISNUMBER(SEARCH("4E",K51)),ISNUMBER(SEARCH("4F",K51)),ISNUMBER(SEARCH("4G",K51))),K45&lt;&gt;""),ROUNDUP(K29/MAX(K33:K35),0)&amp;"No.   ","")&amp;IF(OR(K51="4D1",K51="4D2",K51="4D3",K51="4D4",K51="4D5"),IF(AND(K51="4D1",K53&gt;1,K53&lt;13),"Single Core, Non-Armour, ",IF(AND(K51="4D2",K53&gt;1,K53&lt;10),"Multi Core, Thermo-plastic Sheath, Non-Armour, ",IF(AND(K51="4D3",K53&gt;1,K53&lt;13),"Single Core, Armour, ",IF(AND(K51="4D4",K53&gt;1,K53&lt;8),"Multi Core, Armour, ",IF(AND(K51="4D5",K53&gt;1,K53&lt;8),"Sheath, Flat, Protective Conductor, ","")))))&amp;IF(AND(OR(K51="4D1"),K53=2),"Ref A, 2_Cables",IF(AND(OR(K51="4D1"),K53=3),"Ref_A,   3 or 4 Cables",IF(AND(OR(K51="4D1"),K53=4),"Ref B, 2_Cables",IF(AND(OR(K51="4D1"),K53=5),"Ref_B,    3 or 4 Cables",IF(AND(OR(K51="4D1"),K53=6),"Ref C, 2_Cables Touching Flat",IF(AND(OR(K51="4D1"),K53=7),"Ref_C,   3 or 4 Cables, Touching",IF(AND(OR(K51="4D1"),K53=8),"Ref F, 2_Cables Touching Flat",IF(AND(OR(K51="4D1"),K53=9),"Ref_F,   3_Cables Touching Flat",IF(AND(OR(K51="4D1"),K53=10),"Ref_F,   3_Cables Touching Trefoil",IF(AND(OR(K51="4D1"),K53=11),"Ref_F,     2 or 3 Cables Spaced Flat Horizontal",IF(AND(OR(K51="4D1"),K53=12),"Ref_F,    2 or 3 Cables Spaced Flat Vertical",IF(AND(OR(K51="4D2"),K53=2),"Ref A, 2_Cables",IF(AND(OR(K51="4D2"),K53=3),"Ref_A,   3 or 4 Cables",IF(AND(OR(K51="4D2"),K53=4),"Ref B, 2_Cables",IF(AND(OR(K51="4D2"),K53=5),"Ref_B,    3 or 4 Cables",IF(AND(OR(K51="4D2"),K53=6),"Ref C, 2_Cables",IF(AND(OR(K51="4D2"),K53=7),"Ref_C,   3 or 4 Cables",IF(AND(OR(K51="4D2"),K53=8),"Ref E, 2_Cables",IF(AND(OR(K51="4D2"),K53=9),"Ref_E,    3 or 4 Cables",IF(AND(OR(K51="4D3"),K53=2),"Ref C, 2_Cables Touching Flat",IF(AND(OR(K51="4D3"),K53=3),"Ref_C,   3 or 4 Cables Touching Flat",IF(AND(OR(K51="4D3"),K53=4),"Ref F, 2_Cables Touching Flat",IF(AND(OR(K51="4D3"),K53=5),"Ref_F,    3 or 4 Cables Touching Flat",IF(AND(OR(K51="4D3"),K53=6),"Ref F, 2_Cables Touching Trefoil",IF(AND(OR(K51="4D3"),K53=7),"Ref_F, 2_Cables, Spaced Horizontal DC",IF(AND(OR(K51="4D3"),K53=8),"Ref F, 2_Cables  Spaced Vertical DC",IF(AND(OR(K51="4D3"),K53=9),"Ref_F, 2_Cables, Spaced Horizontal AC",IF(AND(OR(K51="4D3"),K53=10),"Ref_F, 2_Cables, Spaced Vertical DC",IF(AND(OR(K51="4D3"),K53=11),"Ref_F,    3 or 4 Cables Spaced Horizontal",IF(AND(OR(K51="4D3"),K53=12),"Ref_F,    3 or 4 Cables Spaced Vertical",IF(AND(OR(K51="4D4"),K53=2),"Ref C, 2_Cables",IF(AND(OR(K51="4D4"),K53=3),"Ref_C,   3 or 4 Cables",IF(AND(OR(K51="4D4"),K53=4),"Ref E, 2_Cables",IF(AND(OR(K51="4D4"),K53=5),"Ref_E,    3 or 4 Cables",IF(AND(OR(K51="4D4"),K53=6),"Ref D, 2_Cables",IF(AND(OR(K51="4D4"),K53=7),"Ref_D,   3 or 4 Cables",IF(AND(OR(K51="4D5"),K53=2),"Method 100",IF(AND(OR(K51="4D5"),K53=3),"Method 101",IF(AND(OR(K51="4D5"),K53=4),"Method 102",IF(AND(OR(K51="4D5"),K53=5),"Method 103",IF(AND(OR(K51="4D5"),K53=6),"Ref C",IF(AND(OR(K51="4D5"),K53=7),"Ref_A","")))))))))))))))))))))))))))))))))))))))))),IF(OR(K51="4E1",K51="4E2",K51="4E3",K51="4E4"),IF(AND(K51="4E1",K53&gt;1,K53&lt;13),"Single Core, Non-Armour ",IF(AND(K51="4E2",K53&gt;1,K53&lt;10),"Multi Core, Thermo-plastic Sheath, Non-Armour ",IF(AND(K51="4E3",K53&gt;1,K53&lt;13),"Single Core, Armour ",IF(AND(K51="4E4",K53&gt;1,K53&lt;8),"Multi Core, Armour ",""))))&amp;IF(AND(OR(K51="4E1"),K53=2),"Ref A, 2_Cables",IF(AND(OR(K51="4E1"),K53=3),"Ref_A,   3 or 4 Cables",IF(AND(OR(K51="4E1"),K53=4),"Ref B, 2_Cables",IF(AND(OR(K51="4E1"),K53=5),"Ref_B,    3 or 4 Cables",IF(AND(OR(K51="4E1"),K53=6),"Ref C, 2_Cables Touching Flat",IF(AND(OR(K51="4E1"),K53=7),"Ref_C,   3 or 4 Cables, Touching",IF(AND(OR(K51="4E1"),K53=8),"Ref F, 2_Cables Touching Flat",IF(AND(OR(K51="4E1"),K53=9),"Ref_F,   3_Cables Touching Flat",IF(AND(OR(K51="4E1"),K53=10),"Ref_F,   3_Cables Touching Trefoil",IF(AND(OR(K51="4E1"),K53=11),"Ref_F,     2 or 3 Cables Spaced Flat Horizontal",IF(AND(OR(K51="4E1"),K53=12),"Ref_F,    2 or 3 Cables Spaced Flat Vertical",IF(AND(OR(K51="4E2"),K53=2),"Ref A, 2_Cables",IF(AND(OR(K51="4E2"),K53=3),"Ref_A,   3 or 4 Cables",IF(AND(OR(K51="4E2"),K53=4),"Ref B, 2_Cables",IF(AND(OR(K51="4E2"),K53=5),"Ref_B,    3 or 4 Cables",IF(AND(OR(K51="4E2"),K53=6),"Ref C, 2_Cables",IF(AND(OR(K51="4E2"),K53=7),"Ref_C,   3 or 4 Cables",IF(AND(OR(K51="4E2"),K53=8),"Ref E, 2_Cables",IF(AND(OR(K51="4E2"),K53=9),"Ref_E,    3 or 4 Cables",IF(AND(OR(K51="4E3"),K53=2),"Ref C, 2_Cables Touching Flat",IF(AND(OR(K51="4E3"),K53=3),"Ref_C,   3 or 4 Cables Touching Flat",IF(AND(OR(K51="4E3"),K53=4),"Ref F, 2_Cables Touching Flat",IF(AND(OR(K51="4E3"),K53=5),"Ref_F,     3 or 4 Cables Touching Flat",IF(AND(OR(K51="4E3"),K53=6),"Ref F, 2_Cables Touching Trefoil",IF(AND(OR(K51="4E3"),K53=7),"Ref_F, 2_Cables, Spaced Horizontal DC",IF(AND(OR(K51="4E3"),K53=8),"Ref F, 2_Cables  Spaced Vertical DC",IF(AND(OR(K51="4E3"),K53=9),"Ref_F, 2_Cables, Spaced Horizontal AC",IF(AND(OR(K51="4E3"),K53=10),"Ref_F, 2_Cables, Spaced Vertical DC",IF(AND(OR(K51="4E3"),K53=11),"Ref_F,    3 or 4 Cables Spaced Horizontal",IF(AND(OR(K51="4E3"),K53=12),"Ref_F,    3 or 4 Cables Spaced Vertical",IF(AND(OR(K51="4E4"),K53=2),"Ref C, 2_Cables",IF(AND(OR(K51="4E4"),K53=3),"Ref_C,   3 or 4 Cables",IF(AND(OR(K51="4E4"),K53=4),"Ref E, 2_Cables",IF(AND(OR(K51="4E4"),K53=5),"Ref_E,    3 or 4 Cables",IF(AND(OR(K51="4E4"),K53=6),"Ref D, 2_Cables",IF(AND(OR(K51="4E4"),K53=7),"Ref_D,   3 or 4 Cables","")))))))))))))))))))))))))))))))))))),IF(OR(K51="4F1",K51="4F2",K51="4F3"),IF(AND(K51="4F1",K53&gt;1,K53&lt;5),"60 Deg, Thermo-setting Insulated, Sheathed, Non-Armour, Flexible, ",IF(AND(K51="4F2",K53&gt;1,K53&lt;5),"90/180 Deg, Thermo-setting Insulated, Sheathed, Non-Armour, ",IF(AND(K51="4F3",K53&gt;1,K53&lt;5),"Non-Armour, ","")))&amp;IF(AND(OR(K51="4F1"),K53=2),"Multi-Core, 2_Cables",IF(AND(OR(K51="4F1"),K53=3),"Multi-Core, 3/4/5 Cables",IF(AND(OR(K51="4F1"),K53=4),"Single-Core, 2_Cables, Touching",IF(AND(OR(K51="4F2"),K53=2),"Multi-Core, 2_Cables",IF(AND(OR(K51="4F2"),K53=3),"Multi-Core, 3/4/5 Cables",IF(AND(OR(K51="4F2"),K53=4),"Single-Core, 2_Cables, Touching",IF(AND(OR(K51="4F3"),K53=2),"1_Phase",IF(AND(OR(K51="4F3"),K53=3),"3_Phase","")))))))),IF(OR(K51="4G1",K51="4G2"),IF(AND(K51="4G1",K53&gt;1,K53&lt;10),"Mineral Insulated, Sheath, Thermo-plastic Cover,   or Bare &amp; Exposed to touch , ",IF(AND(K51="4G2",K53&gt;1,K53&lt;10),"Bare, Not Exposed to touch, No Contact with Combus-tible Material, ",""))&amp;IF(AND(OR(K51="4G1"),K53=2),"Ref C,    2 Single Core Touching, or 1 Two Core",IF(AND(OR(K51="4G1"),K53=3),"Ref_C,    3 Single Core Trefoil, or   3 or 4 Multi Core",IF(AND(OR(K51="4G1"),K53=4),"Ref C,    3 Single Core, Touching, Flat",IF(AND(OR(K51="4G1"),K53=5),"Ref E/F/G,    2 Single Core Touching, or 1 Two Core",IF(AND(OR(K51="4G1"),K53=6),"Ref E/F/G,     3 Single Core Trefoil, or   3 or 4 Multi Core",IF(AND(OR(K51="4G1"),K53=7),"Ref E/F/G,    3 Single Core, Touching, Flat",IF(AND(OR(K51="4G1"),K53=8),"Ref E/F/G,    2 Single Core, Spaced, Flat, Vertical",IF(AND(OR(K51="4G1"),K53=9),"Ref E/F/G,     3 or 4 Single Core, Spaced, Flat, Horizontal",IF(AND(OR(K51="4G2"),K53=2),"Ref C,    2 Single Core Touching, or 1 Two Core",IF(AND(OR(K51="4G2"),K53=3),"Ref_C,    3 Single Core Trefoil, or   3 or 4 Multi Core",IF(AND(OR(K51="4G2"),K53=4),"Ref C,    3 Single Core, Touching, Flat",IF(AND(OR(K51="4G2"),K53=5),"Ref E/F/G,    2 Single Core Touching, or 1 Two Core",IF(AND(OR(K51="4G2"),K53=6),"Ref E/F/G,     3 Single Core Trefoil, or   3 or 4 Multi Core",IF(AND(OR(K51="4G2"),K53=7),"Ref E/F/G,    3 Single Core, Touching, Flat",IF(AND(OR(K51="4G2"),K53=8),"Ref E/F/G,    2 Single Core, Spaced, Flat, Vertical",IF(AND(OR(K51="4G2"),K53=9),"Ref E/F/G,     3 or 4 Single Core, Spaced, Flat, Horizontal","")))))))))))))))),"")))))</f>
        <v>1No.   Single Core, Non-Armour, Ref C, 2_Cables Touching Flat</v>
      </c>
      <c r="L47" s="161" t="str">
        <f t="shared" si="16"/>
        <v>1No.   Single Core, Non-Armour, Ref C, 2_Cables Touching Flat</v>
      </c>
      <c r="M47" s="161" t="str">
        <f t="shared" si="16"/>
        <v/>
      </c>
      <c r="N47" s="161" t="str">
        <f>IF(N27="","",IF(AND(OR(ISNUMBER(SEARCH("4D",N51)),ISNUMBER(SEARCH("4E",N51)),ISNUMBER(SEARCH("4F",N51)),ISNUMBER(SEARCH("4G",N51))),N45&lt;&gt;""),ROUNDUP(N29/MAX(N33:N35),0)&amp;"No.   ","")&amp;IF(OR(N51="4D1",N51="4D2",N51="4D3",N51="4D4",N51="4D5"),IF(AND(N51="4D1",N53&gt;1,N53&lt;13),"Single Core, Non-Armour, ",IF(AND(N51="4D2",N53&gt;1,N53&lt;10),"Multi Core, Thermo-plastic Sheath, Non-Armour, ",IF(AND(N51="4D3",N53&gt;1,N53&lt;13),"Single Core, Armour, ",IF(AND(N51="4D4",N53&gt;1,N53&lt;8),"Multi Core, Armour, ",IF(AND(N51="4D5",N53&gt;1,N53&lt;8),"Sheath, Flat, Protective Conductor, ","")))))&amp;IF(AND(OR(N51="4D1"),N53=2),"Ref A, 2_Cables",IF(AND(OR(N51="4D1"),N53=3),"Ref_A,   3 or 4 Cables",IF(AND(OR(N51="4D1"),N53=4),"Ref B, 2_Cables",IF(AND(OR(N51="4D1"),N53=5),"Ref_B,    3 or 4 Cables",IF(AND(OR(N51="4D1"),N53=6),"Ref C, 2_Cables Touching Flat",IF(AND(OR(N51="4D1"),N53=7),"Ref_C,   3 or 4 Cables, Touching",IF(AND(OR(N51="4D1"),N53=8),"Ref F, 2_Cables Touching Flat",IF(AND(OR(N51="4D1"),N53=9),"Ref_F,   3_Cables Touching Flat",IF(AND(OR(N51="4D1"),N53=10),"Ref_F,   3_Cables Touching Trefoil",IF(AND(OR(N51="4D1"),N53=11),"Ref_F,     2 or 3 Cables Spaced Flat Horizontal",IF(AND(OR(N51="4D1"),N53=12),"Ref_F,    2 or 3 Cables Spaced Flat Vertical",IF(AND(OR(N51="4D2"),N53=2),"Ref A, 2_Cables",IF(AND(OR(N51="4D2"),N53=3),"Ref_A,   3 or 4 Cables",IF(AND(OR(N51="4D2"),N53=4),"Ref B, 2_Cables",IF(AND(OR(N51="4D2"),N53=5),"Ref_B,    3 or 4 Cables",IF(AND(OR(N51="4D2"),N53=6),"Ref C, 2_Cables",IF(AND(OR(N51="4D2"),N53=7),"Ref_C,   3 or 4 Cables",IF(AND(OR(N51="4D2"),N53=8),"Ref E, 2_Cables",IF(AND(OR(N51="4D2"),N53=9),"Ref_E,    3 or 4 Cables",IF(AND(OR(N51="4D3"),N53=2),"Ref C, 2_Cables Touching Flat",IF(AND(OR(N51="4D3"),N53=3),"Ref_C,   3 or 4 Cables Touching Flat",IF(AND(OR(N51="4D3"),N53=4),"Ref F, 2_Cables Touching Flat",IF(AND(OR(N51="4D3"),N53=5),"Ref_F,    3 or 4 Cables Touching Flat",IF(AND(OR(N51="4D3"),N53=6),"Ref F, 2_Cables Touching Trefoil",IF(AND(OR(N51="4D3"),N53=7),"Ref_F, 2_Cables, Spaced Horizontal DC",IF(AND(OR(N51="4D3"),N53=8),"Ref F, 2_Cables  Spaced Vertical DC",IF(AND(OR(N51="4D3"),N53=9),"Ref_F, 2_Cables, Spaced Horizontal AC",IF(AND(OR(N51="4D3"),N53=10),"Ref_F, 2_Cables, Spaced Vertical DC",IF(AND(OR(N51="4D3"),N53=11),"Ref_F,    3 or 4 Cables Spaced Horizontal",IF(AND(OR(N51="4D3"),N53=12),"Ref_F,    3 or 4 Cables Spaced Vertical",IF(AND(OR(N51="4D4"),N53=2),"Ref C, 2_Cables",IF(AND(OR(N51="4D4"),N53=3),"Ref_C,   3 or 4 Cables",IF(AND(OR(N51="4D4"),N53=4),"Ref E, 2_Cables",IF(AND(OR(N51="4D4"),N53=5),"Ref_E,    3 or 4 Cables",IF(AND(OR(N51="4D4"),N53=6),"Ref D, 2_Cables",IF(AND(OR(N51="4D4"),N53=7),"Ref_D,   3 or 4 Cables",IF(AND(OR(N51="4D5"),N53=2),"Method 100",IF(AND(OR(N51="4D5"),N53=3),"Method 101",IF(AND(OR(N51="4D5"),N53=4),"Method 102",IF(AND(OR(N51="4D5"),N53=5),"Method 103",IF(AND(OR(N51="4D5"),N53=6),"Ref C",IF(AND(OR(N51="4D5"),N53=7),"Ref_A","")))))))))))))))))))))))))))))))))))))))))),IF(OR(N51="4E1",N51="4E2",N51="4E3",N51="4E4"),IF(AND(N51="4E1",N53&gt;1,N53&lt;13),"Single Core, Non-Armour ",IF(AND(N51="4E2",N53&gt;1,N53&lt;10),"Multi Core, Thermo-plastic Sheath, Non-Armour ",IF(AND(N51="4E3",N53&gt;1,N53&lt;13),"Single Core, Armour ",IF(AND(N51="4E4",N53&gt;1,N53&lt;8),"Multi Core, Armour ",""))))&amp;IF(AND(OR(N51="4E1"),N53=2),"Ref A, 2_Cables",IF(AND(OR(N51="4E1"),N53=3),"Ref_A,   3 or 4 Cables",IF(AND(OR(N51="4E1"),N53=4),"Ref B, 2_Cables",IF(AND(OR(N51="4E1"),N53=5),"Ref_B,    3 or 4 Cables",IF(AND(OR(N51="4E1"),N53=6),"Ref C, 2_Cables Touching Flat",IF(AND(OR(N51="4E1"),N53=7),"Ref_C,   3 or 4 Cables, Touching",IF(AND(OR(N51="4E1"),N53=8),"Ref F, 2_Cables Touching Flat",IF(AND(OR(N51="4E1"),N53=9),"Ref_F,   3_Cables Touching Flat",IF(AND(OR(N51="4E1"),N53=10),"Ref_F,   3_Cables Touching Trefoil",IF(AND(OR(N51="4E1"),N53=11),"Ref_F,     2 or 3 Cables Spaced Flat Horizontal",IF(AND(OR(N51="4E1"),N53=12),"Ref_F,    2 or 3 Cables Spaced Flat Vertical",IF(AND(OR(N51="4E2"),N53=2),"Ref A, 2_Cables",IF(AND(OR(N51="4E2"),N53=3),"Ref_A,   3 or 4 Cables",IF(AND(OR(N51="4E2"),N53=4),"Ref B, 2_Cables",IF(AND(OR(N51="4E2"),N53=5),"Ref_B,    3 or 4 Cables",IF(AND(OR(N51="4E2"),N53=6),"Ref C, 2_Cables",IF(AND(OR(N51="4E2"),N53=7),"Ref_C,   3 or 4 Cables",IF(AND(OR(N51="4E2"),N53=8),"Ref E, 2_Cables",IF(AND(OR(N51="4E2"),N53=9),"Ref_E,    3 or 4 Cables",IF(AND(OR(N51="4E3"),N53=2),"Ref C, 2_Cables Touching Flat",IF(AND(OR(N51="4E3"),N53=3),"Ref_C,   3 or 4 Cables Touching Flat",IF(AND(OR(N51="4E3"),N53=4),"Ref F, 2_Cables Touching Flat",IF(AND(OR(N51="4E3"),N53=5),"Ref_F,     3 or 4 Cables Touching Flat",IF(AND(OR(N51="4E3"),N53=6),"Ref F, 2_Cables Touching Trefoil",IF(AND(OR(N51="4E3"),N53=7),"Ref_F, 2_Cables, Spaced Horizontal DC",IF(AND(OR(N51="4E3"),N53=8),"Ref F, 2_Cables  Spaced Vertical DC",IF(AND(OR(N51="4E3"),N53=9),"Ref_F, 2_Cables, Spaced Horizontal AC",IF(AND(OR(N51="4E3"),N53=10),"Ref_F, 2_Cables, Spaced Vertical DC",IF(AND(OR(N51="4E3"),N53=11),"Ref_F,    3 or 4 Cables Spaced Horizontal",IF(AND(OR(N51="4E3"),N53=12),"Ref_F,    3 or 4 Cables Spaced Vertical",IF(AND(OR(N51="4E4"),N53=2),"Ref C, 2_Cables",IF(AND(OR(N51="4E4"),N53=3),"Ref_C,   3 or 4 Cables",IF(AND(OR(N51="4E4"),N53=4),"Ref E, 2_Cables",IF(AND(OR(N51="4E4"),N53=5),"Ref_E,    3 or 4 Cables",IF(AND(OR(N51="4E4"),N53=6),"Ref D, 2_Cables",IF(AND(OR(N51="4E4"),N53=7),"Ref_D,   3 or 4 Cables","")))))))))))))))))))))))))))))))))))),IF(OR(N51="4F1",N51="4F2",N51="4F3"),IF(AND(N51="4F1",N53&gt;1,N53&lt;5),"60 Deg, Thermo-setting Insulated, Sheathed, Non-Armour, Flexible, ",IF(AND(N51="4F2",N53&gt;1,N53&lt;5),"90/180 Deg, Thermo-setting Insulated, Sheathed, Non-Armour, ",IF(AND(N51="4F3",N53&gt;1,N53&lt;5),"Non-Armour, ","")))&amp;IF(AND(OR(N51="4F1"),N53=2),"Multi-Core, 2_Cables",IF(AND(OR(N51="4F1"),N53=3),"Multi-Core, 3/4/5 Cables",IF(AND(OR(N51="4F1"),N53=4),"Single-Core, 2_Cables, Touching",IF(AND(OR(N51="4F2"),N53=2),"Multi-Core, 2_Cables",IF(AND(OR(N51="4F2"),N53=3),"Multi-Core, 3/4/5 Cables",IF(AND(OR(N51="4F2"),N53=4),"Single-Core, 2_Cables, Touching",IF(AND(OR(N51="4F3"),N53=2),"1_Phase",IF(AND(OR(N51="4F3"),N53=3),"3_Phase","")))))))),IF(OR(N51="4G1",N51="4G2"),IF(AND(N51="4G1",N53&gt;1,N53&lt;10),"Mineral Insulated, Sheath, Thermo-plastic Cover,   or Bare &amp; Exposed to touch , ",IF(AND(N51="4G2",N53&gt;1,N53&lt;10),"Bare, Not Exposed to touch, No Contact with Combus-tible Material, ",""))&amp;IF(AND(OR(N51="4G1"),N53=2),"Ref C,    2 Single Core Touching, or 1 Two Core",IF(AND(OR(N51="4G1"),N53=3),"Ref_C,    3 Single Core Trefoil, or   3 or 4 Multi Core",IF(AND(OR(N51="4G1"),N53=4),"Ref C,    3 Single Core, Touching, Flat",IF(AND(OR(N51="4G1"),N53=5),"Ref E/F/G,    2 Single Core Touching, or 1 Two Core",IF(AND(OR(N51="4G1"),N53=6),"Ref E/F/G,     3 Single Core Trefoil, or   3 or 4 Multi Core",IF(AND(OR(N51="4G1"),N53=7),"Ref E/F/G,    3 Single Core, Touching, Flat",IF(AND(OR(N51="4G1"),N53=8),"Ref E/F/G,    2 Single Core, Spaced, Flat, Vertical",IF(AND(OR(N51="4G1"),N53=9),"Ref E/F/G,     3 or 4 Single Core, Spaced, Flat, Horizontal",IF(AND(OR(N51="4G2"),N53=2),"Ref C,    2 Single Core Touching, or 1 Two Core",IF(AND(OR(N51="4G2"),N53=3),"Ref_C,    3 Single Core Trefoil, or   3 or 4 Multi Core",IF(AND(OR(N51="4G2"),N53=4),"Ref C,    3 Single Core, Touching, Flat",IF(AND(OR(N51="4G2"),N53=5),"Ref E/F/G,    2 Single Core Touching, or 1 Two Core",IF(AND(OR(N51="4G2"),N53=6),"Ref E/F/G,     3 Single Core Trefoil, or   3 or 4 Multi Core",IF(AND(OR(N51="4G2"),N53=7),"Ref E/F/G,    3 Single Core, Touching, Flat",IF(AND(OR(N51="4G2"),N53=8),"Ref E/F/G,    2 Single Core, Spaced, Flat, Vertical",IF(AND(OR(N51="4G2"),N53=9),"Ref E/F/G,     3 or 4 Single Core, Spaced, Flat, Horizontal","")))))))))))))))),"")))))</f>
        <v>1No.   Single Core, Non-Armour, Ref_F,     2 or 3 Cables Spaced Flat Horizontal</v>
      </c>
      <c r="O47" s="161"/>
    </row>
    <row r="48" spans="1:15" s="173" customFormat="1" ht="161.25" customHeight="1">
      <c r="A48" s="174" t="s">
        <v>2103</v>
      </c>
      <c r="B48" s="175" t="s">
        <v>2102</v>
      </c>
      <c r="C48" s="164"/>
      <c r="D48" s="164" t="str">
        <f t="shared" ref="D48:M48" si="17">IF(D27="","",IF(AND(OR(ISNUMBER(SEARCH("4H",D51)),ISNUMBER(SEARCH("4J",D51))),D45&lt;&gt;""),ROUNDUP(D29/MAX(D33:D35),0)&amp;"No.   ","")&amp;IF(OR(D51="4H1",D51="4H2",D51="4H3",D51="4H4",D51="4H5"),IF(AND(D51="4H1",D53&gt;1,D53&lt;13),"Single Core, Non-Armour, ",IF(AND(D51="4H2",D53&gt;1,D53&lt;10),"Multi Core, Thermo-plastic Sheath, Non-Armour, ",IF(AND(D51="4H3",D53&gt;1,D53&lt;13),"Single Core, Armour, ",IF(AND(D51="4H4",D53&gt;1,D53&lt;8),"Multi Core, Armour, ",IF(AND(D51="4H5",D53&gt;1,D53&lt;8),"Sheath, Flat, Protective Conductor, ","")))))&amp;IF(AND(OR(D51="4H1"),D53=2),"Ref A, 2_Cables",IF(AND(OR(D51="4H1"),D53=3),"Ref_A,   3 or 4 Cables",IF(AND(OR(D51="4H1"),D53=4),"Ref B, 2_Cables",IF(AND(OR(D51="4H1"),D53=5),"Ref_B,    3 or 4 Cables",IF(AND(OR(D51="4H1"),D53=6),"Ref C, 2_Cables Touching Flat",IF(AND(OR(D51="4H1"),D53=7),"Ref_C,   3 or 4 Cables, Touching",IF(AND(OR(D51="4H1"),D53=8),"Ref F, 2_Cables Touching Flat",IF(AND(OR(D51="4H1"),D53=9),"Ref_F,   3_Cables Touching Flat",IF(AND(OR(D51="4H1"),D53=10),"Ref_F,   3_Cables Touching Trefoil",IF(AND(OR(D51="4H1"),D53=11),"Ref_F,     2 or 3 Cables Spaced Flat Horizontal",IF(AND(OR(D51="4H1"),D53=12),"Ref_F,    2 or 3 Cables Spaced Flat Vertical",IF(AND(OR(D51="4H2"),D53=2),"Ref A, 2_Cables",IF(AND(OR(D51="4H2"),D53=3),"Ref_A,   3 or 4 Cables",IF(AND(OR(D51="4H2"),D53=4),"Ref B, 2_Cables",IF(AND(OR(D51="4H2"),D53=5),"Ref_B,    3 or 4 Cables",IF(AND(OR(D51="4H2"),D53=6),"Ref C, 2_Cables",IF(AND(OR(D51="4H2"),D53=7),"Ref_C,   3 or 4 Cables",IF(AND(OR(D51="4H2"),D53=8),"Ref E, 2_Cables",IF(AND(OR(D51="4H2"),D53=9),"Ref_E,    3 or 4 Cables",IF(AND(OR(D51="4H3"),D53=2),"Ref C, 2_Cables Touching Flat",IF(AND(OR(D51="4H3"),D53=3),"Ref_C,   3 or 4 Cables Touching Flat",IF(AND(OR(D51="4H3"),D53=4),"Ref F, 2_Cables Touching Flat",IF(AND(OR(D51="4H3"),D53=5),"Ref_F,    3 or 4 Cables Touching Flat",IF(AND(OR(D51="4H3"),D53=6),"Ref F, 2_Cables Touching Trefoil",IF(AND(OR(D51="4H3"),D53=7),"Ref_F, 2_Cables, Spaced Horizontal DC",IF(AND(OR(D51="4H3"),D53=8),"Ref F, 2_Cables  Spaced Vertical DC",IF(AND(OR(D51="4H3"),D53=9),"Ref_F, 2_Cables, Spaced Horizontal AC",IF(AND(OR(D51="4H3"),D53=10),"Ref_F, 2_Cables, Spaced Vertical DC",IF(AND(OR(D51="4H3"),D53=11),"Ref_F,    3 or 4 Cables Spaced Horizontal",IF(AND(OR(D51="4H3"),D53=12),"Ref_F,    3 or 4 Cables Spaced Vertical",IF(AND(OR(D51="4H4"),D53=2),"Ref C, 2_Cables",IF(AND(OR(D51="4H4"),D53=3),"Ref_C,   3 or 4 Cables",IF(AND(OR(D51="4H4"),D53=4),"Ref E, 2_Cables",IF(AND(OR(D51="4H4"),D53=5),"Ref_E,    3 or 4 Cables",IF(AND(OR(D51="4H4"),D53=6),"Ref D, 2_Cables",IF(AND(OR(D51="4H4"),D53=7),"Ref_D,   3 or 4 Cables",IF(AND(OR(D51="4H5"),D53=2),"Method 100",IF(AND(OR(D51="4H5"),D53=3),"Method 101",IF(AND(OR(D51="4H5"),D53=4),"Method 102",IF(AND(OR(D51="4H5"),D53=5),"Method 103",IF(AND(OR(D51="4H5"),D53=6),"Ref C",IF(AND(OR(D51="4H5"),D53=7),"Ref_A","")))))))))))))))))))))))))))))))))))))))))),IF(OR(D51="4J1",D51="4J2",D51="4J3",D51="4J4"),IF(AND(D51="4J1",D53&gt;1,D53&lt;13),"Single Core, Non-Armour ",IF(AND(D51="4J2",D53&gt;1,D53&lt;10),"Multi Core, Thermo-plastic Sheath, Non-Armour ",IF(AND(D51="4J3",D53&gt;1,D53&lt;13),"Single Core, Armour ",IF(AND(D51="4J4",D53&gt;1,D53&lt;8),"Multi Core, Armour ",""))))&amp;IF(AND(OR(D51="4J1"),D53=2),"Ref A, 2_Cables",IF(AND(OR(D51="4J1"),D53=3),"Ref_A,   3 or 4 Cables",IF(AND(OR(D51="4J1"),D53=4),"Ref B, 2_Cables",IF(AND(OR(D51="4J1"),D53=5),"Ref_B,    3 or 4 Cables",IF(AND(OR(D51="4J1"),D53=6),"Ref C, 2_Cables Touching Flat",IF(AND(OR(D51="4J1"),D53=7),"Ref_C,   3 or 4 Cables, Touching",IF(AND(OR(D51="4J1"),D53=8),"Ref F, 2_Cables Touching Flat",IF(AND(OR(D51="4J1"),D53=9),"Ref_F,   3_Cables Touching Flat",IF(AND(OR(D51="4J1"),D53=10),"Ref_F,   3_Cables Touching Trefoil",IF(AND(OR(D51="4J1"),D53=11),"Ref_F,    2 or 3 Cables Spaced Flat Horizontal",IF(AND(OR(D51="4J1"),D53=12),"Ref_F,    2 or 3 Cables Spaced Flat Vertical",IF(AND(OR(D51="4J2"),D53=2),"Ref A, 2_Cables",IF(AND(OR(D51="4J2"),D53=3),"Ref_A,   3 or 4 Cables",IF(AND(OR(D51="4J2"),D53=4),"Ref B, 2_Cables",IF(AND(OR(D51="4J2"),D53=5),"Ref_B,    3 or 4 Cables",IF(AND(OR(D51="4J2"),D53=6),"Ref C, 2_Cables",IF(AND(OR(D51="4J2"),D53=7),"Ref_C,   3 or 4 Cables",IF(AND(OR(D51="4J2"),D53=8),"Ref E, 2_Cables",IF(AND(OR(D51="4J2"),D53=9),"Ref_E,    3 or 4 Cables",IF(AND(OR(D51="4J3"),D53=2),"Ref C, 2_Cables Touching Flat",IF(AND(OR(D51="4J3"),D53=3),"Ref_C,   3 or 4 Cables Touching Flat",IF(AND(OR(D51="4J3"),D53=4),"Ref F, 2_Cables Touching Flat",IF(AND(OR(D51="4J3"),D53=5),"Ref_F,    3 or 4 Cables Touching Flat",IF(AND(OR(D51="4J3"),D53=6),"Ref F, 2_Cables Touching Trefoil",IF(AND(OR(D51="4J3"),D53=7),"Ref_F, 2_Cables, Spaced Horizontal DC",IF(AND(OR(D51="4J3"),D53=8),"Ref F, 2_Cables  Spaced Vertical DC",IF(AND(OR(D51="4J3"),D53=9),"Ref_F, 2_Cables, Spaced Horizontal AC",IF(AND(OR(D51="4J3"),D53=10),"Ref_F, 2_Cables, Spaced Vertical DC",IF(AND(OR(D51="4J3"),D53=11),"Ref_F,    3 or 4 Cables Spaced Horizontal",IF(AND(OR(D51="4J3"),D53=12),"Ref_F,    3 or 4 Cables Spaced Vertical",IF(AND(OR(D51="4J4"),D53=2),"Ref C, 2_Cables",IF(AND(OR(D51="4J4"),D53=3),"Ref_C,   3 or 4 Cables",IF(AND(OR(D51="4J4"),D53=4),"Ref E, 2_Cables",IF(AND(OR(D51="4J4"),D53=5),"Ref_E,    3 or 4 Cables",IF(AND(OR(D51="4J4"),D53=6),"Ref D, 2_Cables",IF(AND(OR(D51="4J4"),D53=7),"Ref_D,   3 or 4 Cables","")))))))))))))))))))))))))))))))))))),"")))</f>
        <v/>
      </c>
      <c r="E48" s="164" t="str">
        <f t="shared" ca="1" si="17"/>
        <v/>
      </c>
      <c r="F48" s="164" t="str">
        <f t="shared" ca="1" si="17"/>
        <v/>
      </c>
      <c r="G48" s="164" t="str">
        <f t="shared" ca="1" si="17"/>
        <v/>
      </c>
      <c r="H48" s="164" t="str">
        <f ca="1">IF(H27="","",IF(AND(OR(ISNUMBER(SEARCH("4H",H51)),ISNUMBER(SEARCH("4J",H51))),H45&lt;&gt;""),ROUNDUP(H29/MAX(H33:H35),0)&amp;"No.   ","")&amp;IF(OR(H51="4H1",H51="4H2",H51="4H3",H51="4H4",H51="4H5"),IF(AND(H51="4H1",H53&gt;1,H53&lt;13),"Single Core, Non-Armour, ",IF(AND(H51="4H2",H53&gt;1,H53&lt;10),"Multi Core, Thermo-plastic Sheath, Non-Armour, ",IF(AND(H51="4H3",H53&gt;1,H53&lt;13),"Single Core, Armour, ",IF(AND(H51="4H4",H53&gt;1,H53&lt;8),"Multi Core, Armour, ",IF(AND(H51="4H5",H53&gt;1,H53&lt;8),"Sheath, Flat, Protective Conductor, ","")))))&amp;IF(AND(OR(H51="4H1"),H53=2),"Ref A, 2_Cables",IF(AND(OR(H51="4H1"),H53=3),"Ref_A,   3 or 4 Cables",IF(AND(OR(H51="4H1"),H53=4),"Ref B, 2_Cables",IF(AND(OR(H51="4H1"),H53=5),"Ref_B,    3 or 4 Cables",IF(AND(OR(H51="4H1"),H53=6),"Ref C, 2_Cables Touching Flat",IF(AND(OR(H51="4H1"),H53=7),"Ref_C,   3 or 4 Cables, Touching",IF(AND(OR(H51="4H1"),H53=8),"Ref F, 2_Cables Touching Flat",IF(AND(OR(H51="4H1"),H53=9),"Ref_F,   3_Cables Touching Flat",IF(AND(OR(H51="4H1"),H53=10),"Ref_F,   3_Cables Touching Trefoil",IF(AND(OR(H51="4H1"),H53=11),"Ref_F,     2 or 3 Cables Spaced Flat Horizontal",IF(AND(OR(H51="4H1"),H53=12),"Ref_F,    2 or 3 Cables Spaced Flat Vertical",IF(AND(OR(H51="4H2"),H53=2),"Ref A, 2_Cables",IF(AND(OR(H51="4H2"),H53=3),"Ref_A,   3 or 4 Cables",IF(AND(OR(H51="4H2"),H53=4),"Ref B, 2_Cables",IF(AND(OR(H51="4H2"),H53=5),"Ref_B,    3 or 4 Cables",IF(AND(OR(H51="4H2"),H53=6),"Ref C, 2_Cables",IF(AND(OR(H51="4H2"),H53=7),"Ref_C,   3 or 4 Cables",IF(AND(OR(H51="4H2"),H53=8),"Ref E, 2_Cables",IF(AND(OR(H51="4H2"),H53=9),"Ref_E,    3 or 4 Cables",IF(AND(OR(H51="4H3"),H53=2),"Ref C, 2_Cables Touching Flat",IF(AND(OR(H51="4H3"),H53=3),"Ref_C,   3 or 4 Cables Touching Flat",IF(AND(OR(H51="4H3"),H53=4),"Ref F, 2_Cables Touching Flat",IF(AND(OR(H51="4H3"),H53=5),"Ref_F,    3 or 4 Cables Touching Flat",IF(AND(OR(H51="4H3"),H53=6),"Ref F, 2_Cables Touching Trefoil",IF(AND(OR(H51="4H3"),H53=7),"Ref_F, 2_Cables, Spaced Horizontal DC",IF(AND(OR(H51="4H3"),H53=8),"Ref F, 2_Cables  Spaced Vertical DC",IF(AND(OR(H51="4H3"),H53=9),"Ref_F, 2_Cables, Spaced Horizontal AC",IF(AND(OR(H51="4H3"),H53=10),"Ref_F, 2_Cables, Spaced Vertical DC",IF(AND(OR(H51="4H3"),H53=11),"Ref_F,    3 or 4 Cables Spaced Horizontal",IF(AND(OR(H51="4H3"),H53=12),"Ref_F,    3 or 4 Cables Spaced Vertical",IF(AND(OR(H51="4H4"),H53=2),"Ref C, 2_Cables",IF(AND(OR(H51="4H4"),H53=3),"Ref_C,   3 or 4 Cables",IF(AND(OR(H51="4H4"),H53=4),"Ref E, 2_Cables",IF(AND(OR(H51="4H4"),H53=5),"Ref_E,    3 or 4 Cables",IF(AND(OR(H51="4H4"),H53=6),"Ref D, 2_Cables",IF(AND(OR(H51="4H4"),H53=7),"Ref_D,   3 or 4 Cables",IF(AND(OR(H51="4H5"),H53=2),"Method 100",IF(AND(OR(H51="4H5"),H53=3),"Method 101",IF(AND(OR(H51="4H5"),H53=4),"Method 102",IF(AND(OR(H51="4H5"),H53=5),"Method 103",IF(AND(OR(H51="4H5"),H53=6),"Ref C",IF(AND(OR(H51="4H5"),H53=7),"Ref_A","")))))))))))))))))))))))))))))))))))))))))),IF(OR(H51="4J1",H51="4J2",H51="4J3",H51="4J4"),IF(AND(H51="4J1",H53&gt;1,H53&lt;13),"Single Core, Non-Armour ",IF(AND(H51="4J2",H53&gt;1,H53&lt;10),"Multi Core, Thermo-plastic Sheath, Non-Armour ",IF(AND(H51="4J3",H53&gt;1,H53&lt;13),"Single Core, Armour ",IF(AND(H51="4J4",H53&gt;1,H53&lt;8),"Multi Core, Armour ",""))))&amp;IF(AND(OR(H51="4J1"),H53=2),"Ref A, 2_Cables",IF(AND(OR(H51="4J1"),H53=3),"Ref_A,   3 or 4 Cables",IF(AND(OR(H51="4J1"),H53=4),"Ref B, 2_Cables",IF(AND(OR(H51="4J1"),H53=5),"Ref_B,    3 or 4 Cables",IF(AND(OR(H51="4J1"),H53=6),"Ref C, 2_Cables Touching Flat",IF(AND(OR(H51="4J1"),H53=7),"Ref_C,   3 or 4 Cables, Touching",IF(AND(OR(H51="4J1"),H53=8),"Ref F, 2_Cables Touching Flat",IF(AND(OR(H51="4J1"),H53=9),"Ref_F,   3_Cables Touching Flat",IF(AND(OR(H51="4J1"),H53=10),"Ref_F,   3_Cables Touching Trefoil",IF(AND(OR(H51="4J1"),H53=11),"Ref_F,    2 or 3 Cables Spaced Flat Horizontal",IF(AND(OR(H51="4J1"),H53=12),"Ref_F,    2 or 3 Cables Spaced Flat Vertical",IF(AND(OR(H51="4J2"),H53=2),"Ref A, 2_Cables",IF(AND(OR(H51="4J2"),H53=3),"Ref_A,   3 or 4 Cables",IF(AND(OR(H51="4J2"),H53=4),"Ref B, 2_Cables",IF(AND(OR(H51="4J2"),H53=5),"Ref_B,    3 or 4 Cables",IF(AND(OR(H51="4J2"),H53=6),"Ref C, 2_Cables",IF(AND(OR(H51="4J2"),H53=7),"Ref_C,   3 or 4 Cables",IF(AND(OR(H51="4J2"),H53=8),"Ref E, 2_Cables",IF(AND(OR(H51="4J2"),H53=9),"Ref_E,    3 or 4 Cables",IF(AND(OR(H51="4J3"),H53=2),"Ref C, 2_Cables Touching Flat",IF(AND(OR(H51="4J3"),H53=3),"Ref_C,   3 or 4 Cables Touching Flat",IF(AND(OR(H51="4J3"),H53=4),"Ref F, 2_Cables Touching Flat",IF(AND(OR(H51="4J3"),H53=5),"Ref_F,    3 or 4 Cables Touching Flat",IF(AND(OR(H51="4J3"),H53=6),"Ref F, 2_Cables Touching Trefoil",IF(AND(OR(H51="4J3"),H53=7),"Ref_F, 2_Cables, Spaced Horizontal DC",IF(AND(OR(H51="4J3"),H53=8),"Ref F, 2_Cables  Spaced Vertical DC",IF(AND(OR(H51="4J3"),H53=9),"Ref_F, 2_Cables, Spaced Horizontal AC",IF(AND(OR(H51="4J3"),H53=10),"Ref_F, 2_Cables, Spaced Vertical DC",IF(AND(OR(H51="4J3"),H53=11),"Ref_F,    3 or 4 Cables Spaced Horizontal",IF(AND(OR(H51="4J3"),H53=12),"Ref_F,    3 or 4 Cables Spaced Vertical",IF(AND(OR(H51="4J4"),H53=2),"Ref C, 2_Cables",IF(AND(OR(H51="4J4"),H53=3),"Ref_C,   3 or 4 Cables",IF(AND(OR(H51="4J4"),H53=4),"Ref E, 2_Cables",IF(AND(OR(H51="4J4"),H53=5),"Ref_E,    3 or 4 Cables",IF(AND(OR(H51="4J4"),H53=6),"Ref D, 2_Cables",IF(AND(OR(H51="4J4"),H53=7),"Ref_D,   3 or 4 Cables","")))))))))))))))))))))))))))))))))))),"")))</f>
        <v/>
      </c>
      <c r="I48" s="164" t="str">
        <f t="shared" si="17"/>
        <v/>
      </c>
      <c r="J48" s="164" t="str">
        <f t="shared" si="17"/>
        <v/>
      </c>
      <c r="K48" s="164" t="str">
        <f>IF(K27="","",IF(AND(OR(ISNUMBER(SEARCH("4H",K51)),ISNUMBER(SEARCH("4J",K51))),K45&lt;&gt;""),ROUNDUP(K29/MAX(K33:K35),0)&amp;"No.   ","")&amp;IF(OR(K51="4H1",K51="4H2",K51="4H3",K51="4H4",K51="4H5"),IF(AND(K51="4H1",K53&gt;1,K53&lt;13),"Single Core, Non-Armour, ",IF(AND(K51="4H2",K53&gt;1,K53&lt;10),"Multi Core, Thermo-plastic Sheath, Non-Armour, ",IF(AND(K51="4H3",K53&gt;1,K53&lt;13),"Single Core, Armour, ",IF(AND(K51="4H4",K53&gt;1,K53&lt;8),"Multi Core, Armour, ",IF(AND(K51="4H5",K53&gt;1,K53&lt;8),"Sheath, Flat, Protective Conductor, ","")))))&amp;IF(AND(OR(K51="4H1"),K53=2),"Ref A, 2_Cables",IF(AND(OR(K51="4H1"),K53=3),"Ref_A,   3 or 4 Cables",IF(AND(OR(K51="4H1"),K53=4),"Ref B, 2_Cables",IF(AND(OR(K51="4H1"),K53=5),"Ref_B,    3 or 4 Cables",IF(AND(OR(K51="4H1"),K53=6),"Ref C, 2_Cables Touching Flat",IF(AND(OR(K51="4H1"),K53=7),"Ref_C,   3 or 4 Cables, Touching",IF(AND(OR(K51="4H1"),K53=8),"Ref F, 2_Cables Touching Flat",IF(AND(OR(K51="4H1"),K53=9),"Ref_F,   3_Cables Touching Flat",IF(AND(OR(K51="4H1"),K53=10),"Ref_F,   3_Cables Touching Trefoil",IF(AND(OR(K51="4H1"),K53=11),"Ref_F,     2 or 3 Cables Spaced Flat Horizontal",IF(AND(OR(K51="4H1"),K53=12),"Ref_F,    2 or 3 Cables Spaced Flat Vertical",IF(AND(OR(K51="4H2"),K53=2),"Ref A, 2_Cables",IF(AND(OR(K51="4H2"),K53=3),"Ref_A,   3 or 4 Cables",IF(AND(OR(K51="4H2"),K53=4),"Ref B, 2_Cables",IF(AND(OR(K51="4H2"),K53=5),"Ref_B,    3 or 4 Cables",IF(AND(OR(K51="4H2"),K53=6),"Ref C, 2_Cables",IF(AND(OR(K51="4H2"),K53=7),"Ref_C,   3 or 4 Cables",IF(AND(OR(K51="4H2"),K53=8),"Ref E, 2_Cables",IF(AND(OR(K51="4H2"),K53=9),"Ref_E,    3 or 4 Cables",IF(AND(OR(K51="4H3"),K53=2),"Ref C, 2_Cables Touching Flat",IF(AND(OR(K51="4H3"),K53=3),"Ref_C,   3 or 4 Cables Touching Flat",IF(AND(OR(K51="4H3"),K53=4),"Ref F, 2_Cables Touching Flat",IF(AND(OR(K51="4H3"),K53=5),"Ref_F,    3 or 4 Cables Touching Flat",IF(AND(OR(K51="4H3"),K53=6),"Ref F, 2_Cables Touching Trefoil",IF(AND(OR(K51="4H3"),K53=7),"Ref_F, 2_Cables, Spaced Horizontal DC",IF(AND(OR(K51="4H3"),K53=8),"Ref F, 2_Cables  Spaced Vertical DC",IF(AND(OR(K51="4H3"),K53=9),"Ref_F, 2_Cables, Spaced Horizontal AC",IF(AND(OR(K51="4H3"),K53=10),"Ref_F, 2_Cables, Spaced Vertical DC",IF(AND(OR(K51="4H3"),K53=11),"Ref_F,    3 or 4 Cables Spaced Horizontal",IF(AND(OR(K51="4H3"),K53=12),"Ref_F,    3 or 4 Cables Spaced Vertical",IF(AND(OR(K51="4H4"),K53=2),"Ref C, 2_Cables",IF(AND(OR(K51="4H4"),K53=3),"Ref_C,   3 or 4 Cables",IF(AND(OR(K51="4H4"),K53=4),"Ref E, 2_Cables",IF(AND(OR(K51="4H4"),K53=5),"Ref_E,    3 or 4 Cables",IF(AND(OR(K51="4H4"),K53=6),"Ref D, 2_Cables",IF(AND(OR(K51="4H4"),K53=7),"Ref_D,   3 or 4 Cables",IF(AND(OR(K51="4H5"),K53=2),"Method 100",IF(AND(OR(K51="4H5"),K53=3),"Method 101",IF(AND(OR(K51="4H5"),K53=4),"Method 102",IF(AND(OR(K51="4H5"),K53=5),"Method 103",IF(AND(OR(K51="4H5"),K53=6),"Ref C",IF(AND(OR(K51="4H5"),K53=7),"Ref_A","")))))))))))))))))))))))))))))))))))))))))),IF(OR(K51="4J1",K51="4J2",K51="4J3",K51="4J4"),IF(AND(K51="4J1",K53&gt;1,K53&lt;13),"Single Core, Non-Armour ",IF(AND(K51="4J2",K53&gt;1,K53&lt;10),"Multi Core, Thermo-plastic Sheath, Non-Armour ",IF(AND(K51="4J3",K53&gt;1,K53&lt;13),"Single Core, Armour ",IF(AND(K51="4J4",K53&gt;1,K53&lt;8),"Multi Core, Armour ",""))))&amp;IF(AND(OR(K51="4J1"),K53=2),"Ref A, 2_Cables",IF(AND(OR(K51="4J1"),K53=3),"Ref_A,   3 or 4 Cables",IF(AND(OR(K51="4J1"),K53=4),"Ref B, 2_Cables",IF(AND(OR(K51="4J1"),K53=5),"Ref_B,    3 or 4 Cables",IF(AND(OR(K51="4J1"),K53=6),"Ref C, 2_Cables Touching Flat",IF(AND(OR(K51="4J1"),K53=7),"Ref_C,   3 or 4 Cables, Touching",IF(AND(OR(K51="4J1"),K53=8),"Ref F, 2_Cables Touching Flat",IF(AND(OR(K51="4J1"),K53=9),"Ref_F,   3_Cables Touching Flat",IF(AND(OR(K51="4J1"),K53=10),"Ref_F,   3_Cables Touching Trefoil",IF(AND(OR(K51="4J1"),K53=11),"Ref_F,    2 or 3 Cables Spaced Flat Horizontal",IF(AND(OR(K51="4J1"),K53=12),"Ref_F,    2 or 3 Cables Spaced Flat Vertical",IF(AND(OR(K51="4J2"),K53=2),"Ref A, 2_Cables",IF(AND(OR(K51="4J2"),K53=3),"Ref_A,   3 or 4 Cables",IF(AND(OR(K51="4J2"),K53=4),"Ref B, 2_Cables",IF(AND(OR(K51="4J2"),K53=5),"Ref_B,    3 or 4 Cables",IF(AND(OR(K51="4J2"),K53=6),"Ref C, 2_Cables",IF(AND(OR(K51="4J2"),K53=7),"Ref_C,   3 or 4 Cables",IF(AND(OR(K51="4J2"),K53=8),"Ref E, 2_Cables",IF(AND(OR(K51="4J2"),K53=9),"Ref_E,    3 or 4 Cables",IF(AND(OR(K51="4J3"),K53=2),"Ref C, 2_Cables Touching Flat",IF(AND(OR(K51="4J3"),K53=3),"Ref_C,   3 or 4 Cables Touching Flat",IF(AND(OR(K51="4J3"),K53=4),"Ref F, 2_Cables Touching Flat",IF(AND(OR(K51="4J3"),K53=5),"Ref_F,    3 or 4 Cables Touching Flat",IF(AND(OR(K51="4J3"),K53=6),"Ref F, 2_Cables Touching Trefoil",IF(AND(OR(K51="4J3"),K53=7),"Ref_F, 2_Cables, Spaced Horizontal DC",IF(AND(OR(K51="4J3"),K53=8),"Ref F, 2_Cables  Spaced Vertical DC",IF(AND(OR(K51="4J3"),K53=9),"Ref_F, 2_Cables, Spaced Horizontal AC",IF(AND(OR(K51="4J3"),K53=10),"Ref_F, 2_Cables, Spaced Vertical DC",IF(AND(OR(K51="4J3"),K53=11),"Ref_F,    3 or 4 Cables Spaced Horizontal",IF(AND(OR(K51="4J3"),K53=12),"Ref_F,    3 or 4 Cables Spaced Vertical",IF(AND(OR(K51="4J4"),K53=2),"Ref C, 2_Cables",IF(AND(OR(K51="4J4"),K53=3),"Ref_C,   3 or 4 Cables",IF(AND(OR(K51="4J4"),K53=4),"Ref E, 2_Cables",IF(AND(OR(K51="4J4"),K53=5),"Ref_E,    3 or 4 Cables",IF(AND(OR(K51="4J4"),K53=6),"Ref D, 2_Cables",IF(AND(OR(K51="4J4"),K53=7),"Ref_D,   3 or 4 Cables","")))))))))))))))))))))))))))))))))))),"")))</f>
        <v/>
      </c>
      <c r="L48" s="164" t="str">
        <f t="shared" si="17"/>
        <v/>
      </c>
      <c r="M48" s="164" t="str">
        <f t="shared" si="17"/>
        <v/>
      </c>
      <c r="N48" s="164" t="str">
        <f>IF(N27="","",IF(AND(OR(ISNUMBER(SEARCH("4H",N51)),ISNUMBER(SEARCH("4J",N51))),N45&lt;&gt;""),ROUNDUP(N29/MAX(N33:N35),0)&amp;"No.   ","")&amp;IF(OR(N51="4H1",N51="4H2",N51="4H3",N51="4H4",N51="4H5"),IF(AND(N51="4H1",N53&gt;1,N53&lt;13),"Single Core, Non-Armour, ",IF(AND(N51="4H2",N53&gt;1,N53&lt;10),"Multi Core, Thermo-plastic Sheath, Non-Armour, ",IF(AND(N51="4H3",N53&gt;1,N53&lt;13),"Single Core, Armour, ",IF(AND(N51="4H4",N53&gt;1,N53&lt;8),"Multi Core, Armour, ",IF(AND(N51="4H5",N53&gt;1,N53&lt;8),"Sheath, Flat, Protective Conductor, ","")))))&amp;IF(AND(OR(N51="4H1"),N53=2),"Ref A, 2_Cables",IF(AND(OR(N51="4H1"),N53=3),"Ref_A,   3 or 4 Cables",IF(AND(OR(N51="4H1"),N53=4),"Ref B, 2_Cables",IF(AND(OR(N51="4H1"),N53=5),"Ref_B,    3 or 4 Cables",IF(AND(OR(N51="4H1"),N53=6),"Ref C, 2_Cables Touching Flat",IF(AND(OR(N51="4H1"),N53=7),"Ref_C,   3 or 4 Cables, Touching",IF(AND(OR(N51="4H1"),N53=8),"Ref F, 2_Cables Touching Flat",IF(AND(OR(N51="4H1"),N53=9),"Ref_F,   3_Cables Touching Flat",IF(AND(OR(N51="4H1"),N53=10),"Ref_F,   3_Cables Touching Trefoil",IF(AND(OR(N51="4H1"),N53=11),"Ref_F,     2 or 3 Cables Spaced Flat Horizontal",IF(AND(OR(N51="4H1"),N53=12),"Ref_F,    2 or 3 Cables Spaced Flat Vertical",IF(AND(OR(N51="4H2"),N53=2),"Ref A, 2_Cables",IF(AND(OR(N51="4H2"),N53=3),"Ref_A,   3 or 4 Cables",IF(AND(OR(N51="4H2"),N53=4),"Ref B, 2_Cables",IF(AND(OR(N51="4H2"),N53=5),"Ref_B,    3 or 4 Cables",IF(AND(OR(N51="4H2"),N53=6),"Ref C, 2_Cables",IF(AND(OR(N51="4H2"),N53=7),"Ref_C,   3 or 4 Cables",IF(AND(OR(N51="4H2"),N53=8),"Ref E, 2_Cables",IF(AND(OR(N51="4H2"),N53=9),"Ref_E,    3 or 4 Cables",IF(AND(OR(N51="4H3"),N53=2),"Ref C, 2_Cables Touching Flat",IF(AND(OR(N51="4H3"),N53=3),"Ref_C,   3 or 4 Cables Touching Flat",IF(AND(OR(N51="4H3"),N53=4),"Ref F, 2_Cables Touching Flat",IF(AND(OR(N51="4H3"),N53=5),"Ref_F,    3 or 4 Cables Touching Flat",IF(AND(OR(N51="4H3"),N53=6),"Ref F, 2_Cables Touching Trefoil",IF(AND(OR(N51="4H3"),N53=7),"Ref_F, 2_Cables, Spaced Horizontal DC",IF(AND(OR(N51="4H3"),N53=8),"Ref F, 2_Cables  Spaced Vertical DC",IF(AND(OR(N51="4H3"),N53=9),"Ref_F, 2_Cables, Spaced Horizontal AC",IF(AND(OR(N51="4H3"),N53=10),"Ref_F, 2_Cables, Spaced Vertical DC",IF(AND(OR(N51="4H3"),N53=11),"Ref_F,    3 or 4 Cables Spaced Horizontal",IF(AND(OR(N51="4H3"),N53=12),"Ref_F,    3 or 4 Cables Spaced Vertical",IF(AND(OR(N51="4H4"),N53=2),"Ref C, 2_Cables",IF(AND(OR(N51="4H4"),N53=3),"Ref_C,   3 or 4 Cables",IF(AND(OR(N51="4H4"),N53=4),"Ref E, 2_Cables",IF(AND(OR(N51="4H4"),N53=5),"Ref_E,    3 or 4 Cables",IF(AND(OR(N51="4H4"),N53=6),"Ref D, 2_Cables",IF(AND(OR(N51="4H4"),N53=7),"Ref_D,   3 or 4 Cables",IF(AND(OR(N51="4H5"),N53=2),"Method 100",IF(AND(OR(N51="4H5"),N53=3),"Method 101",IF(AND(OR(N51="4H5"),N53=4),"Method 102",IF(AND(OR(N51="4H5"),N53=5),"Method 103",IF(AND(OR(N51="4H5"),N53=6),"Ref C",IF(AND(OR(N51="4H5"),N53=7),"Ref_A","")))))))))))))))))))))))))))))))))))))))))),IF(OR(N51="4J1",N51="4J2",N51="4J3",N51="4J4"),IF(AND(N51="4J1",N53&gt;1,N53&lt;13),"Single Core, Non-Armour ",IF(AND(N51="4J2",N53&gt;1,N53&lt;10),"Multi Core, Thermo-plastic Sheath, Non-Armour ",IF(AND(N51="4J3",N53&gt;1,N53&lt;13),"Single Core, Armour ",IF(AND(N51="4J4",N53&gt;1,N53&lt;8),"Multi Core, Armour ",""))))&amp;IF(AND(OR(N51="4J1"),N53=2),"Ref A, 2_Cables",IF(AND(OR(N51="4J1"),N53=3),"Ref_A,   3 or 4 Cables",IF(AND(OR(N51="4J1"),N53=4),"Ref B, 2_Cables",IF(AND(OR(N51="4J1"),N53=5),"Ref_B,    3 or 4 Cables",IF(AND(OR(N51="4J1"),N53=6),"Ref C, 2_Cables Touching Flat",IF(AND(OR(N51="4J1"),N53=7),"Ref_C,   3 or 4 Cables, Touching",IF(AND(OR(N51="4J1"),N53=8),"Ref F, 2_Cables Touching Flat",IF(AND(OR(N51="4J1"),N53=9),"Ref_F,   3_Cables Touching Flat",IF(AND(OR(N51="4J1"),N53=10),"Ref_F,   3_Cables Touching Trefoil",IF(AND(OR(N51="4J1"),N53=11),"Ref_F,    2 or 3 Cables Spaced Flat Horizontal",IF(AND(OR(N51="4J1"),N53=12),"Ref_F,    2 or 3 Cables Spaced Flat Vertical",IF(AND(OR(N51="4J2"),N53=2),"Ref A, 2_Cables",IF(AND(OR(N51="4J2"),N53=3),"Ref_A,   3 or 4 Cables",IF(AND(OR(N51="4J2"),N53=4),"Ref B, 2_Cables",IF(AND(OR(N51="4J2"),N53=5),"Ref_B,    3 or 4 Cables",IF(AND(OR(N51="4J2"),N53=6),"Ref C, 2_Cables",IF(AND(OR(N51="4J2"),N53=7),"Ref_C,   3 or 4 Cables",IF(AND(OR(N51="4J2"),N53=8),"Ref E, 2_Cables",IF(AND(OR(N51="4J2"),N53=9),"Ref_E,    3 or 4 Cables",IF(AND(OR(N51="4J3"),N53=2),"Ref C, 2_Cables Touching Flat",IF(AND(OR(N51="4J3"),N53=3),"Ref_C,   3 or 4 Cables Touching Flat",IF(AND(OR(N51="4J3"),N53=4),"Ref F, 2_Cables Touching Flat",IF(AND(OR(N51="4J3"),N53=5),"Ref_F,    3 or 4 Cables Touching Flat",IF(AND(OR(N51="4J3"),N53=6),"Ref F, 2_Cables Touching Trefoil",IF(AND(OR(N51="4J3"),N53=7),"Ref_F, 2_Cables, Spaced Horizontal DC",IF(AND(OR(N51="4J3"),N53=8),"Ref F, 2_Cables  Spaced Vertical DC",IF(AND(OR(N51="4J3"),N53=9),"Ref_F, 2_Cables, Spaced Horizontal AC",IF(AND(OR(N51="4J3"),N53=10),"Ref_F, 2_Cables, Spaced Vertical DC",IF(AND(OR(N51="4J3"),N53=11),"Ref_F,    3 or 4 Cables Spaced Horizontal",IF(AND(OR(N51="4J3"),N53=12),"Ref_F,    3 or 4 Cables Spaced Vertical",IF(AND(OR(N51="4J4"),N53=2),"Ref C, 2_Cables",IF(AND(OR(N51="4J4"),N53=3),"Ref_C,   3 or 4 Cables",IF(AND(OR(N51="4J4"),N53=4),"Ref E, 2_Cables",IF(AND(OR(N51="4J4"),N53=5),"Ref_E,    3 or 4 Cables",IF(AND(OR(N51="4J4"),N53=6),"Ref D, 2_Cables",IF(AND(OR(N51="4J4"),N53=7),"Ref_D,   3 or 4 Cables","")))))))))))))))))))))))))))))))))))),"")))</f>
        <v/>
      </c>
      <c r="O48" s="164"/>
    </row>
    <row r="49" spans="1:43" s="173" customFormat="1" ht="16">
      <c r="A49" s="128"/>
      <c r="B49" s="176"/>
    </row>
    <row r="50" spans="1:43" s="173" customFormat="1" ht="16">
      <c r="A50" s="128"/>
      <c r="B50" s="176"/>
    </row>
    <row r="51" spans="1:43" ht="15.75" customHeight="1">
      <c r="A51" s="395" t="s">
        <v>2104</v>
      </c>
      <c r="B51" s="132" t="s">
        <v>2105</v>
      </c>
      <c r="C51" s="133"/>
      <c r="D51" s="177" t="str">
        <f>IF(AND(D57=3,D23&lt;225),"4D2",IF(AND(D57=1,D23&lt;251),"4D2",IF(AND(D57=3,D23&gt;=225),"4D1",IF(AND(D57=1,D23&gt;=251),"4D1",""))))</f>
        <v>4D2</v>
      </c>
      <c r="E51" s="178" t="s">
        <v>2107</v>
      </c>
      <c r="F51" s="178" t="s">
        <v>2107</v>
      </c>
      <c r="G51" s="178" t="s">
        <v>2107</v>
      </c>
      <c r="H51" s="178" t="s">
        <v>2107</v>
      </c>
      <c r="I51" s="178" t="s">
        <v>2107</v>
      </c>
      <c r="J51" s="177" t="str">
        <f>IF(AND(J57=3,J23&lt;225),"4D2",IF(AND(J57=1,J23&lt;251),"4D2",IF(AND(J57=3,J23&gt;=225),"4D1",IF(AND(J57=1,J23&gt;=251),"4D1",""))))</f>
        <v>4D2</v>
      </c>
      <c r="K51" s="178" t="s">
        <v>2107</v>
      </c>
      <c r="L51" s="178" t="s">
        <v>2107</v>
      </c>
      <c r="M51" s="179"/>
      <c r="N51" s="178" t="s">
        <v>2107</v>
      </c>
      <c r="O51" s="134"/>
      <c r="P51" s="128"/>
      <c r="Q51" s="128"/>
      <c r="R51" s="128"/>
      <c r="S51" s="128"/>
      <c r="T51" s="128"/>
      <c r="U51" s="128"/>
      <c r="V51" s="128"/>
      <c r="W51" s="128"/>
      <c r="X51" s="128"/>
      <c r="Y51" s="128"/>
      <c r="Z51" s="128"/>
      <c r="AA51" s="128"/>
      <c r="AB51" s="128"/>
      <c r="AC51" s="128"/>
      <c r="AD51" s="152"/>
      <c r="AQ51" s="117"/>
    </row>
    <row r="52" spans="1:43" ht="15.75" customHeight="1">
      <c r="A52" s="396"/>
      <c r="B52" s="156"/>
      <c r="C52" s="148"/>
      <c r="D52" s="144"/>
      <c r="E52" s="144"/>
      <c r="F52" s="144"/>
      <c r="G52" s="144"/>
      <c r="H52" s="144"/>
      <c r="I52" s="144"/>
      <c r="J52" s="144"/>
      <c r="K52" s="144"/>
      <c r="L52" s="144"/>
      <c r="M52" s="148"/>
      <c r="N52" s="180"/>
      <c r="O52" s="148"/>
      <c r="P52" s="130"/>
      <c r="Q52" s="130"/>
      <c r="R52" s="130"/>
      <c r="S52" s="130"/>
      <c r="T52" s="130"/>
      <c r="U52" s="130"/>
      <c r="V52" s="130"/>
      <c r="W52" s="130"/>
      <c r="X52" s="130"/>
      <c r="Y52" s="130"/>
      <c r="Z52" s="130"/>
      <c r="AA52" s="130"/>
      <c r="AB52" s="130"/>
      <c r="AC52" s="130"/>
      <c r="AD52" s="152"/>
      <c r="AQ52" s="117"/>
    </row>
    <row r="53" spans="1:43" ht="16">
      <c r="A53" s="396"/>
      <c r="B53" s="156" t="s">
        <v>2108</v>
      </c>
      <c r="C53" s="148"/>
      <c r="D53" s="145">
        <f>IF(AND(D57=3,D51="4D2"),7,IF(AND(D57=1,D51="4D2"),6,IF(AND(D57=3,D51="4D1"),9,IF(AND(D57=1,D51="4D1"),8,""))))</f>
        <v>6</v>
      </c>
      <c r="E53" s="145">
        <v>6</v>
      </c>
      <c r="F53" s="145">
        <v>6</v>
      </c>
      <c r="G53" s="145">
        <v>6</v>
      </c>
      <c r="H53" s="145">
        <v>6</v>
      </c>
      <c r="I53" s="145">
        <v>12</v>
      </c>
      <c r="J53" s="145">
        <f>IF(AND(J57=3,J51="4D2"),7,IF(AND(J57=1,J51="4D2"),6,IF(AND(J57=3,J23&gt;=100),9,IF(AND(J57=1,J23&gt;=101),8,""))))</f>
        <v>6</v>
      </c>
      <c r="K53" s="145">
        <v>6</v>
      </c>
      <c r="L53" s="145">
        <v>6</v>
      </c>
      <c r="M53" s="157"/>
      <c r="N53" s="145">
        <v>11</v>
      </c>
      <c r="O53" s="148"/>
      <c r="P53" s="130"/>
      <c r="Q53" s="130"/>
      <c r="R53" s="130"/>
      <c r="S53" s="130"/>
      <c r="T53" s="130"/>
      <c r="U53" s="130"/>
      <c r="V53" s="130"/>
      <c r="W53" s="130"/>
      <c r="X53" s="130"/>
      <c r="Y53" s="130"/>
      <c r="Z53" s="130"/>
      <c r="AA53" s="130"/>
      <c r="AB53" s="130"/>
      <c r="AC53" s="130"/>
      <c r="AD53" s="152"/>
      <c r="AQ53" s="117"/>
    </row>
    <row r="54" spans="1:43" ht="16">
      <c r="A54" s="396"/>
      <c r="B54" s="156"/>
      <c r="C54" s="148"/>
      <c r="D54" s="180"/>
      <c r="E54" s="180"/>
      <c r="F54" s="180"/>
      <c r="G54" s="180"/>
      <c r="H54" s="145"/>
      <c r="I54" s="180"/>
      <c r="J54" s="145"/>
      <c r="K54" s="180"/>
      <c r="L54" s="180"/>
      <c r="M54" s="148"/>
      <c r="N54" s="180"/>
      <c r="O54" s="148"/>
      <c r="P54" s="130"/>
      <c r="Q54" s="130"/>
      <c r="R54" s="130"/>
      <c r="S54" s="130"/>
      <c r="T54" s="130"/>
      <c r="U54" s="130"/>
      <c r="V54" s="130"/>
      <c r="W54" s="130"/>
      <c r="X54" s="130"/>
      <c r="Y54" s="130"/>
      <c r="Z54" s="130"/>
      <c r="AA54" s="130"/>
      <c r="AB54" s="130"/>
      <c r="AC54" s="130"/>
      <c r="AD54" s="152"/>
      <c r="AQ54" s="117"/>
    </row>
    <row r="55" spans="1:43" ht="16">
      <c r="A55" s="396"/>
      <c r="B55" s="156" t="s">
        <v>2109</v>
      </c>
      <c r="C55" s="148"/>
      <c r="D55" s="180" t="s">
        <v>2110</v>
      </c>
      <c r="E55" s="180" t="s">
        <v>2163</v>
      </c>
      <c r="F55" s="180" t="s">
        <v>2163</v>
      </c>
      <c r="G55" s="180" t="s">
        <v>2163</v>
      </c>
      <c r="H55" s="180" t="s">
        <v>2163</v>
      </c>
      <c r="I55" s="180" t="s">
        <v>2163</v>
      </c>
      <c r="J55" s="180" t="s">
        <v>2110</v>
      </c>
      <c r="K55" s="180" t="s">
        <v>2163</v>
      </c>
      <c r="L55" s="180" t="s">
        <v>2110</v>
      </c>
      <c r="M55" s="148"/>
      <c r="N55" s="180" t="s">
        <v>2110</v>
      </c>
      <c r="O55" s="148"/>
      <c r="P55" s="130"/>
      <c r="Q55" s="130"/>
      <c r="R55" s="130"/>
      <c r="S55" s="130"/>
      <c r="T55" s="130"/>
      <c r="U55" s="130"/>
      <c r="V55" s="130"/>
      <c r="W55" s="130"/>
      <c r="X55" s="130"/>
      <c r="Y55" s="130"/>
      <c r="Z55" s="130"/>
      <c r="AA55" s="130"/>
      <c r="AB55" s="130"/>
      <c r="AC55" s="130"/>
      <c r="AD55" s="152"/>
      <c r="AQ55" s="117"/>
    </row>
    <row r="56" spans="1:43" ht="16">
      <c r="A56" s="396"/>
      <c r="B56" s="156"/>
      <c r="C56" s="148"/>
      <c r="D56" s="180"/>
      <c r="E56" s="180"/>
      <c r="F56" s="180"/>
      <c r="G56" s="180"/>
      <c r="H56" s="145"/>
      <c r="I56" s="180"/>
      <c r="J56" s="145"/>
      <c r="K56" s="180"/>
      <c r="L56" s="180"/>
      <c r="M56" s="148"/>
      <c r="N56" s="180"/>
      <c r="O56" s="148"/>
      <c r="P56" s="130"/>
      <c r="Q56" s="130"/>
      <c r="R56" s="130"/>
      <c r="S56" s="130"/>
      <c r="T56" s="130"/>
      <c r="U56" s="130"/>
      <c r="V56" s="130"/>
      <c r="W56" s="130"/>
      <c r="X56" s="130"/>
      <c r="Y56" s="130"/>
      <c r="Z56" s="130"/>
      <c r="AA56" s="130"/>
      <c r="AB56" s="130"/>
      <c r="AC56" s="130"/>
      <c r="AD56" s="152"/>
      <c r="AQ56" s="117"/>
    </row>
    <row r="57" spans="1:43" ht="16">
      <c r="A57" s="396"/>
      <c r="B57" s="156" t="s">
        <v>2111</v>
      </c>
      <c r="C57" s="148"/>
      <c r="D57" s="180">
        <f>IF(AND(OR('Customer Base'!D7="Grid-tied",'Customer Base'!D$13="Deye"),'Customer Base'!D$14&gt;=10),'Customer Base'!D$9,1)</f>
        <v>1</v>
      </c>
      <c r="E57" s="180">
        <v>1</v>
      </c>
      <c r="F57" s="180">
        <v>1</v>
      </c>
      <c r="G57" s="180">
        <v>1</v>
      </c>
      <c r="H57" s="180">
        <v>1</v>
      </c>
      <c r="I57" s="180">
        <v>1</v>
      </c>
      <c r="J57" s="145">
        <f>'Customer Base'!D9</f>
        <v>1</v>
      </c>
      <c r="K57" s="180">
        <v>1</v>
      </c>
      <c r="L57" s="180">
        <v>3</v>
      </c>
      <c r="M57" s="148"/>
      <c r="N57" s="180">
        <v>3</v>
      </c>
      <c r="O57" s="148" t="str">
        <f>IF(N57&lt;&gt;"","Φ","")</f>
        <v>Φ</v>
      </c>
      <c r="P57" s="130"/>
      <c r="Q57" s="130"/>
      <c r="R57" s="130"/>
      <c r="S57" s="130"/>
      <c r="T57" s="130"/>
      <c r="U57" s="130"/>
      <c r="V57" s="130"/>
      <c r="W57" s="130"/>
      <c r="X57" s="130"/>
      <c r="Y57" s="130"/>
      <c r="Z57" s="130"/>
      <c r="AA57" s="130"/>
      <c r="AB57" s="130"/>
      <c r="AC57" s="130"/>
      <c r="AD57" s="152"/>
      <c r="AQ57" s="117"/>
    </row>
    <row r="58" spans="1:43" ht="16">
      <c r="A58" s="396"/>
      <c r="B58" s="156"/>
      <c r="C58" s="148"/>
      <c r="D58" s="180"/>
      <c r="E58" s="180"/>
      <c r="F58" s="180"/>
      <c r="G58" s="180"/>
      <c r="H58" s="145"/>
      <c r="I58" s="145"/>
      <c r="J58" s="145"/>
      <c r="K58" s="180"/>
      <c r="L58" s="180"/>
      <c r="M58" s="148"/>
      <c r="N58" s="180"/>
      <c r="O58" s="148"/>
      <c r="P58" s="130"/>
      <c r="Q58" s="130"/>
      <c r="R58" s="130"/>
      <c r="S58" s="130"/>
      <c r="T58" s="130"/>
      <c r="U58" s="130"/>
      <c r="V58" s="130"/>
      <c r="W58" s="130"/>
      <c r="X58" s="130"/>
      <c r="Y58" s="130"/>
      <c r="Z58" s="130"/>
      <c r="AA58" s="130"/>
      <c r="AB58" s="130"/>
      <c r="AC58" s="130"/>
      <c r="AD58" s="152"/>
      <c r="AQ58" s="117"/>
    </row>
    <row r="59" spans="1:43" ht="16">
      <c r="A59" s="396"/>
      <c r="B59" s="156" t="s">
        <v>2112</v>
      </c>
      <c r="C59" s="148"/>
      <c r="D59" s="180" t="s">
        <v>2113</v>
      </c>
      <c r="E59" s="180" t="s">
        <v>2113</v>
      </c>
      <c r="F59" s="180" t="s">
        <v>2113</v>
      </c>
      <c r="G59" s="180" t="s">
        <v>2113</v>
      </c>
      <c r="H59" s="180" t="s">
        <v>2113</v>
      </c>
      <c r="I59" s="180" t="s">
        <v>2113</v>
      </c>
      <c r="J59" s="180" t="s">
        <v>2113</v>
      </c>
      <c r="K59" s="180" t="s">
        <v>2113</v>
      </c>
      <c r="L59" s="180" t="s">
        <v>2113</v>
      </c>
      <c r="M59" s="148"/>
      <c r="N59" s="180" t="s">
        <v>2113</v>
      </c>
      <c r="O59" s="148"/>
      <c r="P59" s="130"/>
      <c r="Q59" s="130"/>
      <c r="R59" s="130"/>
      <c r="S59" s="130"/>
      <c r="T59" s="130"/>
      <c r="U59" s="130"/>
      <c r="V59" s="130"/>
      <c r="W59" s="130"/>
      <c r="X59" s="130"/>
      <c r="Y59" s="130"/>
      <c r="Z59" s="130"/>
      <c r="AA59" s="130"/>
      <c r="AB59" s="130"/>
      <c r="AC59" s="130"/>
      <c r="AD59" s="152"/>
      <c r="AQ59" s="117"/>
    </row>
    <row r="60" spans="1:43" s="173" customFormat="1" ht="16">
      <c r="A60" s="397"/>
      <c r="B60" s="175"/>
      <c r="C60" s="164"/>
      <c r="D60" s="142"/>
      <c r="E60" s="142"/>
      <c r="F60" s="142"/>
      <c r="G60" s="142"/>
      <c r="H60" s="142"/>
      <c r="I60" s="142"/>
      <c r="J60" s="142"/>
      <c r="K60" s="142"/>
      <c r="L60" s="142"/>
      <c r="M60" s="164"/>
      <c r="N60" s="142"/>
      <c r="O60" s="164"/>
    </row>
    <row r="61" spans="1:43" s="128" customFormat="1" ht="18.75" customHeight="1">
      <c r="A61" s="395" t="s">
        <v>2114</v>
      </c>
      <c r="B61" s="181" t="s">
        <v>2115</v>
      </c>
      <c r="C61" s="134"/>
      <c r="D61" s="182">
        <v>1</v>
      </c>
      <c r="E61" s="182">
        <v>1</v>
      </c>
      <c r="F61" s="182">
        <v>1</v>
      </c>
      <c r="G61" s="182">
        <v>1</v>
      </c>
      <c r="H61" s="182">
        <v>1</v>
      </c>
      <c r="I61" s="182">
        <v>1</v>
      </c>
      <c r="J61" s="182">
        <v>1</v>
      </c>
      <c r="K61" s="182">
        <v>1</v>
      </c>
      <c r="L61" s="182">
        <v>1</v>
      </c>
      <c r="M61" s="134"/>
      <c r="N61" s="182">
        <v>1</v>
      </c>
      <c r="O61" s="134"/>
    </row>
    <row r="62" spans="1:43" s="128" customFormat="1" ht="18.75" customHeight="1">
      <c r="A62" s="396"/>
      <c r="B62" s="183" t="s">
        <v>2116</v>
      </c>
      <c r="C62" s="157"/>
      <c r="D62" s="145">
        <f>IF(D27&lt;125,0.9,1)</f>
        <v>0.9</v>
      </c>
      <c r="E62" s="145">
        <v>1</v>
      </c>
      <c r="F62" s="145">
        <v>1</v>
      </c>
      <c r="G62" s="145">
        <v>1</v>
      </c>
      <c r="H62" s="145">
        <v>1</v>
      </c>
      <c r="I62" s="145">
        <v>0.81</v>
      </c>
      <c r="J62" s="145">
        <v>1</v>
      </c>
      <c r="K62" s="145">
        <v>1</v>
      </c>
      <c r="L62" s="145">
        <v>1</v>
      </c>
      <c r="M62" s="157"/>
      <c r="N62" s="145">
        <v>0.9</v>
      </c>
      <c r="O62" s="157"/>
    </row>
    <row r="63" spans="1:43" s="128" customFormat="1" ht="18.75" customHeight="1">
      <c r="A63" s="396"/>
      <c r="B63" s="183" t="s">
        <v>2117</v>
      </c>
      <c r="C63" s="157"/>
      <c r="D63" s="145">
        <v>1</v>
      </c>
      <c r="E63" s="145">
        <v>1</v>
      </c>
      <c r="F63" s="145">
        <v>1</v>
      </c>
      <c r="G63" s="145">
        <v>1</v>
      </c>
      <c r="H63" s="145">
        <v>1</v>
      </c>
      <c r="I63" s="145">
        <v>1</v>
      </c>
      <c r="J63" s="145">
        <v>1</v>
      </c>
      <c r="K63" s="145">
        <v>1</v>
      </c>
      <c r="L63" s="145">
        <v>1</v>
      </c>
      <c r="M63" s="157"/>
      <c r="N63" s="145">
        <v>1</v>
      </c>
      <c r="O63" s="157"/>
    </row>
    <row r="64" spans="1:43" s="128" customFormat="1" ht="18.75" customHeight="1">
      <c r="A64" s="396"/>
      <c r="B64" s="183" t="s">
        <v>2118</v>
      </c>
      <c r="C64" s="157"/>
      <c r="D64" s="145">
        <v>1</v>
      </c>
      <c r="E64" s="145">
        <v>1</v>
      </c>
      <c r="F64" s="145">
        <v>1</v>
      </c>
      <c r="G64" s="145">
        <v>1</v>
      </c>
      <c r="H64" s="145">
        <v>1</v>
      </c>
      <c r="I64" s="145">
        <v>1</v>
      </c>
      <c r="J64" s="145">
        <v>1</v>
      </c>
      <c r="K64" s="145">
        <v>1</v>
      </c>
      <c r="L64" s="145">
        <v>1</v>
      </c>
      <c r="M64" s="157"/>
      <c r="N64" s="145">
        <v>1</v>
      </c>
      <c r="O64" s="157"/>
    </row>
    <row r="65" spans="1:43" s="128" customFormat="1" ht="18.75" customHeight="1">
      <c r="A65" s="396"/>
      <c r="B65" s="183" t="s">
        <v>2119</v>
      </c>
      <c r="C65" s="157"/>
      <c r="D65" s="145">
        <v>1</v>
      </c>
      <c r="E65" s="145">
        <v>1</v>
      </c>
      <c r="F65" s="145">
        <v>1</v>
      </c>
      <c r="G65" s="145">
        <v>1</v>
      </c>
      <c r="H65" s="145">
        <v>1</v>
      </c>
      <c r="I65" s="145">
        <v>1</v>
      </c>
      <c r="J65" s="145">
        <v>1</v>
      </c>
      <c r="K65" s="145">
        <v>1</v>
      </c>
      <c r="L65" s="145">
        <v>1</v>
      </c>
      <c r="M65" s="157"/>
      <c r="N65" s="145">
        <v>1</v>
      </c>
      <c r="O65" s="157"/>
    </row>
    <row r="66" spans="1:43" s="128" customFormat="1" ht="18.75" customHeight="1">
      <c r="A66" s="396"/>
      <c r="B66" s="183" t="s">
        <v>2120</v>
      </c>
      <c r="C66" s="157"/>
      <c r="D66" s="145">
        <v>1</v>
      </c>
      <c r="E66" s="145">
        <v>1</v>
      </c>
      <c r="F66" s="145">
        <v>1</v>
      </c>
      <c r="G66" s="145">
        <v>1</v>
      </c>
      <c r="H66" s="145">
        <v>1</v>
      </c>
      <c r="I66" s="145">
        <v>1</v>
      </c>
      <c r="J66" s="145">
        <v>1</v>
      </c>
      <c r="K66" s="145">
        <v>1</v>
      </c>
      <c r="L66" s="145">
        <v>1</v>
      </c>
      <c r="M66" s="157"/>
      <c r="N66" s="145">
        <v>1</v>
      </c>
      <c r="O66" s="157"/>
    </row>
    <row r="67" spans="1:43" s="128" customFormat="1" ht="18.75" customHeight="1">
      <c r="A67" s="396"/>
      <c r="B67" s="183" t="s">
        <v>2121</v>
      </c>
      <c r="C67" s="157"/>
      <c r="D67" s="145">
        <v>1</v>
      </c>
      <c r="E67" s="145">
        <v>1</v>
      </c>
      <c r="F67" s="145">
        <v>1</v>
      </c>
      <c r="G67" s="145">
        <v>1</v>
      </c>
      <c r="H67" s="145">
        <v>1</v>
      </c>
      <c r="I67" s="145">
        <v>1</v>
      </c>
      <c r="J67" s="145">
        <v>1</v>
      </c>
      <c r="K67" s="145">
        <v>1</v>
      </c>
      <c r="L67" s="145">
        <v>1</v>
      </c>
      <c r="M67" s="157"/>
      <c r="N67" s="145">
        <v>1</v>
      </c>
      <c r="O67" s="157"/>
    </row>
    <row r="68" spans="1:43" ht="15.75" customHeight="1">
      <c r="A68" s="397"/>
      <c r="B68" s="148"/>
      <c r="C68" s="157"/>
      <c r="D68" s="184"/>
      <c r="E68" s="184"/>
      <c r="F68" s="184"/>
      <c r="G68" s="184"/>
      <c r="H68" s="184"/>
      <c r="I68" s="184"/>
      <c r="J68" s="184"/>
      <c r="K68" s="184"/>
      <c r="L68" s="184"/>
      <c r="M68" s="148"/>
      <c r="N68" s="180"/>
      <c r="O68" s="157"/>
      <c r="P68" s="128"/>
      <c r="Q68" s="128"/>
      <c r="R68" s="128"/>
      <c r="S68" s="128"/>
      <c r="T68" s="128"/>
      <c r="U68" s="128"/>
      <c r="V68" s="128"/>
      <c r="W68" s="128"/>
      <c r="X68" s="128"/>
      <c r="Y68" s="128"/>
      <c r="Z68" s="128"/>
      <c r="AA68" s="128"/>
      <c r="AB68" s="128"/>
      <c r="AC68" s="128"/>
      <c r="AD68" s="152"/>
      <c r="AQ68" s="117"/>
    </row>
    <row r="69" spans="1:43" s="173" customFormat="1" ht="17">
      <c r="A69" s="134"/>
      <c r="B69" s="172" t="s">
        <v>2122</v>
      </c>
      <c r="C69" s="161"/>
      <c r="D69" s="185">
        <f>'Customer Base'!D32</f>
        <v>10</v>
      </c>
      <c r="E69" s="185">
        <f>'Customer Base'!D31</f>
        <v>18</v>
      </c>
      <c r="F69" s="185">
        <f>E69</f>
        <v>18</v>
      </c>
      <c r="G69" s="185">
        <f>E69</f>
        <v>18</v>
      </c>
      <c r="H69" s="185">
        <f>E69</f>
        <v>18</v>
      </c>
      <c r="I69" s="185">
        <v>50</v>
      </c>
      <c r="J69" s="185">
        <v>50</v>
      </c>
      <c r="K69" s="185">
        <f>E69</f>
        <v>18</v>
      </c>
      <c r="L69" s="185">
        <f>E69</f>
        <v>18</v>
      </c>
      <c r="M69" s="161"/>
      <c r="N69" s="185">
        <v>50</v>
      </c>
      <c r="O69" s="133" t="str">
        <f>IF(N69&lt;&gt;"","m.","")</f>
        <v>m.</v>
      </c>
    </row>
    <row r="70" spans="1:43" s="173" customFormat="1" ht="16">
      <c r="A70" s="157"/>
      <c r="B70" s="186"/>
      <c r="C70" s="163"/>
      <c r="D70" s="187"/>
      <c r="E70" s="187"/>
      <c r="F70" s="187"/>
      <c r="G70" s="187"/>
      <c r="H70" s="187"/>
      <c r="I70" s="187"/>
      <c r="J70" s="187"/>
      <c r="K70" s="187"/>
      <c r="L70" s="187"/>
      <c r="M70" s="163"/>
      <c r="N70" s="187"/>
      <c r="O70" s="163"/>
    </row>
    <row r="71" spans="1:43" s="173" customFormat="1" ht="17">
      <c r="A71" s="157"/>
      <c r="B71" s="186" t="s">
        <v>2123</v>
      </c>
      <c r="C71" s="163"/>
      <c r="D71" s="187" t="s">
        <v>2124</v>
      </c>
      <c r="E71" s="187" t="s">
        <v>2124</v>
      </c>
      <c r="F71" s="187" t="s">
        <v>2124</v>
      </c>
      <c r="G71" s="187" t="s">
        <v>2124</v>
      </c>
      <c r="H71" s="187" t="s">
        <v>2124</v>
      </c>
      <c r="I71" s="187" t="s">
        <v>2124</v>
      </c>
      <c r="J71" s="187" t="s">
        <v>2124</v>
      </c>
      <c r="K71" s="187" t="s">
        <v>2124</v>
      </c>
      <c r="L71" s="187" t="s">
        <v>2124</v>
      </c>
      <c r="M71" s="163"/>
      <c r="N71" s="187" t="s">
        <v>2124</v>
      </c>
      <c r="O71" s="163"/>
    </row>
    <row r="72" spans="1:43" s="173" customFormat="1" ht="16">
      <c r="A72" s="141"/>
      <c r="B72" s="175"/>
      <c r="C72" s="164"/>
      <c r="D72" s="142"/>
      <c r="E72" s="142"/>
      <c r="F72" s="142"/>
      <c r="G72" s="142"/>
      <c r="H72" s="142"/>
      <c r="I72" s="142"/>
      <c r="J72" s="142"/>
      <c r="K72" s="142"/>
      <c r="L72" s="142"/>
      <c r="M72" s="164"/>
      <c r="N72" s="142"/>
      <c r="O72" s="164"/>
    </row>
    <row r="73" spans="1:43" s="173" customFormat="1" ht="16">
      <c r="A73" s="128"/>
      <c r="B73" s="176"/>
    </row>
    <row r="74" spans="1:43" s="173" customFormat="1" ht="16">
      <c r="A74" s="128"/>
      <c r="B74" s="176"/>
    </row>
    <row r="75" spans="1:43" s="129" customFormat="1" ht="16">
      <c r="A75" s="395" t="s">
        <v>2093</v>
      </c>
      <c r="B75" s="398" t="s">
        <v>2125</v>
      </c>
      <c r="C75" s="134"/>
      <c r="D75" s="134" cm="1">
        <f t="array" ref="D75">IF(D29="","",IF(OR(D51="4D1",D51="4D2",D51="4D3",D51="4D4",D51="4D5"),IF(AND(D51="4D1",D53=2),INDEX(T!$B6:$B22,MATCH(TRUE,INDEX(T!$B6:$B22&gt;=D29,0),)),IF(AND(D51="4D1",D53=3),INDEX(T!$C$6:$C22,MATCH(TRUE,INDEX(T!$C$6:$C22&gt;=D29,0),)),IF(AND(D51="4D1",D53=4),INDEX(T!$D6:$D25,MATCH(TRUE,INDEX(T!$D6:$D25&gt;=D29,0),)),IF(AND(D51="4D1",D53=5),INDEX(T!$E6:$E25,MATCH(TRUE,INDEX(T!$E6:$E25&gt;=D29,0),)),IF(AND(D51="4D1",D53=6),INDEX(T!$F6:$F27,MATCH(TRUE,INDEX(T!$F6:$F27&gt;=D29,0),)),IF(AND(D51="4D1",D53=7),INDEX(T!$G6:$G27,MATCH(TRUE,INDEX(T!$G6:$G27&gt;=D29,0),)),IF(AND(D51="4D1",D53=8),INDEX(T!$H13:$H27,MATCH(TRUE,INDEX(T!$H13:$H27&gt;=D29,0),)),IF(AND(D51="4D1",D53=9),INDEX(T!$I13:$I27,MATCH(TRUE,INDEX(T!$I13:$I27&gt;=D29,0),)),IF(AND(D51="4D1",D53=10),INDEX(T!$J13:$J27,MATCH(TRUE,INDEX(T!$J13:$J27&gt;=D29,0),)),IF(AND(D51="4D1",D53=11),INDEX(T!$K13:$K27,MATCH(TRUE,INDEX(T!$K13:$K27&gt;=D29,0),)),IF(AND(D51="4D1",D53=12),INDEX(T!$L$13:$L27,MATCH(TRUE,INDEX(T!$L$13:$L27&gt;=D29,0),)),IF(AND(D51="4D2",D53=2),INDEX(T!$B33:$B49,MATCH(TRUE,INDEX(T!$B33:$B49&gt;=D29,0),)),IF(AND(D51="4D2",D53=3),INDEX(T!$C$33:$C49,MATCH(TRUE,INDEX(T!$C$33:$C49&gt;=D29,0),)),IF(AND(D51="4D2",D53=4),INDEX(T!$D33:$D50,MATCH(TRUE,INDEX(T!$D33:$D50&gt;=D29,0),)),IF(AND(D51="4D2",D53=5),INDEX(T!$E33:$E50,MATCH(TRUE,INDEX(T!$E33:$E50&gt;=D29,0),)),IF(AND(D51="4D2",D53=6),INDEX(T!$F33:$F50,MATCH(TRUE,INDEX(T!$F33:$F50&gt;=D29,0),)),IF(AND(D51="4D2",D53=7),INDEX(T!$G33:$G50,MATCH(TRUE,INDEX(T!$G33:$G50&gt;=D29,0),)),IF(AND(D51="4D2",D53=8),INDEX(T!$H33:$H50,MATCH(TRUE,INDEX(T!$H33:$H50&gt;=D29,0),)),IF(AND(D51="4D2",D53=9),INDEX(T!$I33:$I50,MATCH(TRUE,INDEX(T!$I33:$I50&gt;=D29,0),)),IF(AND(D51="4D3",D53=2),INDEX(T!$B56:$B68,MATCH(TRUE,INDEX(T!$B56:$B68&gt;=D29,0),)),IF(AND(D51="4D3",D53=3),INDEX(T!$C$56:$C68,MATCH(TRUE,INDEX(T!$C$56:$C68&gt;=D29,0),)),IF(AND(D51="4D3",D53=4),INDEX(T!$D56:$D68,MATCH(TRUE,INDEX(T!$D56:$D68&gt;=D29,0),)),IF(AND(D51="4D3",D53=5),INDEX(T!$E56:$E68,MATCH(TRUE,INDEX(T!$E56:$E68&gt;=D29,0),)),IF(AND(D51="4D3",D53=6),INDEX(T!$F56:$F68,MATCH(TRUE,INDEX(T!$F56:$F68&gt;=D29,0),)),IF(AND(D51="4D3",D53=7),INDEX(T!$G56:$G68,MATCH(TRUE,INDEX(T!$G56:$G68&gt;=D29,0),)),IF(AND(D51="4D3",D53=8),INDEX(T!$H56:$H68,MATCH(TRUE,INDEX(T!$H56:$H68&gt;=D29,0),)),IF(AND(D51="4D3",D53=9),INDEX(T!$I56:$I68,MATCH(TRUE,INDEX(T!$I56:$I68&gt;=D29,0),)),IF(AND(D51="4D3",D53=10),INDEX(T!$J56:$J68,MATCH(TRUE,INDEX(T!$J56:$J68&gt;=D29,0),)),IF(AND(D51="4D3",D53=11),INDEX(T!$K56:$K68,MATCH(TRUE,INDEX(T!$K56:$K68&gt;=D29,0),)),IF(AND(D51="4D3",D53=12),INDEX(T!$L$56:$L68,MATCH(TRUE,INDEX(T!$L$56:$L68&gt;=D29,0),)),IF(AND(D51="4D4",D53=2),INDEX(T!$B74:$B90,MATCH(TRUE,INDEX(T!$B74:$B90&gt;=D29,0),)),IF(AND(D51="4D4",D53=3),INDEX(T!$C$74:$C90,MATCH(TRUE,INDEX(T!$C$74:$C90&gt;=D29,0),)),IF(AND(D51="4D4",D53=4),INDEX(T!$D74:$D90,MATCH(TRUE,INDEX(T!$D74:$D90&gt;=D29,0),)),IF(AND(D51="4D4",D53=5),INDEX(T!$E74:$E90,MATCH(TRUE,INDEX(T!$E74:$E90&gt;=D29,0),)),IF(AND(D51="4D4",D53=6),INDEX(T!$F74:$F89,MATCH(TRUE,INDEX(T!$F74:$F89&gt;=D29,0),)),IF(AND(D51="4D4",D53=7),INDEX(T!$G74:$G89,MATCH(TRUE,INDEX(T!$G74:$G89&gt;=D29,0),)),IF(AND(D51="4D5",D53=2),INDEX(T!$B96:$B102,MATCH(TRUE,INDEX(T!$B96:$B102&gt;=D29,0),)),IF(AND(D51="4D5",D53=3),INDEX(T!$C$96:$C102,MATCH(TRUE,INDEX(T!$C$96:$C102&gt;=D29,0),)),IF(AND(D51="4D5",D53=4),INDEX(T!$D96:$D102,MATCH(TRUE,INDEX(T!$D96:$D102&gt;=D29,0),)),IF(AND(D51="4D5",D53=5),INDEX(T!$E96:$E102,MATCH(TRUE,INDEX(T!$E96:$E102&gt;=D29,0),)),IF(AND(D51="4D5",D53=6),INDEX(T!$F96:$F102,MATCH(TRUE,INDEX(T!$F96:$F102&gt;=D29,0),)),IF(AND(D51="4D5",D53=7),INDEX(T!$G96:$G102,MATCH(TRUE,INDEX(T!$G96:$G102&gt;=D29,0),)))))))))))))))))))))))))))))))))))))))))))),IF(OR(D51="4E1",D51="4E2",D51="4E3",D51="4E4"),IF(AND(D51="4E1",D53=2),INDEX(T!$B108:$B124,MATCH(TRUE,INDEX(T!$B108:$B124&gt;=D29,0),)),IF(AND(D51="4E1",D53=3),INDEX(T!$C$108:$C124,MATCH(TRUE,INDEX(T!$C$108:$C124&gt;=D29,0),)),IF(AND(D51="4E1",D53=4),INDEX(T!$D108:$D127,MATCH(TRUE,INDEX(T!$D108:$D127&gt;=D29,0),)),IF(AND(D51="4E1",D53=5),INDEX(T!$E108:$E127,MATCH(TRUE,INDEX(T!$E108:$E127&gt;=D29,0),)),IF(AND(D51="4E1",D53=6),INDEX(T!$F108:$F129,MATCH(TRUE,INDEX(T!$F108:$F129&gt;=D29,0),)),IF(AND(D51="4E1",D53=7),INDEX(T!$G108:$G129,MATCH(TRUE,INDEX(T!$G108:$G129&gt;=D29,0),)),IF(AND(D51="4E1",D53=8),INDEX(T!$H115:$H129,MATCH(TRUE,INDEX(T!$H115:$H129&gt;=D29,0),)),IF(AND(D51="4E1",D53=9),INDEX(T!$I115:$I129,MATCH(TRUE,INDEX(T!$I115:$I129&gt;=D29,0),)),IF(AND(D51="4E1",D53=10),INDEX(T!$J115:$J129,MATCH(TRUE,INDEX(T!$J115:$J129&gt;=D29,0),)),IF(AND(D51="4E1",D53=11),INDEX(T!$K115:$K129,MATCH(TRUE,INDEX(T!$K115:$K129&gt;=D29,0),)),IF(AND(D51="4E1",D53=12),INDEX(T!$L$115:$L129,MATCH(TRUE,INDEX(T!$L$115:$L129&gt;=D29,0),)),IF(AND(D51="4E2",D53=2),INDEX(T!$B134:$B151,MATCH(TRUE,INDEX(T!$B134:$B151&gt;=D29,0),)),IF(AND(D51="4E2",D53=3),INDEX(T!$C$134:$C151,MATCH(TRUE,INDEX(T!$C$134:$C151&gt;=D29,0),)),IF(AND(D51="4E2",D53=4),INDEX(T!$D134:$D152,MATCH(TRUE,INDEX(T!$D134:$D152&gt;=D29,0),)),IF(AND(D51="4E2",D53=5),INDEX(T!$E134:$E152,MATCH(TRUE,INDEX(T!$E134:$E152&gt;=D29,0),)),IF(AND(D51="4E2",D53=6),INDEX(T!$F134:$F152,MATCH(TRUE,INDEX(T!$F134:$F152&gt;=D29,0),)),IF(AND(D51="4E2",D53=7),INDEX(T!$G134:$G152,MATCH(TRUE,INDEX(T!$G134:$G152&gt;=D29,0),)),IF(AND(D51="4E2",D53=8),INDEX(T!$H134:$H152,MATCH(TRUE,INDEX(T!$H134:$H152&gt;=D29,0),)),IF(AND(D51="4E2",D53=9),INDEX(T!$I134:$I152,MATCH(TRUE,INDEX(T!$I134:$I152&gt;=D29,0),)),IF(AND(D51="4E3",D53=2),INDEX(T!$B158:$B170,MATCH(TRUE,INDEX(T!$B158:$B170&gt;=D29,0),)),IF(AND(D51="4E3",D53=3),INDEX(T!$C$158:$C170,MATCH(TRUE,INDEX(T!$C$158:$C170&gt;=D29,0),)),IF(AND(D51="4E3",D53=4),INDEX(T!$D158:$D170,MATCH(TRUE,INDEX(T!$D158:$D170&gt;=D29,0),)),IF(AND(D51="4E3",D53=5),INDEX(T!$E158:$E170,MATCH(TRUE,INDEX(T!$E158:$E170&gt;=D29,0),)),IF(AND(D51="4E3",D53=6),INDEX(T!$F158:$F170,MATCH(TRUE,INDEX(T!$F158:$F170&gt;=D29,0),)),IF(AND(D51="4E3",D53=7),INDEX(T!$G158:$G170,MATCH(TRUE,INDEX(T!$G158:$G170&gt;=D29,0),)),IF(AND(D51="4E3",D53=8),INDEX(T!$H158:$H170,MATCH(TRUE,INDEX(T!$H158:$H170&gt;=D29,0),)),IF(AND(D51="4E3",D53=9),INDEX(T!$I158:$I170,MATCH(TRUE,INDEX(T!$I56:$I68&gt;=D29,0),)),IF(AND(D51="4E3",D53=10),INDEX(T!$J158:$J170,MATCH(TRUE,INDEX(T!$J158:$J170&gt;=D29,0),)),IF(AND(D51="4E3",D53=11),INDEX(T!$K158:$K170,MATCH(TRUE,INDEX(T!$K158:$K170&gt;=D29,0),)),IF(AND(D51="4E3",D53=12),INDEX(T!$L$158:$L170,MATCH(TRUE,INDEX(T!$L$158:$L170&gt;=D29,0),)),IF(AND(D51="4E4",D53=2),INDEX(T!$B176:$B192,MATCH(TRUE,INDEX(T!$B176:$B192&gt;=D29,0),)),IF(AND(D51="4E4",D53=3),INDEX(T!$C176:$C192,MATCH(TRUE,INDEX(T!$C176:$C192&gt;=D29,0),)),IF(AND(D51="4E4",D53=4),INDEX(T!$D176:$D192,MATCH(TRUE,INDEX(T!$D176:$D192&gt;=D29,0),)),IF(AND(D51="4E4",D53=5),INDEX(T!$E176:$E192,MATCH(TRUE,INDEX(T!$E176:$E192&gt;=D29,0),)),IF(AND(D51="4E4",D53=6),INDEX(T!$F176:$F191,MATCH(TRUE,INDEX(T!$F176:$F191&gt;=D29,0),)),IF(AND(D51="4E4",D53=7),INDEX(T!$G176:$G191,MATCH(TRUE,INDEX(T!$G176:$G191&gt;=D29,0),)),"-")))))))))))))))))))))))))))))))))))),IF(OR(D51="4F1",D51="4F2",D51="4F3"),IF(D29="","",IF(AND(D51="4F1",D53=2),INDEX(T!$B198:$B202,MATCH(TRUE,INDEX(T!$B198:$B202&gt;=D29,0),)),IF(AND(D51="4F1",D53=3),INDEX(T!$C$198:$C211,MATCH(TRUE,INDEX(T!$C$198:$C211&gt;=D29,0),)),IF(AND(D51="4F1",D53=4),INDEX(T!$D203:$D214,MATCH(TRUE,INDEX(T!$D203:$D214&gt;=D29,0),)),IF(AND(D51="4F2",D53=2),INDEX(T!$B220:$B224,MATCH(TRUE,INDEX(T!$B220:$B224&gt;=D29,0),)),IF(AND(D51="4F2",D53=3),INDEX(T!$C$220:$C233,MATCH(TRUE,INDEX(T!$C$220:$C233&gt;=D29,0),)),IF(AND(D51="4F2",D53=4),INDEX(T!$D225:$D236,MATCH(TRUE,INDEX(T!$D225:$D236&gt;=D29,0),)),IF(AND(D51="4F3",D53=2),INDEX(T!$B242:$B248,MATCH(TRUE,INDEX(T!$B242:$B248&gt;=D29,0),)),IF(AND(D51="4F3",D53=3),INDEX(T!$C$242:$C248,MATCH(TRUE,INDEX(T!$C$242:$C248&gt;=D29,0),)),"-"))))))))),""))))</f>
        <v>36</v>
      </c>
      <c r="E75" s="134" cm="1">
        <f t="array" aca="1" ref="E75" ca="1">IF(E29="","",IF(OR(E51="4D1",E51="4D2",E51="4D3",E51="4D4",E51="4D5"),IF(AND(E51="4D1",E53=2),INDEX(T!$B6:$B22,MATCH(TRUE,INDEX(T!$B6:$B22&gt;=E29,0),)),IF(AND(E51="4D1",E53=3),INDEX(T!$C$6:$C22,MATCH(TRUE,INDEX(T!$C$6:$C22&gt;=E29,0),)),IF(AND(E51="4D1",E53=4),INDEX(T!$D6:$D25,MATCH(TRUE,INDEX(T!$D6:$D25&gt;=E29,0),)),IF(AND(E51="4D1",E53=5),INDEX(T!$E6:$E25,MATCH(TRUE,INDEX(T!$E6:$E25&gt;=E29,0),)),IF(AND(E51="4D1",E53=6),INDEX(T!$F6:$F27,MATCH(TRUE,INDEX(T!$F6:$F27&gt;=E29,0),)),IF(AND(E51="4D1",E53=7),INDEX(T!$G6:$G27,MATCH(TRUE,INDEX(T!$G6:$G27&gt;=E29,0),)),IF(AND(E51="4D1",E53=8),INDEX(T!$H13:$H27,MATCH(TRUE,INDEX(T!$H13:$H27&gt;=E29,0),)),IF(AND(E51="4D1",E53=9),INDEX(T!$I13:$I27,MATCH(TRUE,INDEX(T!$I13:$I27&gt;=E29,0),)),IF(AND(E51="4D1",E53=10),INDEX(T!$J13:$J27,MATCH(TRUE,INDEX(T!$J13:$J27&gt;=E29,0),)),IF(AND(E51="4D1",E53=11),INDEX(T!$K13:$K27,MATCH(TRUE,INDEX(T!$K13:$K27&gt;=E29,0),)),IF(AND(E51="4D1",E53=12),INDEX(T!$L$13:$L27,MATCH(TRUE,INDEX(T!$L$13:$L27&gt;=E29,0),)),IF(AND(E51="4D2",E53=2),INDEX(T!$B33:$B49,MATCH(TRUE,INDEX(T!$B33:$B49&gt;=E29,0),)),IF(AND(E51="4D2",E53=3),INDEX(T!$C$33:$C49,MATCH(TRUE,INDEX(T!$C$33:$C49&gt;=E29,0),)),IF(AND(E51="4D2",E53=4),INDEX(T!$D33:$D50,MATCH(TRUE,INDEX(T!$D33:$D50&gt;=E29,0),)),IF(AND(E51="4D2",E53=5),INDEX(T!$E33:$E50,MATCH(TRUE,INDEX(T!$E33:$E50&gt;=E29,0),)),IF(AND(E51="4D2",E53=6),INDEX(T!$F33:$F50,MATCH(TRUE,INDEX(T!$F33:$F50&gt;=E29,0),)),IF(AND(E51="4D2",E53=7),INDEX(T!$G33:$G50,MATCH(TRUE,INDEX(T!$G33:$G50&gt;=E29,0),)),IF(AND(E51="4D2",E53=8),INDEX(T!$H33:$H50,MATCH(TRUE,INDEX(T!$H33:$H50&gt;=E29,0),)),IF(AND(E51="4D2",E53=9),INDEX(T!$I33:$I50,MATCH(TRUE,INDEX(T!$I33:$I50&gt;=E29,0),)),IF(AND(E51="4D3",E53=2),INDEX(T!$B56:$B68,MATCH(TRUE,INDEX(T!$B56:$B68&gt;=E29,0),)),IF(AND(E51="4D3",E53=3),INDEX(T!$C$56:$C68,MATCH(TRUE,INDEX(T!$C$56:$C68&gt;=E29,0),)),IF(AND(E51="4D3",E53=4),INDEX(T!$D56:$D68,MATCH(TRUE,INDEX(T!$D56:$D68&gt;=E29,0),)),IF(AND(E51="4D3",E53=5),INDEX(T!$E56:$E68,MATCH(TRUE,INDEX(T!$E56:$E68&gt;=E29,0),)),IF(AND(E51="4D3",E53=6),INDEX(T!$F56:$F68,MATCH(TRUE,INDEX(T!$F56:$F68&gt;=E29,0),)),IF(AND(E51="4D3",E53=7),INDEX(T!$G56:$G68,MATCH(TRUE,INDEX(T!$G56:$G68&gt;=E29,0),)),IF(AND(E51="4D3",E53=8),INDEX(T!$H56:$H68,MATCH(TRUE,INDEX(T!$H56:$H68&gt;=E29,0),)),IF(AND(E51="4D3",E53=9),INDEX(T!$I56:$I68,MATCH(TRUE,INDEX(T!$I56:$I68&gt;=E29,0),)),IF(AND(E51="4D3",E53=10),INDEX(T!$J56:$J68,MATCH(TRUE,INDEX(T!$J56:$J68&gt;=E29,0),)),IF(AND(E51="4D3",E53=11),INDEX(T!$K56:$K68,MATCH(TRUE,INDEX(T!$K56:$K68&gt;=E29,0),)),IF(AND(E51="4D3",E53=12),INDEX(T!$L$56:$L68,MATCH(TRUE,INDEX(T!$L$56:$L68&gt;=E29,0),)),IF(AND(E51="4D4",E53=2),INDEX(T!$B74:$B90,MATCH(TRUE,INDEX(T!$B74:$B90&gt;=E29,0),)),IF(AND(E51="4D4",E53=3),INDEX(T!$C$74:$C90,MATCH(TRUE,INDEX(T!$C$74:$C90&gt;=E29,0),)),IF(AND(E51="4D4",E53=4),INDEX(T!$D74:$D90,MATCH(TRUE,INDEX(T!$D74:$D90&gt;=E29,0),)),IF(AND(E51="4D4",E53=5),INDEX(T!$E74:$E90,MATCH(TRUE,INDEX(T!$E74:$E90&gt;=E29,0),)),IF(AND(E51="4D4",E53=6),INDEX(T!$F74:$F89,MATCH(TRUE,INDEX(T!$F74:$F89&gt;=E29,0),)),IF(AND(E51="4D4",E53=7),INDEX(T!$G74:$G89,MATCH(TRUE,INDEX(T!$G74:$G89&gt;=E29,0),)),IF(AND(E51="4D5",E53=2),INDEX(T!$B96:$B102,MATCH(TRUE,INDEX(T!$B96:$B102&gt;=E29,0),)),IF(AND(E51="4D5",E53=3),INDEX(T!$C$96:$C102,MATCH(TRUE,INDEX(T!$C$96:$C102&gt;=E29,0),)),IF(AND(E51="4D5",E53=4),INDEX(T!$D96:$D102,MATCH(TRUE,INDEX(T!$D96:$D102&gt;=E29,0),)),IF(AND(E51="4D5",E53=5),INDEX(T!$E96:$E102,MATCH(TRUE,INDEX(T!$E96:$E102&gt;=E29,0),)),IF(AND(E51="4D5",E53=6),INDEX(T!$F96:$F102,MATCH(TRUE,INDEX(T!$F96:$F102&gt;=E29,0),)),IF(AND(E51="4D5",E53=7),INDEX(T!$G96:$G102,MATCH(TRUE,INDEX(T!$G96:$G102&gt;=E29,0),)))))))))))))))))))))))))))))))))))))))))))),IF(OR(E51="4E1",E51="4E2",E51="4E3",E51="4E4"),IF(AND(E51="4E1",E53=2),INDEX(T!$B108:$B124,MATCH(TRUE,INDEX(T!$B108:$B124&gt;=E29,0),)),IF(AND(E51="4E1",E53=3),INDEX(T!$C$108:$C124,MATCH(TRUE,INDEX(T!$C$108:$C124&gt;=E29,0),)),IF(AND(E51="4E1",E53=4),INDEX(T!$D108:$D127,MATCH(TRUE,INDEX(T!$D108:$D127&gt;=E29,0),)),IF(AND(E51="4E1",E53=5),INDEX(T!$E108:$E127,MATCH(TRUE,INDEX(T!$E108:$E127&gt;=E29,0),)),IF(AND(E51="4E1",E53=6),INDEX(T!$F108:$F129,MATCH(TRUE,INDEX(T!$F108:$F129&gt;=E29,0),)),IF(AND(E51="4E1",E53=7),INDEX(T!$G108:$G129,MATCH(TRUE,INDEX(T!$G108:$G129&gt;=E29,0),)),IF(AND(E51="4E1",E53=8),INDEX(T!$H115:$H129,MATCH(TRUE,INDEX(T!$H115:$H129&gt;=E29,0),)),IF(AND(E51="4E1",E53=9),INDEX(T!$I115:$I129,MATCH(TRUE,INDEX(T!$I115:$I129&gt;=E29,0),)),IF(AND(E51="4E1",E53=10),INDEX(T!$J115:$J129,MATCH(TRUE,INDEX(T!$J115:$J129&gt;=E29,0),)),IF(AND(E51="4E1",E53=11),INDEX(T!$K115:$K129,MATCH(TRUE,INDEX(T!$K115:$K129&gt;=E29,0),)),IF(AND(E51="4E1",E53=12),INDEX(T!$L$115:$L129,MATCH(TRUE,INDEX(T!$L$115:$L129&gt;=E29,0),)),IF(AND(E51="4E2",E53=2),INDEX(T!$B134:$B151,MATCH(TRUE,INDEX(T!$B134:$B151&gt;=E29,0),)),IF(AND(E51="4E2",E53=3),INDEX(T!$C$134:$C151,MATCH(TRUE,INDEX(T!$C$134:$C151&gt;=E29,0),)),IF(AND(E51="4E2",E53=4),INDEX(T!$D134:$D152,MATCH(TRUE,INDEX(T!$D134:$D152&gt;=E29,0),)),IF(AND(E51="4E2",E53=5),INDEX(T!$E134:$E152,MATCH(TRUE,INDEX(T!$E134:$E152&gt;=E29,0),)),IF(AND(E51="4E2",E53=6),INDEX(T!$F134:$F152,MATCH(TRUE,INDEX(T!$F134:$F152&gt;=E29,0),)),IF(AND(E51="4E2",E53=7),INDEX(T!$G134:$G152,MATCH(TRUE,INDEX(T!$G134:$G152&gt;=E29,0),)),IF(AND(E51="4E2",E53=8),INDEX(T!$H134:$H152,MATCH(TRUE,INDEX(T!$H134:$H152&gt;=E29,0),)),IF(AND(E51="4E2",E53=9),INDEX(T!$I134:$I152,MATCH(TRUE,INDEX(T!$I134:$I152&gt;=E29,0),)),IF(AND(E51="4E3",E53=2),INDEX(T!$B158:$B170,MATCH(TRUE,INDEX(T!$B158:$B170&gt;=E29,0),)),IF(AND(E51="4E3",E53=3),INDEX(T!$C$158:$C170,MATCH(TRUE,INDEX(T!$C$158:$C170&gt;=E29,0),)),IF(AND(E51="4E3",E53=4),INDEX(T!$D158:$D170,MATCH(TRUE,INDEX(T!$D158:$D170&gt;=E29,0),)),IF(AND(E51="4E3",E53=5),INDEX(T!$E158:$E170,MATCH(TRUE,INDEX(T!$E158:$E170&gt;=E29,0),)),IF(AND(E51="4E3",E53=6),INDEX(T!$F158:$F170,MATCH(TRUE,INDEX(T!$F158:$F170&gt;=E29,0),)),IF(AND(E51="4E3",E53=7),INDEX(T!$G158:$G170,MATCH(TRUE,INDEX(T!$G158:$G170&gt;=E29,0),)),IF(AND(E51="4E3",E53=8),INDEX(T!$H158:$H170,MATCH(TRUE,INDEX(T!$H158:$H170&gt;=E29,0),)),IF(AND(E51="4E3",E53=9),INDEX(T!$I158:$I170,MATCH(TRUE,INDEX(T!$I56:$I68&gt;=E29,0),)),IF(AND(E51="4E3",E53=10),INDEX(T!$J158:$J170,MATCH(TRUE,INDEX(T!$J158:$J170&gt;=E29,0),)),IF(AND(E51="4E3",E53=11),INDEX(T!$K158:$K170,MATCH(TRUE,INDEX(T!$K158:$K170&gt;=E29,0),)),IF(AND(E51="4E3",E53=12),INDEX(T!$L$158:$L170,MATCH(TRUE,INDEX(T!$L$158:$L170&gt;=E29,0),)),IF(AND(E51="4E4",E53=2),INDEX(T!$B176:$B192,MATCH(TRUE,INDEX(T!$B176:$B192&gt;=E29,0),)),IF(AND(E51="4E4",E53=3),INDEX(T!$C176:$C192,MATCH(TRUE,INDEX(T!$C176:$C192&gt;=E29,0),)),IF(AND(E51="4E4",E53=4),INDEX(T!$D176:$D192,MATCH(TRUE,INDEX(T!$D176:$D192&gt;=E29,0),)),IF(AND(E51="4E4",E53=5),INDEX(T!$E176:$E192,MATCH(TRUE,INDEX(T!$E176:$E192&gt;=E29,0),)),IF(AND(E51="4E4",E53=6),INDEX(T!$F176:$F191,MATCH(TRUE,INDEX(T!$F176:$F191&gt;=E29,0),)),IF(AND(E51="4E4",E53=7),INDEX(T!$G176:$G191,MATCH(TRUE,INDEX(T!$G176:$G191&gt;=E29,0),)),"-")))))))))))))))))))))))))))))))))))),IF(OR(E51="4F1",E51="4F2",E51="4F3"),IF(E29="","",IF(AND(E51="4F1",E53=2),INDEX(T!$B198:$B202,MATCH(TRUE,INDEX(T!$B198:$B202&gt;=E29,0),)),IF(AND(E51="4F1",E53=3),INDEX(T!$C$198:$C211,MATCH(TRUE,INDEX(T!$C$198:$C211&gt;=E29,0),)),IF(AND(E51="4F1",E53=4),INDEX(T!$D203:$D214,MATCH(TRUE,INDEX(T!$D203:$D214&gt;=E29,0),)),IF(AND(E51="4F2",E53=2),INDEX(T!$B220:$B224,MATCH(TRUE,INDEX(T!$B220:$B224&gt;=E29,0),)),IF(AND(E51="4F2",E53=3),INDEX(T!$C$220:$C233,MATCH(TRUE,INDEX(T!$C$220:$C233&gt;=E29,0),)),IF(AND(E51="4F2",E53=4),INDEX(T!$D225:$D236,MATCH(TRUE,INDEX(T!$D225:$D236&gt;=E29,0),)),IF(AND(E51="4F3",E53=2),INDEX(T!$B242:$B248,MATCH(TRUE,INDEX(T!$B242:$B248&gt;=E29,0),)),IF(AND(E51="4F3",E53=3),INDEX(T!$C$242:$C248,MATCH(TRUE,INDEX(T!$C$242:$C248&gt;=E29,0),)),"-"))))))))),""))))</f>
        <v>65</v>
      </c>
      <c r="F75" s="134" cm="1">
        <f t="array" aca="1" ref="F75" ca="1">IF(F29="","",IF(OR(F51="4D1",F51="4D2",F51="4D3",F51="4D4",F51="4D5"),IF(AND(F51="4D1",F53=2),INDEX(T!$B6:$B22,MATCH(TRUE,INDEX(T!$B6:$B22&gt;=F29,0),)),IF(AND(F51="4D1",F53=3),INDEX(T!$C$6:$C22,MATCH(TRUE,INDEX(T!$C$6:$C22&gt;=F29,0),)),IF(AND(F51="4D1",F53=4),INDEX(T!$D6:$D25,MATCH(TRUE,INDEX(T!$D6:$D25&gt;=F29,0),)),IF(AND(F51="4D1",F53=5),INDEX(T!$E6:$E25,MATCH(TRUE,INDEX(T!$E6:$E25&gt;=F29,0),)),IF(AND(F51="4D1",F53=6),INDEX(T!$F6:$F27,MATCH(TRUE,INDEX(T!$F6:$F27&gt;=F29,0),)),IF(AND(F51="4D1",F53=7),INDEX(T!$G6:$G27,MATCH(TRUE,INDEX(T!$G6:$G27&gt;=F29,0),)),IF(AND(F51="4D1",F53=8),INDEX(T!$H13:$H27,MATCH(TRUE,INDEX(T!$H13:$H27&gt;=F29,0),)),IF(AND(F51="4D1",F53=9),INDEX(T!$I13:$I27,MATCH(TRUE,INDEX(T!$I13:$I27&gt;=F29,0),)),IF(AND(F51="4D1",F53=10),INDEX(T!$J13:$J27,MATCH(TRUE,INDEX(T!$J13:$J27&gt;=F29,0),)),IF(AND(F51="4D1",F53=11),INDEX(T!$K13:$K27,MATCH(TRUE,INDEX(T!$K13:$K27&gt;=F29,0),)),IF(AND(F51="4D1",F53=12),INDEX(T!$L$13:$L27,MATCH(TRUE,INDEX(T!$L$13:$L27&gt;=F29,0),)),IF(AND(F51="4D2",F53=2),INDEX(T!$B33:$B49,MATCH(TRUE,INDEX(T!$B33:$B49&gt;=F29,0),)),IF(AND(F51="4D2",F53=3),INDEX(T!$C$33:$C49,MATCH(TRUE,INDEX(T!$C$33:$C49&gt;=F29,0),)),IF(AND(F51="4D2",F53=4),INDEX(T!$D33:$D50,MATCH(TRUE,INDEX(T!$D33:$D50&gt;=F29,0),)),IF(AND(F51="4D2",F53=5),INDEX(T!$E33:$E50,MATCH(TRUE,INDEX(T!$E33:$E50&gt;=F29,0),)),IF(AND(F51="4D2",F53=6),INDEX(T!$F33:$F50,MATCH(TRUE,INDEX(T!$F33:$F50&gt;=F29,0),)),IF(AND(F51="4D2",F53=7),INDEX(T!$G33:$G50,MATCH(TRUE,INDEX(T!$G33:$G50&gt;=F29,0),)),IF(AND(F51="4D2",F53=8),INDEX(T!$H33:$H50,MATCH(TRUE,INDEX(T!$H33:$H50&gt;=F29,0),)),IF(AND(F51="4D2",F53=9),INDEX(T!$I33:$I50,MATCH(TRUE,INDEX(T!$I33:$I50&gt;=F29,0),)),IF(AND(F51="4D3",F53=2),INDEX(T!$B56:$B68,MATCH(TRUE,INDEX(T!$B56:$B68&gt;=F29,0),)),IF(AND(F51="4D3",F53=3),INDEX(T!$C$56:$C68,MATCH(TRUE,INDEX(T!$C$56:$C68&gt;=F29,0),)),IF(AND(F51="4D3",F53=4),INDEX(T!$D56:$D68,MATCH(TRUE,INDEX(T!$D56:$D68&gt;=F29,0),)),IF(AND(F51="4D3",F53=5),INDEX(T!$E56:$E68,MATCH(TRUE,INDEX(T!$E56:$E68&gt;=F29,0),)),IF(AND(F51="4D3",F53=6),INDEX(T!$F56:$F68,MATCH(TRUE,INDEX(T!$F56:$F68&gt;=F29,0),)),IF(AND(F51="4D3",F53=7),INDEX(T!$G56:$G68,MATCH(TRUE,INDEX(T!$G56:$G68&gt;=F29,0),)),IF(AND(F51="4D3",F53=8),INDEX(T!$H56:$H68,MATCH(TRUE,INDEX(T!$H56:$H68&gt;=F29,0),)),IF(AND(F51="4D3",F53=9),INDEX(T!$I56:$I68,MATCH(TRUE,INDEX(T!$I56:$I68&gt;=F29,0),)),IF(AND(F51="4D3",F53=10),INDEX(T!$J56:$J68,MATCH(TRUE,INDEX(T!$J56:$J68&gt;=F29,0),)),IF(AND(F51="4D3",F53=11),INDEX(T!$K56:$K68,MATCH(TRUE,INDEX(T!$K56:$K68&gt;=F29,0),)),IF(AND(F51="4D3",F53=12),INDEX(T!$L$56:$L68,MATCH(TRUE,INDEX(T!$L$56:$L68&gt;=F29,0),)),IF(AND(F51="4D4",F53=2),INDEX(T!$B74:$B90,MATCH(TRUE,INDEX(T!$B74:$B90&gt;=F29,0),)),IF(AND(F51="4D4",F53=3),INDEX(T!$C$74:$C90,MATCH(TRUE,INDEX(T!$C$74:$C90&gt;=F29,0),)),IF(AND(F51="4D4",F53=4),INDEX(T!$D74:$D90,MATCH(TRUE,INDEX(T!$D74:$D90&gt;=F29,0),)),IF(AND(F51="4D4",F53=5),INDEX(T!$E74:$E90,MATCH(TRUE,INDEX(T!$E74:$E90&gt;=F29,0),)),IF(AND(F51="4D4",F53=6),INDEX(T!$F74:$F89,MATCH(TRUE,INDEX(T!$F74:$F89&gt;=F29,0),)),IF(AND(F51="4D4",F53=7),INDEX(T!$G74:$G89,MATCH(TRUE,INDEX(T!$G74:$G89&gt;=F29,0),)),IF(AND(F51="4D5",F53=2),INDEX(T!$B96:$B102,MATCH(TRUE,INDEX(T!$B96:$B102&gt;=F29,0),)),IF(AND(F51="4D5",F53=3),INDEX(T!$C$96:$C102,MATCH(TRUE,INDEX(T!$C$96:$C102&gt;=F29,0),)),IF(AND(F51="4D5",F53=4),INDEX(T!$D96:$D102,MATCH(TRUE,INDEX(T!$D96:$D102&gt;=F29,0),)),IF(AND(F51="4D5",F53=5),INDEX(T!$E96:$E102,MATCH(TRUE,INDEX(T!$E96:$E102&gt;=F29,0),)),IF(AND(F51="4D5",F53=6),INDEX(T!$F96:$F102,MATCH(TRUE,INDEX(T!$F96:$F102&gt;=F29,0),)),IF(AND(F51="4D5",F53=7),INDEX(T!$G96:$G102,MATCH(TRUE,INDEX(T!$G96:$G102&gt;=F29,0),)))))))))))))))))))))))))))))))))))))))))))),IF(OR(F51="4E1",F51="4E2",F51="4E3",F51="4E4"),IF(AND(F51="4E1",F53=2),INDEX(T!$B108:$B124,MATCH(TRUE,INDEX(T!$B108:$B124&gt;=F29,0),)),IF(AND(F51="4E1",F53=3),INDEX(T!$C$108:$C124,MATCH(TRUE,INDEX(T!$C$108:$C124&gt;=F29,0),)),IF(AND(F51="4E1",F53=4),INDEX(T!$D108:$D127,MATCH(TRUE,INDEX(T!$D108:$D127&gt;=F29,0),)),IF(AND(F51="4E1",F53=5),INDEX(T!$E108:$E127,MATCH(TRUE,INDEX(T!$E108:$E127&gt;=F29,0),)),IF(AND(F51="4E1",F53=6),INDEX(T!$F108:$F129,MATCH(TRUE,INDEX(T!$F108:$F129&gt;=F29,0),)),IF(AND(F51="4E1",F53=7),INDEX(T!$G108:$G129,MATCH(TRUE,INDEX(T!$G108:$G129&gt;=F29,0),)),IF(AND(F51="4E1",F53=8),INDEX(T!$H115:$H129,MATCH(TRUE,INDEX(T!$H115:$H129&gt;=F29,0),)),IF(AND(F51="4E1",F53=9),INDEX(T!$I115:$I129,MATCH(TRUE,INDEX(T!$I115:$I129&gt;=F29,0),)),IF(AND(F51="4E1",F53=10),INDEX(T!$J115:$J129,MATCH(TRUE,INDEX(T!$J115:$J129&gt;=F29,0),)),IF(AND(F51="4E1",F53=11),INDEX(T!$K115:$K129,MATCH(TRUE,INDEX(T!$K115:$K129&gt;=F29,0),)),IF(AND(F51="4E1",F53=12),INDEX(T!$L$115:$L129,MATCH(TRUE,INDEX(T!$L$115:$L129&gt;=F29,0),)),IF(AND(F51="4E2",F53=2),INDEX(T!$B134:$B151,MATCH(TRUE,INDEX(T!$B134:$B151&gt;=F29,0),)),IF(AND(F51="4E2",F53=3),INDEX(T!$C$134:$C151,MATCH(TRUE,INDEX(T!$C$134:$C151&gt;=F29,0),)),IF(AND(F51="4E2",F53=4),INDEX(T!$D134:$D152,MATCH(TRUE,INDEX(T!$D134:$D152&gt;=F29,0),)),IF(AND(F51="4E2",F53=5),INDEX(T!$E134:$E152,MATCH(TRUE,INDEX(T!$E134:$E152&gt;=F29,0),)),IF(AND(F51="4E2",F53=6),INDEX(T!$F134:$F152,MATCH(TRUE,INDEX(T!$F134:$F152&gt;=F29,0),)),IF(AND(F51="4E2",F53=7),INDEX(T!$G134:$G152,MATCH(TRUE,INDEX(T!$G134:$G152&gt;=F29,0),)),IF(AND(F51="4E2",F53=8),INDEX(T!$H134:$H152,MATCH(TRUE,INDEX(T!$H134:$H152&gt;=F29,0),)),IF(AND(F51="4E2",F53=9),INDEX(T!$I134:$I152,MATCH(TRUE,INDEX(T!$I134:$I152&gt;=F29,0),)),IF(AND(F51="4E3",F53=2),INDEX(T!$B158:$B170,MATCH(TRUE,INDEX(T!$B158:$B170&gt;=F29,0),)),IF(AND(F51="4E3",F53=3),INDEX(T!$C$158:$C170,MATCH(TRUE,INDEX(T!$C$158:$C170&gt;=F29,0),)),IF(AND(F51="4E3",F53=4),INDEX(T!$D158:$D170,MATCH(TRUE,INDEX(T!$D158:$D170&gt;=F29,0),)),IF(AND(F51="4E3",F53=5),INDEX(T!$E158:$E170,MATCH(TRUE,INDEX(T!$E158:$E170&gt;=F29,0),)),IF(AND(F51="4E3",F53=6),INDEX(T!$F158:$F170,MATCH(TRUE,INDEX(T!$F158:$F170&gt;=F29,0),)),IF(AND(F51="4E3",F53=7),INDEX(T!$G158:$G170,MATCH(TRUE,INDEX(T!$G158:$G170&gt;=F29,0),)),IF(AND(F51="4E3",F53=8),INDEX(T!$H158:$H170,MATCH(TRUE,INDEX(T!$H158:$H170&gt;=F29,0),)),IF(AND(F51="4E3",F53=9),INDEX(T!$I158:$I170,MATCH(TRUE,INDEX(T!$I56:$I68&gt;=F29,0),)),IF(AND(F51="4E3",F53=10),INDEX(T!$J158:$J170,MATCH(TRUE,INDEX(T!$J158:$J170&gt;=F29,0),)),IF(AND(F51="4E3",F53=11),INDEX(T!$K158:$K170,MATCH(TRUE,INDEX(T!$K158:$K170&gt;=F29,0),)),IF(AND(F51="4E3",F53=12),INDEX(T!$L$158:$L170,MATCH(TRUE,INDEX(T!$L$158:$L170&gt;=F29,0),)),IF(AND(F51="4E4",F53=2),INDEX(T!$B176:$B192,MATCH(TRUE,INDEX(T!$B176:$B192&gt;=F29,0),)),IF(AND(F51="4E4",F53=3),INDEX(T!$C176:$C192,MATCH(TRUE,INDEX(T!$C176:$C192&gt;=F29,0),)),IF(AND(F51="4E4",F53=4),INDEX(T!$D176:$D192,MATCH(TRUE,INDEX(T!$D176:$D192&gt;=F29,0),)),IF(AND(F51="4E4",F53=5),INDEX(T!$E176:$E192,MATCH(TRUE,INDEX(T!$E176:$E192&gt;=F29,0),)),IF(AND(F51="4E4",F53=6),INDEX(T!$F176:$F191,MATCH(TRUE,INDEX(T!$F176:$F191&gt;=F29,0),)),IF(AND(F51="4E4",F53=7),INDEX(T!$G176:$G191,MATCH(TRUE,INDEX(T!$G176:$G191&gt;=F29,0),)),"-")))))))))))))))))))))))))))))))))))),IF(OR(F51="4F1",F51="4F2",F51="4F3"),IF(F29="","",IF(AND(F51="4F1",F53=2),INDEX(T!$B198:$B202,MATCH(TRUE,INDEX(T!$B198:$B202&gt;=F29,0),)),IF(AND(F51="4F1",F53=3),INDEX(T!$C$198:$C211,MATCH(TRUE,INDEX(T!$C$198:$C211&gt;=F29,0),)),IF(AND(F51="4F1",F53=4),INDEX(T!$D203:$D214,MATCH(TRUE,INDEX(T!$D203:$D214&gt;=F29,0),)),IF(AND(F51="4F2",F53=2),INDEX(T!$B220:$B224,MATCH(TRUE,INDEX(T!$B220:$B224&gt;=F29,0),)),IF(AND(F51="4F2",F53=3),INDEX(T!$C$220:$C233,MATCH(TRUE,INDEX(T!$C$220:$C233&gt;=F29,0),)),IF(AND(F51="4F2",F53=4),INDEX(T!$D225:$D236,MATCH(TRUE,INDEX(T!$D225:$D236&gt;=F29,0),)),IF(AND(F51="4F3",F53=2),INDEX(T!$B242:$B248,MATCH(TRUE,INDEX(T!$B242:$B248&gt;=F29,0),)),IF(AND(F51="4F3",F53=3),INDEX(T!$C$242:$C248,MATCH(TRUE,INDEX(T!$C$242:$C248&gt;=F29,0),)),"-"))))))))),""))))</f>
        <v>65</v>
      </c>
      <c r="G75" s="134" cm="1">
        <f t="array" aca="1" ref="G75" ca="1">IF(G29="","",IF(OR(G51="4D1",G51="4D2",G51="4D3",G51="4D4",G51="4D5"),IF(AND(G51="4D1",G53=2),INDEX(T!$B6:$B22,MATCH(TRUE,INDEX(T!$B6:$B22&gt;=G29,0),)),IF(AND(G51="4D1",G53=3),INDEX(T!$C$6:$C22,MATCH(TRUE,INDEX(T!$C$6:$C22&gt;=G29,0),)),IF(AND(G51="4D1",G53=4),INDEX(T!$D6:$D25,MATCH(TRUE,INDEX(T!$D6:$D25&gt;=G29,0),)),IF(AND(G51="4D1",G53=5),INDEX(T!$E6:$E25,MATCH(TRUE,INDEX(T!$E6:$E25&gt;=G29,0),)),IF(AND(G51="4D1",G53=6),INDEX(T!$F6:$F27,MATCH(TRUE,INDEX(T!$F6:$F27&gt;=G29,0),)),IF(AND(G51="4D1",G53=7),INDEX(T!$G6:$G27,MATCH(TRUE,INDEX(T!$G6:$G27&gt;=G29,0),)),IF(AND(G51="4D1",G53=8),INDEX(T!$H13:$H27,MATCH(TRUE,INDEX(T!$H13:$H27&gt;=G29,0),)),IF(AND(G51="4D1",G53=9),INDEX(T!$I13:$I27,MATCH(TRUE,INDEX(T!$I13:$I27&gt;=G29,0),)),IF(AND(G51="4D1",G53=10),INDEX(T!$J13:$J27,MATCH(TRUE,INDEX(T!$J13:$J27&gt;=G29,0),)),IF(AND(G51="4D1",G53=11),INDEX(T!$K13:$K27,MATCH(TRUE,INDEX(T!$K13:$K27&gt;=G29,0),)),IF(AND(G51="4D1",G53=12),INDEX(T!$L$13:$L27,MATCH(TRUE,INDEX(T!$L$13:$L27&gt;=G29,0),)),IF(AND(G51="4D2",G53=2),INDEX(T!$B33:$B49,MATCH(TRUE,INDEX(T!$B33:$B49&gt;=G29,0),)),IF(AND(G51="4D2",G53=3),INDEX(T!$C$33:$C49,MATCH(TRUE,INDEX(T!$C$33:$C49&gt;=G29,0),)),IF(AND(G51="4D2",G53=4),INDEX(T!$D33:$D50,MATCH(TRUE,INDEX(T!$D33:$D50&gt;=G29,0),)),IF(AND(G51="4D2",G53=5),INDEX(T!$E33:$E50,MATCH(TRUE,INDEX(T!$E33:$E50&gt;=G29,0),)),IF(AND(G51="4D2",G53=6),INDEX(T!$F33:$F50,MATCH(TRUE,INDEX(T!$F33:$F50&gt;=G29,0),)),IF(AND(G51="4D2",G53=7),INDEX(T!$G33:$G50,MATCH(TRUE,INDEX(T!$G33:$G50&gt;=G29,0),)),IF(AND(G51="4D2",G53=8),INDEX(T!$H33:$H50,MATCH(TRUE,INDEX(T!$H33:$H50&gt;=G29,0),)),IF(AND(G51="4D2",G53=9),INDEX(T!$I33:$I50,MATCH(TRUE,INDEX(T!$I33:$I50&gt;=G29,0),)),IF(AND(G51="4D3",G53=2),INDEX(T!$B56:$B68,MATCH(TRUE,INDEX(T!$B56:$B68&gt;=G29,0),)),IF(AND(G51="4D3",G53=3),INDEX(T!$C$56:$C68,MATCH(TRUE,INDEX(T!$C$56:$C68&gt;=G29,0),)),IF(AND(G51="4D3",G53=4),INDEX(T!$D56:$D68,MATCH(TRUE,INDEX(T!$D56:$D68&gt;=G29,0),)),IF(AND(G51="4D3",G53=5),INDEX(T!$E56:$E68,MATCH(TRUE,INDEX(T!$E56:$E68&gt;=G29,0),)),IF(AND(G51="4D3",G53=6),INDEX(T!$F56:$F68,MATCH(TRUE,INDEX(T!$F56:$F68&gt;=G29,0),)),IF(AND(G51="4D3",G53=7),INDEX(T!$G56:$G68,MATCH(TRUE,INDEX(T!$G56:$G68&gt;=G29,0),)),IF(AND(G51="4D3",G53=8),INDEX(T!$H56:$H68,MATCH(TRUE,INDEX(T!$H56:$H68&gt;=G29,0),)),IF(AND(G51="4D3",G53=9),INDEX(T!$I56:$I68,MATCH(TRUE,INDEX(T!$I56:$I68&gt;=G29,0),)),IF(AND(G51="4D3",G53=10),INDEX(T!$J56:$J68,MATCH(TRUE,INDEX(T!$J56:$J68&gt;=G29,0),)),IF(AND(G51="4D3",G53=11),INDEX(T!$K56:$K68,MATCH(TRUE,INDEX(T!$K56:$K68&gt;=G29,0),)),IF(AND(G51="4D3",G53=12),INDEX(T!$L$56:$L68,MATCH(TRUE,INDEX(T!$L$56:$L68&gt;=G29,0),)),IF(AND(G51="4D4",G53=2),INDEX(T!$B74:$B90,MATCH(TRUE,INDEX(T!$B74:$B90&gt;=G29,0),)),IF(AND(G51="4D4",G53=3),INDEX(T!$C$74:$C90,MATCH(TRUE,INDEX(T!$C$74:$C90&gt;=G29,0),)),IF(AND(G51="4D4",G53=4),INDEX(T!$D74:$D90,MATCH(TRUE,INDEX(T!$D74:$D90&gt;=G29,0),)),IF(AND(G51="4D4",G53=5),INDEX(T!$E74:$E90,MATCH(TRUE,INDEX(T!$E74:$E90&gt;=G29,0),)),IF(AND(G51="4D4",G53=6),INDEX(T!$F74:$F89,MATCH(TRUE,INDEX(T!$F74:$F89&gt;=G29,0),)),IF(AND(G51="4D4",G53=7),INDEX(T!$G74:$G89,MATCH(TRUE,INDEX(T!$G74:$G89&gt;=G29,0),)),IF(AND(G51="4D5",G53=2),INDEX(T!$B96:$B102,MATCH(TRUE,INDEX(T!$B96:$B102&gt;=G29,0),)),IF(AND(G51="4D5",G53=3),INDEX(T!$C$96:$C102,MATCH(TRUE,INDEX(T!$C$96:$C102&gt;=G29,0),)),IF(AND(G51="4D5",G53=4),INDEX(T!$D96:$D102,MATCH(TRUE,INDEX(T!$D96:$D102&gt;=G29,0),)),IF(AND(G51="4D5",G53=5),INDEX(T!$E96:$E102,MATCH(TRUE,INDEX(T!$E96:$E102&gt;=G29,0),)),IF(AND(G51="4D5",G53=6),INDEX(T!$F96:$F102,MATCH(TRUE,INDEX(T!$F96:$F102&gt;=G29,0),)),IF(AND(G51="4D5",G53=7),INDEX(T!$G96:$G102,MATCH(TRUE,INDEX(T!$G96:$G102&gt;=G29,0),)))))))))))))))))))))))))))))))))))))))))))),IF(OR(G51="4E1",G51="4E2",G51="4E3",G51="4E4"),IF(AND(G51="4E1",G53=2),INDEX(T!$B108:$B124,MATCH(TRUE,INDEX(T!$B108:$B124&gt;=G29,0),)),IF(AND(G51="4E1",G53=3),INDEX(T!$C$108:$C124,MATCH(TRUE,INDEX(T!$C$108:$C124&gt;=G29,0),)),IF(AND(G51="4E1",G53=4),INDEX(T!$D108:$D127,MATCH(TRUE,INDEX(T!$D108:$D127&gt;=G29,0),)),IF(AND(G51="4E1",G53=5),INDEX(T!$E108:$E127,MATCH(TRUE,INDEX(T!$E108:$E127&gt;=G29,0),)),IF(AND(G51="4E1",G53=6),INDEX(T!$F108:$F129,MATCH(TRUE,INDEX(T!$F108:$F129&gt;=G29,0),)),IF(AND(G51="4E1",G53=7),INDEX(T!$G108:$G129,MATCH(TRUE,INDEX(T!$G108:$G129&gt;=G29,0),)),IF(AND(G51="4E1",G53=8),INDEX(T!$H115:$H129,MATCH(TRUE,INDEX(T!$H115:$H129&gt;=G29,0),)),IF(AND(G51="4E1",G53=9),INDEX(T!$I115:$I129,MATCH(TRUE,INDEX(T!$I115:$I129&gt;=G29,0),)),IF(AND(G51="4E1",G53=10),INDEX(T!$J115:$J129,MATCH(TRUE,INDEX(T!$J115:$J129&gt;=G29,0),)),IF(AND(G51="4E1",G53=11),INDEX(T!$K115:$K129,MATCH(TRUE,INDEX(T!$K115:$K129&gt;=G29,0),)),IF(AND(G51="4E1",G53=12),INDEX(T!$L$115:$L129,MATCH(TRUE,INDEX(T!$L$115:$L129&gt;=G29,0),)),IF(AND(G51="4E2",G53=2),INDEX(T!$B134:$B151,MATCH(TRUE,INDEX(T!$B134:$B151&gt;=G29,0),)),IF(AND(G51="4E2",G53=3),INDEX(T!$C$134:$C151,MATCH(TRUE,INDEX(T!$C$134:$C151&gt;=G29,0),)),IF(AND(G51="4E2",G53=4),INDEX(T!$D134:$D152,MATCH(TRUE,INDEX(T!$D134:$D152&gt;=G29,0),)),IF(AND(G51="4E2",G53=5),INDEX(T!$E134:$E152,MATCH(TRUE,INDEX(T!$E134:$E152&gt;=G29,0),)),IF(AND(G51="4E2",G53=6),INDEX(T!$F134:$F152,MATCH(TRUE,INDEX(T!$F134:$F152&gt;=G29,0),)),IF(AND(G51="4E2",G53=7),INDEX(T!$G134:$G152,MATCH(TRUE,INDEX(T!$G134:$G152&gt;=G29,0),)),IF(AND(G51="4E2",G53=8),INDEX(T!$H134:$H152,MATCH(TRUE,INDEX(T!$H134:$H152&gt;=G29,0),)),IF(AND(G51="4E2",G53=9),INDEX(T!$I134:$I152,MATCH(TRUE,INDEX(T!$I134:$I152&gt;=G29,0),)),IF(AND(G51="4E3",G53=2),INDEX(T!$B158:$B170,MATCH(TRUE,INDEX(T!$B158:$B170&gt;=G29,0),)),IF(AND(G51="4E3",G53=3),INDEX(T!$C$158:$C170,MATCH(TRUE,INDEX(T!$C$158:$C170&gt;=G29,0),)),IF(AND(G51="4E3",G53=4),INDEX(T!$D158:$D170,MATCH(TRUE,INDEX(T!$D158:$D170&gt;=G29,0),)),IF(AND(G51="4E3",G53=5),INDEX(T!$E158:$E170,MATCH(TRUE,INDEX(T!$E158:$E170&gt;=G29,0),)),IF(AND(G51="4E3",G53=6),INDEX(T!$F158:$F170,MATCH(TRUE,INDEX(T!$F158:$F170&gt;=G29,0),)),IF(AND(G51="4E3",G53=7),INDEX(T!$G158:$G170,MATCH(TRUE,INDEX(T!$G158:$G170&gt;=G29,0),)),IF(AND(G51="4E3",G53=8),INDEX(T!$H158:$H170,MATCH(TRUE,INDEX(T!$H158:$H170&gt;=G29,0),)),IF(AND(G51="4E3",G53=9),INDEX(T!$I158:$I170,MATCH(TRUE,INDEX(T!$I56:$I68&gt;=G29,0),)),IF(AND(G51="4E3",G53=10),INDEX(T!$J158:$J170,MATCH(TRUE,INDEX(T!$J158:$J170&gt;=G29,0),)),IF(AND(G51="4E3",G53=11),INDEX(T!$K158:$K170,MATCH(TRUE,INDEX(T!$K158:$K170&gt;=G29,0),)),IF(AND(G51="4E3",G53=12),INDEX(T!$L$158:$L170,MATCH(TRUE,INDEX(T!$L$158:$L170&gt;=G29,0),)),IF(AND(G51="4E4",G53=2),INDEX(T!$B176:$B192,MATCH(TRUE,INDEX(T!$B176:$B192&gt;=G29,0),)),IF(AND(G51="4E4",G53=3),INDEX(T!$C176:$C192,MATCH(TRUE,INDEX(T!$C176:$C192&gt;=G29,0),)),IF(AND(G51="4E4",G53=4),INDEX(T!$D176:$D192,MATCH(TRUE,INDEX(T!$D176:$D192&gt;=G29,0),)),IF(AND(G51="4E4",G53=5),INDEX(T!$E176:$E192,MATCH(TRUE,INDEX(T!$E176:$E192&gt;=G29,0),)),IF(AND(G51="4E4",G53=6),INDEX(T!$F176:$F191,MATCH(TRUE,INDEX(T!$F176:$F191&gt;=G29,0),)),IF(AND(G51="4E4",G53=7),INDEX(T!$G176:$G191,MATCH(TRUE,INDEX(T!$G176:$G191&gt;=G29,0),)),"-")))))))))))))))))))))))))))))))))))),IF(OR(G51="4F1",G51="4F2",G51="4F3"),IF(G29="","",IF(AND(G51="4F1",G53=2),INDEX(T!$B198:$B202,MATCH(TRUE,INDEX(T!$B198:$B202&gt;=G29,0),)),IF(AND(G51="4F1",G53=3),INDEX(T!$C$198:$C211,MATCH(TRUE,INDEX(T!$C$198:$C211&gt;=G29,0),)),IF(AND(G51="4F1",G53=4),INDEX(T!$D203:$D214,MATCH(TRUE,INDEX(T!$D203:$D214&gt;=G29,0),)),IF(AND(G51="4F2",G53=2),INDEX(T!$B220:$B224,MATCH(TRUE,INDEX(T!$B220:$B224&gt;=G29,0),)),IF(AND(G51="4F2",G53=3),INDEX(T!$C$220:$C233,MATCH(TRUE,INDEX(T!$C$220:$C233&gt;=G29,0),)),IF(AND(G51="4F2",G53=4),INDEX(T!$D225:$D236,MATCH(TRUE,INDEX(T!$D225:$D236&gt;=G29,0),)),IF(AND(G51="4F3",G53=2),INDEX(T!$B242:$B248,MATCH(TRUE,INDEX(T!$B242:$B248&gt;=G29,0),)),IF(AND(G51="4F3",G53=3),INDEX(T!$C$242:$C248,MATCH(TRUE,INDEX(T!$C$242:$C248&gt;=G29,0),)),"-"))))))))),""))))</f>
        <v>65</v>
      </c>
      <c r="H75" s="134" cm="1">
        <f t="array" aca="1" ref="H75" ca="1">IF(H29="","",IF(OR(H51="4D1",H51="4D2",H51="4D3",H51="4D4",H51="4D5"),IF(AND(H51="4D1",H53=2),INDEX(T!$B6:$B22,MATCH(TRUE,INDEX(T!$B6:$B22&gt;=H29,0),)),IF(AND(H51="4D1",H53=3),INDEX(T!$C$6:$C22,MATCH(TRUE,INDEX(T!$C$6:$C22&gt;=H29,0),)),IF(AND(H51="4D1",H53=4),INDEX(T!$D6:$D25,MATCH(TRUE,INDEX(T!$D6:$D25&gt;=H29,0),)),IF(AND(H51="4D1",H53=5),INDEX(T!$E6:$E25,MATCH(TRUE,INDEX(T!$E6:$E25&gt;=H29,0),)),IF(AND(H51="4D1",H53=6),INDEX(T!$F6:$F27,MATCH(TRUE,INDEX(T!$F6:$F27&gt;=H29,0),)),IF(AND(H51="4D1",H53=7),INDEX(T!$G6:$G27,MATCH(TRUE,INDEX(T!$G6:$G27&gt;=H29,0),)),IF(AND(H51="4D1",H53=8),INDEX(T!$H13:$H27,MATCH(TRUE,INDEX(T!$H13:$H27&gt;=H29,0),)),IF(AND(H51="4D1",H53=9),INDEX(T!$I13:$I27,MATCH(TRUE,INDEX(T!$I13:$I27&gt;=H29,0),)),IF(AND(H51="4D1",H53=10),INDEX(T!$J13:$J27,MATCH(TRUE,INDEX(T!$J13:$J27&gt;=H29,0),)),IF(AND(H51="4D1",H53=11),INDEX(T!$K13:$K27,MATCH(TRUE,INDEX(T!$K13:$K27&gt;=H29,0),)),IF(AND(H51="4D1",H53=12),INDEX(T!$L$13:$L27,MATCH(TRUE,INDEX(T!$L$13:$L27&gt;=H29,0),)),IF(AND(H51="4D2",H53=2),INDEX(T!$B33:$B49,MATCH(TRUE,INDEX(T!$B33:$B49&gt;=H29,0),)),IF(AND(H51="4D2",H53=3),INDEX(T!$C$33:$C49,MATCH(TRUE,INDEX(T!$C$33:$C49&gt;=H29,0),)),IF(AND(H51="4D2",H53=4),INDEX(T!$D33:$D50,MATCH(TRUE,INDEX(T!$D33:$D50&gt;=H29,0),)),IF(AND(H51="4D2",H53=5),INDEX(T!$E33:$E50,MATCH(TRUE,INDEX(T!$E33:$E50&gt;=H29,0),)),IF(AND(H51="4D2",H53=6),INDEX(T!$F33:$F50,MATCH(TRUE,INDEX(T!$F33:$F50&gt;=H29,0),)),IF(AND(H51="4D2",H53=7),INDEX(T!$G33:$G50,MATCH(TRUE,INDEX(T!$G33:$G50&gt;=H29,0),)),IF(AND(H51="4D2",H53=8),INDEX(T!$H33:$H50,MATCH(TRUE,INDEX(T!$H33:$H50&gt;=H29,0),)),IF(AND(H51="4D2",H53=9),INDEX(T!$I33:$I50,MATCH(TRUE,INDEX(T!$I33:$I50&gt;=H29,0),)),IF(AND(H51="4D3",H53=2),INDEX(T!$B56:$B68,MATCH(TRUE,INDEX(T!$B56:$B68&gt;=H29,0),)),IF(AND(H51="4D3",H53=3),INDEX(T!$C$56:$C68,MATCH(TRUE,INDEX(T!$C$56:$C68&gt;=H29,0),)),IF(AND(H51="4D3",H53=4),INDEX(T!$D56:$D68,MATCH(TRUE,INDEX(T!$D56:$D68&gt;=H29,0),)),IF(AND(H51="4D3",H53=5),INDEX(T!$E56:$E68,MATCH(TRUE,INDEX(T!$E56:$E68&gt;=H29,0),)),IF(AND(H51="4D3",H53=6),INDEX(T!$F56:$F68,MATCH(TRUE,INDEX(T!$F56:$F68&gt;=H29,0),)),IF(AND(H51="4D3",H53=7),INDEX(T!$G56:$G68,MATCH(TRUE,INDEX(T!$G56:$G68&gt;=H29,0),)),IF(AND(H51="4D3",H53=8),INDEX(T!$H56:$H68,MATCH(TRUE,INDEX(T!$H56:$H68&gt;=H29,0),)),IF(AND(H51="4D3",H53=9),INDEX(T!$I56:$I68,MATCH(TRUE,INDEX(T!$I56:$I68&gt;=H29,0),)),IF(AND(H51="4D3",H53=10),INDEX(T!$J56:$J68,MATCH(TRUE,INDEX(T!$J56:$J68&gt;=H29,0),)),IF(AND(H51="4D3",H53=11),INDEX(T!$K56:$K68,MATCH(TRUE,INDEX(T!$K56:$K68&gt;=H29,0),)),IF(AND(H51="4D3",H53=12),INDEX(T!$L$56:$L68,MATCH(TRUE,INDEX(T!$L$56:$L68&gt;=H29,0),)),IF(AND(H51="4D4",H53=2),INDEX(T!$B74:$B90,MATCH(TRUE,INDEX(T!$B74:$B90&gt;=H29,0),)),IF(AND(H51="4D4",H53=3),INDEX(T!$C$74:$C90,MATCH(TRUE,INDEX(T!$C$74:$C90&gt;=H29,0),)),IF(AND(H51="4D4",H53=4),INDEX(T!$D74:$D90,MATCH(TRUE,INDEX(T!$D74:$D90&gt;=H29,0),)),IF(AND(H51="4D4",H53=5),INDEX(T!$E74:$E90,MATCH(TRUE,INDEX(T!$E74:$E90&gt;=H29,0),)),IF(AND(H51="4D4",H53=6),INDEX(T!$F74:$F89,MATCH(TRUE,INDEX(T!$F74:$F89&gt;=H29,0),)),IF(AND(H51="4D4",H53=7),INDEX(T!$G74:$G89,MATCH(TRUE,INDEX(T!$G74:$G89&gt;=H29,0),)),IF(AND(H51="4D5",H53=2),INDEX(T!$B96:$B102,MATCH(TRUE,INDEX(T!$B96:$B102&gt;=H29,0),)),IF(AND(H51="4D5",H53=3),INDEX(T!$C$96:$C102,MATCH(TRUE,INDEX(T!$C$96:$C102&gt;=H29,0),)),IF(AND(H51="4D5",H53=4),INDEX(T!$D96:$D102,MATCH(TRUE,INDEX(T!$D96:$D102&gt;=H29,0),)),IF(AND(H51="4D5",H53=5),INDEX(T!$E96:$E102,MATCH(TRUE,INDEX(T!$E96:$E102&gt;=H29,0),)),IF(AND(H51="4D5",H53=6),INDEX(T!$F96:$F102,MATCH(TRUE,INDEX(T!$F96:$F102&gt;=H29,0),)),IF(AND(H51="4D5",H53=7),INDEX(T!$G96:$G102,MATCH(TRUE,INDEX(T!$G96:$G102&gt;=H29,0),)))))))))))))))))))))))))))))))))))))))))))),IF(OR(H51="4E1",H51="4E2",H51="4E3",H51="4E4"),IF(AND(H51="4E1",H53=2),INDEX(T!$B108:$B124,MATCH(TRUE,INDEX(T!$B108:$B124&gt;=H29,0),)),IF(AND(H51="4E1",H53=3),INDEX(T!$C$108:$C124,MATCH(TRUE,INDEX(T!$C$108:$C124&gt;=H29,0),)),IF(AND(H51="4E1",H53=4),INDEX(T!$D108:$D127,MATCH(TRUE,INDEX(T!$D108:$D127&gt;=H29,0),)),IF(AND(H51="4E1",H53=5),INDEX(T!$E108:$E127,MATCH(TRUE,INDEX(T!$E108:$E127&gt;=H29,0),)),IF(AND(H51="4E1",H53=6),INDEX(T!$F108:$F129,MATCH(TRUE,INDEX(T!$F108:$F129&gt;=H29,0),)),IF(AND(H51="4E1",H53=7),INDEX(T!$G108:$G129,MATCH(TRUE,INDEX(T!$G108:$G129&gt;=H29,0),)),IF(AND(H51="4E1",H53=8),INDEX(T!$H115:$H129,MATCH(TRUE,INDEX(T!$H115:$H129&gt;=H29,0),)),IF(AND(H51="4E1",H53=9),INDEX(T!$I115:$I129,MATCH(TRUE,INDEX(T!$I115:$I129&gt;=H29,0),)),IF(AND(H51="4E1",H53=10),INDEX(T!$J115:$J129,MATCH(TRUE,INDEX(T!$J115:$J129&gt;=H29,0),)),IF(AND(H51="4E1",H53=11),INDEX(T!$K115:$K129,MATCH(TRUE,INDEX(T!$K115:$K129&gt;=H29,0),)),IF(AND(H51="4E1",H53=12),INDEX(T!$L$115:$L129,MATCH(TRUE,INDEX(T!$L$115:$L129&gt;=H29,0),)),IF(AND(H51="4E2",H53=2),INDEX(T!$B134:$B151,MATCH(TRUE,INDEX(T!$B134:$B151&gt;=H29,0),)),IF(AND(H51="4E2",H53=3),INDEX(T!$C$134:$C151,MATCH(TRUE,INDEX(T!$C$134:$C151&gt;=H29,0),)),IF(AND(H51="4E2",H53=4),INDEX(T!$D134:$D152,MATCH(TRUE,INDEX(T!$D134:$D152&gt;=H29,0),)),IF(AND(H51="4E2",H53=5),INDEX(T!$E134:$E152,MATCH(TRUE,INDEX(T!$E134:$E152&gt;=H29,0),)),IF(AND(H51="4E2",H53=6),INDEX(T!$F134:$F152,MATCH(TRUE,INDEX(T!$F134:$F152&gt;=H29,0),)),IF(AND(H51="4E2",H53=7),INDEX(T!$G134:$G152,MATCH(TRUE,INDEX(T!$G134:$G152&gt;=H29,0),)),IF(AND(H51="4E2",H53=8),INDEX(T!$H134:$H152,MATCH(TRUE,INDEX(T!$H134:$H152&gt;=H29,0),)),IF(AND(H51="4E2",H53=9),INDEX(T!$I134:$I152,MATCH(TRUE,INDEX(T!$I134:$I152&gt;=H29,0),)),IF(AND(H51="4E3",H53=2),INDEX(T!$B158:$B170,MATCH(TRUE,INDEX(T!$B158:$B170&gt;=H29,0),)),IF(AND(H51="4E3",H53=3),INDEX(T!$C$158:$C170,MATCH(TRUE,INDEX(T!$C$158:$C170&gt;=H29,0),)),IF(AND(H51="4E3",H53=4),INDEX(T!$D158:$D170,MATCH(TRUE,INDEX(T!$D158:$D170&gt;=H29,0),)),IF(AND(H51="4E3",H53=5),INDEX(T!$E158:$E170,MATCH(TRUE,INDEX(T!$E158:$E170&gt;=H29,0),)),IF(AND(H51="4E3",H53=6),INDEX(T!$F158:$F170,MATCH(TRUE,INDEX(T!$F158:$F170&gt;=H29,0),)),IF(AND(H51="4E3",H53=7),INDEX(T!$G158:$G170,MATCH(TRUE,INDEX(T!$G158:$G170&gt;=H29,0),)),IF(AND(H51="4E3",H53=8),INDEX(T!$H158:$H170,MATCH(TRUE,INDEX(T!$H158:$H170&gt;=H29,0),)),IF(AND(H51="4E3",H53=9),INDEX(T!$I158:$I170,MATCH(TRUE,INDEX(T!$I56:$I68&gt;=H29,0),)),IF(AND(H51="4E3",H53=10),INDEX(T!$J158:$J170,MATCH(TRUE,INDEX(T!$J158:$J170&gt;=H29,0),)),IF(AND(H51="4E3",H53=11),INDEX(T!$K158:$K170,MATCH(TRUE,INDEX(T!$K158:$K170&gt;=H29,0),)),IF(AND(H51="4E3",H53=12),INDEX(T!$L$158:$L170,MATCH(TRUE,INDEX(T!$L$158:$L170&gt;=H29,0),)),IF(AND(H51="4E4",H53=2),INDEX(T!$B176:$B192,MATCH(TRUE,INDEX(T!$B176:$B192&gt;=H29,0),)),IF(AND(H51="4E4",H53=3),INDEX(T!$C176:$C192,MATCH(TRUE,INDEX(T!$C176:$C192&gt;=H29,0),)),IF(AND(H51="4E4",H53=4),INDEX(T!$D176:$D192,MATCH(TRUE,INDEX(T!$D176:$D192&gt;=H29,0),)),IF(AND(H51="4E4",H53=5),INDEX(T!$E176:$E192,MATCH(TRUE,INDEX(T!$E176:$E192&gt;=H29,0),)),IF(AND(H51="4E4",H53=6),INDEX(T!$F176:$F191,MATCH(TRUE,INDEX(T!$F176:$F191&gt;=H29,0),)),IF(AND(H51="4E4",H53=7),INDEX(T!$G176:$G191,MATCH(TRUE,INDEX(T!$G176:$G191&gt;=H29,0),)),"-")))))))))))))))))))))))))))))))))))),IF(OR(H51="4F1",H51="4F2",H51="4F3"),IF(H29="","",IF(AND(H51="4F1",H53=2),INDEX(T!$B198:$B202,MATCH(TRUE,INDEX(T!$B198:$B202&gt;=H29,0),)),IF(AND(H51="4F1",H53=3),INDEX(T!$C$198:$C211,MATCH(TRUE,INDEX(T!$C$198:$C211&gt;=H29,0),)),IF(AND(H51="4F1",H53=4),INDEX(T!$D203:$D214,MATCH(TRUE,INDEX(T!$D203:$D214&gt;=H29,0),)),IF(AND(H51="4F2",H53=2),INDEX(T!$B220:$B224,MATCH(TRUE,INDEX(T!$B220:$B224&gt;=H29,0),)),IF(AND(H51="4F2",H53=3),INDEX(T!$C$220:$C233,MATCH(TRUE,INDEX(T!$C$220:$C233&gt;=H29,0),)),IF(AND(H51="4F2",H53=4),INDEX(T!$D225:$D236,MATCH(TRUE,INDEX(T!$D225:$D236&gt;=H29,0),)),IF(AND(H51="4F3",H53=2),INDEX(T!$B242:$B248,MATCH(TRUE,INDEX(T!$B242:$B248&gt;=H29,0),)),IF(AND(H51="4F3",H53=3),INDEX(T!$C$242:$C248,MATCH(TRUE,INDEX(T!$C$242:$C248&gt;=H29,0),)),"-"))))))))),""))))</f>
        <v>65</v>
      </c>
      <c r="I75" s="134" cm="1">
        <f t="array" ref="I75">IF(I29="","",IF(OR(I51="4D1",I51="4D2",I51="4D3",I51="4D4",I51="4D5"),IF(AND(I51="4D1",I53=2),INDEX(T!$B6:$B22,MATCH(TRUE,INDEX(T!$B6:$B22&gt;=I29,0),)),IF(AND(I51="4D1",I53=3),INDEX(T!$C$6:$C22,MATCH(TRUE,INDEX(T!$C$6:$C22&gt;=I29,0),)),IF(AND(I51="4D1",I53=4),INDEX(T!$D6:$D25,MATCH(TRUE,INDEX(T!$D6:$D25&gt;=I29,0),)),IF(AND(I51="4D1",I53=5),INDEX(T!$E6:$E25,MATCH(TRUE,INDEX(T!$E6:$E25&gt;=I29,0),)),IF(AND(I51="4D1",I53=6),INDEX(T!$F6:$F27,MATCH(TRUE,INDEX(T!$F6:$F27&gt;=I29,0),)),IF(AND(I51="4D1",I53=7),INDEX(T!$G6:$G27,MATCH(TRUE,INDEX(T!$G6:$G27&gt;=I29,0),)),IF(AND(I51="4D1",I53=8),INDEX(T!$H13:$H27,MATCH(TRUE,INDEX(T!$H13:$H27&gt;=I29,0),)),IF(AND(I51="4D1",I53=9),INDEX(T!$I13:$I27,MATCH(TRUE,INDEX(T!$I13:$I27&gt;=I29,0),)),IF(AND(I51="4D1",I53=10),INDEX(T!$J13:$J27,MATCH(TRUE,INDEX(T!$J13:$J27&gt;=I29,0),)),IF(AND(I51="4D1",I53=11),INDEX(T!$K13:$K27,MATCH(TRUE,INDEX(T!$K13:$K27&gt;=I29,0),)),IF(AND(I51="4D1",I53=12),INDEX(T!$L$13:$L27,MATCH(TRUE,INDEX(T!$L$13:$L27&gt;=I29,0),)),IF(AND(I51="4D2",I53=2),INDEX(T!$B33:$B49,MATCH(TRUE,INDEX(T!$B33:$B49&gt;=I29,0),)),IF(AND(I51="4D2",I53=3),INDEX(T!$C$33:$C49,MATCH(TRUE,INDEX(T!$C$33:$C49&gt;=I29,0),)),IF(AND(I51="4D2",I53=4),INDEX(T!$D33:$D50,MATCH(TRUE,INDEX(T!$D33:$D50&gt;=I29,0),)),IF(AND(I51="4D2",I53=5),INDEX(T!$E33:$E50,MATCH(TRUE,INDEX(T!$E33:$E50&gt;=I29,0),)),IF(AND(I51="4D2",I53=6),INDEX(T!$F33:$F50,MATCH(TRUE,INDEX(T!$F33:$F50&gt;=I29,0),)),IF(AND(I51="4D2",I53=7),INDEX(T!$G33:$G50,MATCH(TRUE,INDEX(T!$G33:$G50&gt;=I29,0),)),IF(AND(I51="4D2",I53=8),INDEX(T!$H33:$H50,MATCH(TRUE,INDEX(T!$H33:$H50&gt;=I29,0),)),IF(AND(I51="4D2",I53=9),INDEX(T!$I33:$I50,MATCH(TRUE,INDEX(T!$I33:$I50&gt;=I29,0),)),IF(AND(I51="4D3",I53=2),INDEX(T!$B56:$B68,MATCH(TRUE,INDEX(T!$B56:$B68&gt;=I29,0),)),IF(AND(I51="4D3",I53=3),INDEX(T!$C$56:$C68,MATCH(TRUE,INDEX(T!$C$56:$C68&gt;=I29,0),)),IF(AND(I51="4D3",I53=4),INDEX(T!$D56:$D68,MATCH(TRUE,INDEX(T!$D56:$D68&gt;=I29,0),)),IF(AND(I51="4D3",I53=5),INDEX(T!$E56:$E68,MATCH(TRUE,INDEX(T!$E56:$E68&gt;=I29,0),)),IF(AND(I51="4D3",I53=6),INDEX(T!$F56:$F68,MATCH(TRUE,INDEX(T!$F56:$F68&gt;=I29,0),)),IF(AND(I51="4D3",I53=7),INDEX(T!$G56:$G68,MATCH(TRUE,INDEX(T!$G56:$G68&gt;=I29,0),)),IF(AND(I51="4D3",I53=8),INDEX(T!$H56:$H68,MATCH(TRUE,INDEX(T!$H56:$H68&gt;=I29,0),)),IF(AND(I51="4D3",I53=9),INDEX(T!$I56:$I68,MATCH(TRUE,INDEX(T!$I56:$I68&gt;=I29,0),)),IF(AND(I51="4D3",I53=10),INDEX(T!$J56:$J68,MATCH(TRUE,INDEX(T!$J56:$J68&gt;=I29,0),)),IF(AND(I51="4D3",I53=11),INDEX(T!$K56:$K68,MATCH(TRUE,INDEX(T!$K56:$K68&gt;=I29,0),)),IF(AND(I51="4D3",I53=12),INDEX(T!$L$56:$L68,MATCH(TRUE,INDEX(T!$L$56:$L68&gt;=I29,0),)),IF(AND(I51="4D4",I53=2),INDEX(T!$B74:$B90,MATCH(TRUE,INDEX(T!$B74:$B90&gt;=I29,0),)),IF(AND(I51="4D4",I53=3),INDEX(T!$C$74:$C90,MATCH(TRUE,INDEX(T!$C$74:$C90&gt;=I29,0),)),IF(AND(I51="4D4",I53=4),INDEX(T!$D74:$D90,MATCH(TRUE,INDEX(T!$D74:$D90&gt;=I29,0),)),IF(AND(I51="4D4",I53=5),INDEX(T!$E74:$E90,MATCH(TRUE,INDEX(T!$E74:$E90&gt;=I29,0),)),IF(AND(I51="4D4",I53=6),INDEX(T!$F74:$F89,MATCH(TRUE,INDEX(T!$F74:$F89&gt;=I29,0),)),IF(AND(I51="4D4",I53=7),INDEX(T!$G74:$G89,MATCH(TRUE,INDEX(T!$G74:$G89&gt;=I29,0),)),IF(AND(I51="4D5",I53=2),INDEX(T!$B96:$B102,MATCH(TRUE,INDEX(T!$B96:$B102&gt;=I29,0),)),IF(AND(I51="4D5",I53=3),INDEX(T!$C$96:$C102,MATCH(TRUE,INDEX(T!$C$96:$C102&gt;=I29,0),)),IF(AND(I51="4D5",I53=4),INDEX(T!$D96:$D102,MATCH(TRUE,INDEX(T!$D96:$D102&gt;=I29,0),)),IF(AND(I51="4D5",I53=5),INDEX(T!$E96:$E102,MATCH(TRUE,INDEX(T!$E96:$E102&gt;=I29,0),)),IF(AND(I51="4D5",I53=6),INDEX(T!$F96:$F102,MATCH(TRUE,INDEX(T!$F96:$F102&gt;=I29,0),)),IF(AND(I51="4D5",I53=7),INDEX(T!$G96:$G102,MATCH(TRUE,INDEX(T!$G96:$G102&gt;=I29,0),)))))))))))))))))))))))))))))))))))))))))))),IF(OR(I51="4E1",I51="4E2",I51="4E3",I51="4E4"),IF(AND(I51="4E1",I53=2),INDEX(T!$B108:$B124,MATCH(TRUE,INDEX(T!$B108:$B124&gt;=I29,0),)),IF(AND(I51="4E1",I53=3),INDEX(T!$C$108:$C124,MATCH(TRUE,INDEX(T!$C$108:$C124&gt;=I29,0),)),IF(AND(I51="4E1",I53=4),INDEX(T!$D108:$D127,MATCH(TRUE,INDEX(T!$D108:$D127&gt;=I29,0),)),IF(AND(I51="4E1",I53=5),INDEX(T!$E108:$E127,MATCH(TRUE,INDEX(T!$E108:$E127&gt;=I29,0),)),IF(AND(I51="4E1",I53=6),INDEX(T!$F108:$F129,MATCH(TRUE,INDEX(T!$F108:$F129&gt;=I29,0),)),IF(AND(I51="4E1",I53=7),INDEX(T!$G108:$G129,MATCH(TRUE,INDEX(T!$G108:$G129&gt;=I29,0),)),IF(AND(I51="4E1",I53=8),INDEX(T!$H115:$H129,MATCH(TRUE,INDEX(T!$H115:$H129&gt;=I29,0),)),IF(AND(I51="4E1",I53=9),INDEX(T!$I115:$I129,MATCH(TRUE,INDEX(T!$I115:$I129&gt;=I29,0),)),IF(AND(I51="4E1",I53=10),INDEX(T!$J115:$J129,MATCH(TRUE,INDEX(T!$J115:$J129&gt;=I29,0),)),IF(AND(I51="4E1",I53=11),INDEX(T!$K115:$K129,MATCH(TRUE,INDEX(T!$K115:$K129&gt;=I29,0),)),IF(AND(I51="4E1",I53=12),INDEX(T!$L$115:$L129,MATCH(TRUE,INDEX(T!$L$115:$L129&gt;=I29,0),)),IF(AND(I51="4E2",I53=2),INDEX(T!$B134:$B151,MATCH(TRUE,INDEX(T!$B134:$B151&gt;=I29,0),)),IF(AND(I51="4E2",I53=3),INDEX(T!$C$134:$C151,MATCH(TRUE,INDEX(T!$C$134:$C151&gt;=I29,0),)),IF(AND(I51="4E2",I53=4),INDEX(T!$D134:$D152,MATCH(TRUE,INDEX(T!$D134:$D152&gt;=I29,0),)),IF(AND(I51="4E2",I53=5),INDEX(T!$E134:$E152,MATCH(TRUE,INDEX(T!$E134:$E152&gt;=I29,0),)),IF(AND(I51="4E2",I53=6),INDEX(T!$F134:$F152,MATCH(TRUE,INDEX(T!$F134:$F152&gt;=I29,0),)),IF(AND(I51="4E2",I53=7),INDEX(T!$G134:$G152,MATCH(TRUE,INDEX(T!$G134:$G152&gt;=I29,0),)),IF(AND(I51="4E2",I53=8),INDEX(T!$H134:$H152,MATCH(TRUE,INDEX(T!$H134:$H152&gt;=I29,0),)),IF(AND(I51="4E2",I53=9),INDEX(T!$I134:$I152,MATCH(TRUE,INDEX(T!$I134:$I152&gt;=I29,0),)),IF(AND(I51="4E3",I53=2),INDEX(T!$B158:$B170,MATCH(TRUE,INDEX(T!$B158:$B170&gt;=I29,0),)),IF(AND(I51="4E3",I53=3),INDEX(T!$C$158:$C170,MATCH(TRUE,INDEX(T!$C$158:$C170&gt;=I29,0),)),IF(AND(I51="4E3",I53=4),INDEX(T!$D158:$D170,MATCH(TRUE,INDEX(T!$D158:$D170&gt;=I29,0),)),IF(AND(I51="4E3",I53=5),INDEX(T!$E158:$E170,MATCH(TRUE,INDEX(T!$E158:$E170&gt;=I29,0),)),IF(AND(I51="4E3",I53=6),INDEX(T!$F158:$F170,MATCH(TRUE,INDEX(T!$F158:$F170&gt;=I29,0),)),IF(AND(I51="4E3",I53=7),INDEX(T!$G158:$G170,MATCH(TRUE,INDEX(T!$G158:$G170&gt;=I29,0),)),IF(AND(I51="4E3",I53=8),INDEX(T!$H158:$H170,MATCH(TRUE,INDEX(T!$H158:$H170&gt;=I29,0),)),IF(AND(I51="4E3",I53=9),INDEX(T!$I158:$I170,MATCH(TRUE,INDEX(T!$I56:$I68&gt;=I29,0),)),IF(AND(I51="4E3",I53=10),INDEX(T!$J158:$J170,MATCH(TRUE,INDEX(T!$J158:$J170&gt;=I29,0),)),IF(AND(I51="4E3",I53=11),INDEX(T!$K158:$K170,MATCH(TRUE,INDEX(T!$K158:$K170&gt;=I29,0),)),IF(AND(I51="4E3",I53=12),INDEX(T!$L$158:$L170,MATCH(TRUE,INDEX(T!$L$158:$L170&gt;=I29,0),)),IF(AND(I51="4E4",I53=2),INDEX(T!$B176:$B192,MATCH(TRUE,INDEX(T!$B176:$B192&gt;=I29,0),)),IF(AND(I51="4E4",I53=3),INDEX(T!$C176:$C192,MATCH(TRUE,INDEX(T!$C176:$C192&gt;=I29,0),)),IF(AND(I51="4E4",I53=4),INDEX(T!$D176:$D192,MATCH(TRUE,INDEX(T!$D176:$D192&gt;=I29,0),)),IF(AND(I51="4E4",I53=5),INDEX(T!$E176:$E192,MATCH(TRUE,INDEX(T!$E176:$E192&gt;=I29,0),)),IF(AND(I51="4E4",I53=6),INDEX(T!$F176:$F191,MATCH(TRUE,INDEX(T!$F176:$F191&gt;=I29,0),)),IF(AND(I51="4E4",I53=7),INDEX(T!$G176:$G191,MATCH(TRUE,INDEX(T!$G176:$G191&gt;=I29,0),)),"-")))))))))))))))))))))))))))))))))))),IF(OR(I51="4F1",I51="4F2",I51="4F3"),IF(I29="","",IF(AND(I51="4F1",I53=2),INDEX(T!$B198:$B202,MATCH(TRUE,INDEX(T!$B198:$B202&gt;=I29,0),)),IF(AND(I51="4F1",I53=3),INDEX(T!$C$198:$C211,MATCH(TRUE,INDEX(T!$C$198:$C211&gt;=I29,0),)),IF(AND(I51="4F1",I53=4),INDEX(T!$D203:$D214,MATCH(TRUE,INDEX(T!$D203:$D214&gt;=I29,0),)),IF(AND(I51="4F2",I53=2),INDEX(T!$B220:$B224,MATCH(TRUE,INDEX(T!$B220:$B224&gt;=I29,0),)),IF(AND(I51="4F2",I53=3),INDEX(T!$C$220:$C233,MATCH(TRUE,INDEX(T!$C$220:$C233&gt;=I29,0),)),IF(AND(I51="4F2",I53=4),INDEX(T!$D225:$D236,MATCH(TRUE,INDEX(T!$D225:$D236&gt;=I29,0),)),IF(AND(I51="4F3",I53=2),INDEX(T!$B242:$B248,MATCH(TRUE,INDEX(T!$B242:$B248&gt;=I29,0),)),IF(AND(I51="4F3",I53=3),INDEX(T!$C$242:$C248,MATCH(TRUE,INDEX(T!$C$242:$C248&gt;=I29,0),)),"-"))))))))),""))))</f>
        <v>130</v>
      </c>
      <c r="J75" s="134" cm="1">
        <f t="array" ref="J75">IF(J29="","",IF(OR(J51="4D1",J51="4D2",J51="4D3",J51="4D4",J51="4D5"),IF(AND(J51="4D1",J53=2),INDEX(T!$B6:$B22,MATCH(TRUE,INDEX(T!$B6:$B22&gt;=J29,0),)),IF(AND(J51="4D1",J53=3),INDEX(T!$C$6:$C22,MATCH(TRUE,INDEX(T!$C$6:$C22&gt;=J29,0),)),IF(AND(J51="4D1",J53=4),INDEX(T!$D6:$D25,MATCH(TRUE,INDEX(T!$D6:$D25&gt;=J29,0),)),IF(AND(J51="4D1",J53=5),INDEX(T!$E6:$E25,MATCH(TRUE,INDEX(T!$E6:$E25&gt;=J29,0),)),IF(AND(J51="4D1",J53=6),INDEX(T!$F6:$F27,MATCH(TRUE,INDEX(T!$F6:$F27&gt;=J29,0),)),IF(AND(J51="4D1",J53=7),INDEX(T!$G6:$G27,MATCH(TRUE,INDEX(T!$G6:$G27&gt;=J29,0),)),IF(AND(J51="4D1",J53=8),INDEX(T!$H13:$H27,MATCH(TRUE,INDEX(T!$H13:$H27&gt;=J29,0),)),IF(AND(J51="4D1",J53=9),INDEX(T!$I13:$I27,MATCH(TRUE,INDEX(T!$I13:$I27&gt;=J29,0),)),IF(AND(J51="4D1",J53=10),INDEX(T!$J13:$J27,MATCH(TRUE,INDEX(T!$J13:$J27&gt;=J29,0),)),IF(AND(J51="4D1",J53=11),INDEX(T!$K13:$K27,MATCH(TRUE,INDEX(T!$K13:$K27&gt;=J29,0),)),IF(AND(J51="4D1",J53=12),INDEX(T!$L$13:$L27,MATCH(TRUE,INDEX(T!$L$13:$L27&gt;=J29,0),)),IF(AND(J51="4D2",J53=2),INDEX(T!$B33:$B49,MATCH(TRUE,INDEX(T!$B33:$B49&gt;=J29,0),)),IF(AND(J51="4D2",J53=3),INDEX(T!$C$33:$C49,MATCH(TRUE,INDEX(T!$C$33:$C49&gt;=J29,0),)),IF(AND(J51="4D2",J53=4),INDEX(T!$D33:$D50,MATCH(TRUE,INDEX(T!$D33:$D50&gt;=J29,0),)),IF(AND(J51="4D2",J53=5),INDEX(T!$E33:$E50,MATCH(TRUE,INDEX(T!$E33:$E50&gt;=J29,0),)),IF(AND(J51="4D2",J53=6),INDEX(T!$F33:$F50,MATCH(TRUE,INDEX(T!$F33:$F50&gt;=J29,0),)),IF(AND(J51="4D2",J53=7),INDEX(T!$G33:$G50,MATCH(TRUE,INDEX(T!$G33:$G50&gt;=J29,0),)),IF(AND(J51="4D2",J53=8),INDEX(T!$H33:$H50,MATCH(TRUE,INDEX(T!$H33:$H50&gt;=J29,0),)),IF(AND(J51="4D2",J53=9),INDEX(T!$I33:$I50,MATCH(TRUE,INDEX(T!$I33:$I50&gt;=J29,0),)),IF(AND(J51="4D3",J53=2),INDEX(T!$B56:$B68,MATCH(TRUE,INDEX(T!$B56:$B68&gt;=J29,0),)),IF(AND(J51="4D3",J53=3),INDEX(T!$C$56:$C68,MATCH(TRUE,INDEX(T!$C$56:$C68&gt;=J29,0),)),IF(AND(J51="4D3",J53=4),INDEX(T!$D56:$D68,MATCH(TRUE,INDEX(T!$D56:$D68&gt;=J29,0),)),IF(AND(J51="4D3",J53=5),INDEX(T!$E56:$E68,MATCH(TRUE,INDEX(T!$E56:$E68&gt;=J29,0),)),IF(AND(J51="4D3",J53=6),INDEX(T!$F56:$F68,MATCH(TRUE,INDEX(T!$F56:$F68&gt;=J29,0),)),IF(AND(J51="4D3",J53=7),INDEX(T!$G56:$G68,MATCH(TRUE,INDEX(T!$G56:$G68&gt;=J29,0),)),IF(AND(J51="4D3",J53=8),INDEX(T!$H56:$H68,MATCH(TRUE,INDEX(T!$H56:$H68&gt;=J29,0),)),IF(AND(J51="4D3",J53=9),INDEX(T!$I56:$I68,MATCH(TRUE,INDEX(T!$I56:$I68&gt;=J29,0),)),IF(AND(J51="4D3",J53=10),INDEX(T!$J56:$J68,MATCH(TRUE,INDEX(T!$J56:$J68&gt;=J29,0),)),IF(AND(J51="4D3",J53=11),INDEX(T!$K56:$K68,MATCH(TRUE,INDEX(T!$K56:$K68&gt;=J29,0),)),IF(AND(J51="4D3",J53=12),INDEX(T!$L$56:$L68,MATCH(TRUE,INDEX(T!$L$56:$L68&gt;=J29,0),)),IF(AND(J51="4D4",J53=2),INDEX(T!$B74:$B90,MATCH(TRUE,INDEX(T!$B74:$B90&gt;=J29,0),)),IF(AND(J51="4D4",J53=3),INDEX(T!$C$74:$C90,MATCH(TRUE,INDEX(T!$C$74:$C90&gt;=J29,0),)),IF(AND(J51="4D4",J53=4),INDEX(T!$D74:$D90,MATCH(TRUE,INDEX(T!$D74:$D90&gt;=J29,0),)),IF(AND(J51="4D4",J53=5),INDEX(T!$E74:$E90,MATCH(TRUE,INDEX(T!$E74:$E90&gt;=J29,0),)),IF(AND(J51="4D4",J53=6),INDEX(T!$F74:$F89,MATCH(TRUE,INDEX(T!$F74:$F89&gt;=J29,0),)),IF(AND(J51="4D4",J53=7),INDEX(T!$G74:$G89,MATCH(TRUE,INDEX(T!$G74:$G89&gt;=J29,0),)),IF(AND(J51="4D5",J53=2),INDEX(T!$B96:$B102,MATCH(TRUE,INDEX(T!$B96:$B102&gt;=J29,0),)),IF(AND(J51="4D5",J53=3),INDEX(T!$C$96:$C102,MATCH(TRUE,INDEX(T!$C$96:$C102&gt;=J29,0),)),IF(AND(J51="4D5",J53=4),INDEX(T!$D96:$D102,MATCH(TRUE,INDEX(T!$D96:$D102&gt;=J29,0),)),IF(AND(J51="4D5",J53=5),INDEX(T!$E96:$E102,MATCH(TRUE,INDEX(T!$E96:$E102&gt;=J29,0),)),IF(AND(J51="4D5",J53=6),INDEX(T!$F96:$F102,MATCH(TRUE,INDEX(T!$F96:$F102&gt;=J29,0),)),IF(AND(J51="4D5",J53=7),INDEX(T!$G96:$G102,MATCH(TRUE,INDEX(T!$G96:$G102&gt;=J29,0),)))))))))))))))))))))))))))))))))))))))))))),IF(OR(J51="4E1",J51="4E2",J51="4E3",J51="4E4"),IF(AND(J51="4E1",J53=2),INDEX(T!$B108:$B124,MATCH(TRUE,INDEX(T!$B108:$B124&gt;=J29,0),)),IF(AND(J51="4E1",J53=3),INDEX(T!$C$108:$C124,MATCH(TRUE,INDEX(T!$C$108:$C124&gt;=J29,0),)),IF(AND(J51="4E1",J53=4),INDEX(T!$D108:$D127,MATCH(TRUE,INDEX(T!$D108:$D127&gt;=J29,0),)),IF(AND(J51="4E1",J53=5),INDEX(T!$E108:$E127,MATCH(TRUE,INDEX(T!$E108:$E127&gt;=J29,0),)),IF(AND(J51="4E1",J53=6),INDEX(T!$F108:$F129,MATCH(TRUE,INDEX(T!$F108:$F129&gt;=J29,0),)),IF(AND(J51="4E1",J53=7),INDEX(T!$G108:$G129,MATCH(TRUE,INDEX(T!$G108:$G129&gt;=J29,0),)),IF(AND(J51="4E1",J53=8),INDEX(T!$H115:$H129,MATCH(TRUE,INDEX(T!$H115:$H129&gt;=J29,0),)),IF(AND(J51="4E1",J53=9),INDEX(T!$I115:$I129,MATCH(TRUE,INDEX(T!$I115:$I129&gt;=J29,0),)),IF(AND(J51="4E1",J53=10),INDEX(T!$J115:$J129,MATCH(TRUE,INDEX(T!$J115:$J129&gt;=J29,0),)),IF(AND(J51="4E1",J53=11),INDEX(T!$K115:$K129,MATCH(TRUE,INDEX(T!$K115:$K129&gt;=J29,0),)),IF(AND(J51="4E1",J53=12),INDEX(T!$L$115:$L129,MATCH(TRUE,INDEX(T!$L$115:$L129&gt;=J29,0),)),IF(AND(J51="4E2",J53=2),INDEX(T!$B134:$B151,MATCH(TRUE,INDEX(T!$B134:$B151&gt;=J29,0),)),IF(AND(J51="4E2",J53=3),INDEX(T!$C$134:$C151,MATCH(TRUE,INDEX(T!$C$134:$C151&gt;=J29,0),)),IF(AND(J51="4E2",J53=4),INDEX(T!$D134:$D152,MATCH(TRUE,INDEX(T!$D134:$D152&gt;=J29,0),)),IF(AND(J51="4E2",J53=5),INDEX(T!$E134:$E152,MATCH(TRUE,INDEX(T!$E134:$E152&gt;=J29,0),)),IF(AND(J51="4E2",J53=6),INDEX(T!$F134:$F152,MATCH(TRUE,INDEX(T!$F134:$F152&gt;=J29,0),)),IF(AND(J51="4E2",J53=7),INDEX(T!$G134:$G152,MATCH(TRUE,INDEX(T!$G134:$G152&gt;=J29,0),)),IF(AND(J51="4E2",J53=8),INDEX(T!$H134:$H152,MATCH(TRUE,INDEX(T!$H134:$H152&gt;=J29,0),)),IF(AND(J51="4E2",J53=9),INDEX(T!$I134:$I152,MATCH(TRUE,INDEX(T!$I134:$I152&gt;=J29,0),)),IF(AND(J51="4E3",J53=2),INDEX(T!$B158:$B170,MATCH(TRUE,INDEX(T!$B158:$B170&gt;=J29,0),)),IF(AND(J51="4E3",J53=3),INDEX(T!$C$158:$C170,MATCH(TRUE,INDEX(T!$C$158:$C170&gt;=J29,0),)),IF(AND(J51="4E3",J53=4),INDEX(T!$D158:$D170,MATCH(TRUE,INDEX(T!$D158:$D170&gt;=J29,0),)),IF(AND(J51="4E3",J53=5),INDEX(T!$E158:$E170,MATCH(TRUE,INDEX(T!$E158:$E170&gt;=J29,0),)),IF(AND(J51="4E3",J53=6),INDEX(T!$F158:$F170,MATCH(TRUE,INDEX(T!$F158:$F170&gt;=J29,0),)),IF(AND(J51="4E3",J53=7),INDEX(T!$G158:$G170,MATCH(TRUE,INDEX(T!$G158:$G170&gt;=J29,0),)),IF(AND(J51="4E3",J53=8),INDEX(T!$H158:$H170,MATCH(TRUE,INDEX(T!$H158:$H170&gt;=J29,0),)),IF(AND(J51="4E3",J53=9),INDEX(T!$I158:$I170,MATCH(TRUE,INDEX(T!$I56:$I68&gt;=J29,0),)),IF(AND(J51="4E3",J53=10),INDEX(T!$J158:$J170,MATCH(TRUE,INDEX(T!$J158:$J170&gt;=J29,0),)),IF(AND(J51="4E3",J53=11),INDEX(T!$K158:$K170,MATCH(TRUE,INDEX(T!$K158:$K170&gt;=J29,0),)),IF(AND(J51="4E3",J53=12),INDEX(T!$L$158:$L170,MATCH(TRUE,INDEX(T!$L$158:$L170&gt;=J29,0),)),IF(AND(J51="4E4",J53=2),INDEX(T!$B176:$B192,MATCH(TRUE,INDEX(T!$B176:$B192&gt;=J29,0),)),IF(AND(J51="4E4",J53=3),INDEX(T!$C176:$C192,MATCH(TRUE,INDEX(T!$C176:$C192&gt;=J29,0),)),IF(AND(J51="4E4",J53=4),INDEX(T!$D176:$D192,MATCH(TRUE,INDEX(T!$D176:$D192&gt;=J29,0),)),IF(AND(J51="4E4",J53=5),INDEX(T!$E176:$E192,MATCH(TRUE,INDEX(T!$E176:$E192&gt;=J29,0),)),IF(AND(J51="4E4",J53=6),INDEX(T!$F176:$F191,MATCH(TRUE,INDEX(T!$F176:$F191&gt;=J29,0),)),IF(AND(J51="4E4",J53=7),INDEX(T!$G176:$G191,MATCH(TRUE,INDEX(T!$G176:$G191&gt;=J29,0),)),"-")))))))))))))))))))))))))))))))))))),IF(OR(J51="4F1",J51="4F2",J51="4F3"),IF(J29="","",IF(AND(J51="4F1",J53=2),INDEX(T!$B198:$B202,MATCH(TRUE,INDEX(T!$B198:$B202&gt;=J29,0),)),IF(AND(J51="4F1",J53=3),INDEX(T!$C$198:$C211,MATCH(TRUE,INDEX(T!$C$198:$C211&gt;=J29,0),)),IF(AND(J51="4F1",J53=4),INDEX(T!$D203:$D214,MATCH(TRUE,INDEX(T!$D203:$D214&gt;=J29,0),)),IF(AND(J51="4F2",J53=2),INDEX(T!$B220:$B224,MATCH(TRUE,INDEX(T!$B220:$B224&gt;=J29,0),)),IF(AND(J51="4F2",J53=3),INDEX(T!$C$220:$C233,MATCH(TRUE,INDEX(T!$C$220:$C233&gt;=J29,0),)),IF(AND(J51="4F2",J53=4),INDEX(T!$D225:$D236,MATCH(TRUE,INDEX(T!$D225:$D236&gt;=J29,0),)),IF(AND(J51="4F3",J53=2),INDEX(T!$B242:$B248,MATCH(TRUE,INDEX(T!$B242:$B248&gt;=J29,0),)),IF(AND(J51="4F3",J53=3),INDEX(T!$C$242:$C248,MATCH(TRUE,INDEX(T!$C$242:$C248&gt;=J29,0),)),"-"))))))))),""))))</f>
        <v>36</v>
      </c>
      <c r="K75" s="134" cm="1">
        <f t="array" ref="K75">IF(K29="","",IF(OR(K51="4D1",K51="4D2",K51="4D3",K51="4D4",K51="4D5"),IF(AND(K51="4D1",K53=2),INDEX(T!$B6:$B22,MATCH(TRUE,INDEX(T!$B6:$B22&gt;=K29,0),)),IF(AND(K51="4D1",K53=3),INDEX(T!$C$6:$C22,MATCH(TRUE,INDEX(T!$C$6:$C22&gt;=K29,0),)),IF(AND(K51="4D1",K53=4),INDEX(T!$D6:$D25,MATCH(TRUE,INDEX(T!$D6:$D25&gt;=K29,0),)),IF(AND(K51="4D1",K53=5),INDEX(T!$E6:$E25,MATCH(TRUE,INDEX(T!$E6:$E25&gt;=K29,0),)),IF(AND(K51="4D1",K53=6),INDEX(T!$F6:$F27,MATCH(TRUE,INDEX(T!$F6:$F27&gt;=K29,0),)),IF(AND(K51="4D1",K53=7),INDEX(T!$G6:$G27,MATCH(TRUE,INDEX(T!$G6:$G27&gt;=K29,0),)),IF(AND(K51="4D1",K53=8),INDEX(T!$H13:$H27,MATCH(TRUE,INDEX(T!$H13:$H27&gt;=K29,0),)),IF(AND(K51="4D1",K53=9),INDEX(T!$I13:$I27,MATCH(TRUE,INDEX(T!$I13:$I27&gt;=K29,0),)),IF(AND(K51="4D1",K53=10),INDEX(T!$J13:$J27,MATCH(TRUE,INDEX(T!$J13:$J27&gt;=K29,0),)),IF(AND(K51="4D1",K53=11),INDEX(T!$K13:$K27,MATCH(TRUE,INDEX(T!$K13:$K27&gt;=K29,0),)),IF(AND(K51="4D1",K53=12),INDEX(T!$L$13:$L27,MATCH(TRUE,INDEX(T!$L$13:$L27&gt;=K29,0),)),IF(AND(K51="4D2",K53=2),INDEX(T!$B33:$B49,MATCH(TRUE,INDEX(T!$B33:$B49&gt;=K29,0),)),IF(AND(K51="4D2",K53=3),INDEX(T!$C$33:$C49,MATCH(TRUE,INDEX(T!$C$33:$C49&gt;=K29,0),)),IF(AND(K51="4D2",K53=4),INDEX(T!$D33:$D50,MATCH(TRUE,INDEX(T!$D33:$D50&gt;=K29,0),)),IF(AND(K51="4D2",K53=5),INDEX(T!$E33:$E50,MATCH(TRUE,INDEX(T!$E33:$E50&gt;=K29,0),)),IF(AND(K51="4D2",K53=6),INDEX(T!$F33:$F50,MATCH(TRUE,INDEX(T!$F33:$F50&gt;=K29,0),)),IF(AND(K51="4D2",K53=7),INDEX(T!$G33:$G50,MATCH(TRUE,INDEX(T!$G33:$G50&gt;=K29,0),)),IF(AND(K51="4D2",K53=8),INDEX(T!$H33:$H50,MATCH(TRUE,INDEX(T!$H33:$H50&gt;=K29,0),)),IF(AND(K51="4D2",K53=9),INDEX(T!$I33:$I50,MATCH(TRUE,INDEX(T!$I33:$I50&gt;=K29,0),)),IF(AND(K51="4D3",K53=2),INDEX(T!$B56:$B68,MATCH(TRUE,INDEX(T!$B56:$B68&gt;=K29,0),)),IF(AND(K51="4D3",K53=3),INDEX(T!$C$56:$C68,MATCH(TRUE,INDEX(T!$C$56:$C68&gt;=K29,0),)),IF(AND(K51="4D3",K53=4),INDEX(T!$D56:$D68,MATCH(TRUE,INDEX(T!$D56:$D68&gt;=K29,0),)),IF(AND(K51="4D3",K53=5),INDEX(T!$E56:$E68,MATCH(TRUE,INDEX(T!$E56:$E68&gt;=K29,0),)),IF(AND(K51="4D3",K53=6),INDEX(T!$F56:$F68,MATCH(TRUE,INDEX(T!$F56:$F68&gt;=K29,0),)),IF(AND(K51="4D3",K53=7),INDEX(T!$G56:$G68,MATCH(TRUE,INDEX(T!$G56:$G68&gt;=K29,0),)),IF(AND(K51="4D3",K53=8),INDEX(T!$H56:$H68,MATCH(TRUE,INDEX(T!$H56:$H68&gt;=K29,0),)),IF(AND(K51="4D3",K53=9),INDEX(T!$I56:$I68,MATCH(TRUE,INDEX(T!$I56:$I68&gt;=K29,0),)),IF(AND(K51="4D3",K53=10),INDEX(T!$J56:$J68,MATCH(TRUE,INDEX(T!$J56:$J68&gt;=K29,0),)),IF(AND(K51="4D3",K53=11),INDEX(T!$K56:$K68,MATCH(TRUE,INDEX(T!$K56:$K68&gt;=K29,0),)),IF(AND(K51="4D3",K53=12),INDEX(T!$L$56:$L68,MATCH(TRUE,INDEX(T!$L$56:$L68&gt;=K29,0),)),IF(AND(K51="4D4",K53=2),INDEX(T!$B74:$B90,MATCH(TRUE,INDEX(T!$B74:$B90&gt;=K29,0),)),IF(AND(K51="4D4",K53=3),INDEX(T!$C$74:$C90,MATCH(TRUE,INDEX(T!$C$74:$C90&gt;=K29,0),)),IF(AND(K51="4D4",K53=4),INDEX(T!$D74:$D90,MATCH(TRUE,INDEX(T!$D74:$D90&gt;=K29,0),)),IF(AND(K51="4D4",K53=5),INDEX(T!$E74:$E90,MATCH(TRUE,INDEX(T!$E74:$E90&gt;=K29,0),)),IF(AND(K51="4D4",K53=6),INDEX(T!$F74:$F89,MATCH(TRUE,INDEX(T!$F74:$F89&gt;=K29,0),)),IF(AND(K51="4D4",K53=7),INDEX(T!$G74:$G89,MATCH(TRUE,INDEX(T!$G74:$G89&gt;=K29,0),)),IF(AND(K51="4D5",K53=2),INDEX(T!$B96:$B102,MATCH(TRUE,INDEX(T!$B96:$B102&gt;=K29,0),)),IF(AND(K51="4D5",K53=3),INDEX(T!$C$96:$C102,MATCH(TRUE,INDEX(T!$C$96:$C102&gt;=K29,0),)),IF(AND(K51="4D5",K53=4),INDEX(T!$D96:$D102,MATCH(TRUE,INDEX(T!$D96:$D102&gt;=K29,0),)),IF(AND(K51="4D5",K53=5),INDEX(T!$E96:$E102,MATCH(TRUE,INDEX(T!$E96:$E102&gt;=K29,0),)),IF(AND(K51="4D5",K53=6),INDEX(T!$F96:$F102,MATCH(TRUE,INDEX(T!$F96:$F102&gt;=K29,0),)),IF(AND(K51="4D5",K53=7),INDEX(T!$G96:$G102,MATCH(TRUE,INDEX(T!$G96:$G102&gt;=K29,0),)))))))))))))))))))))))))))))))))))))))))))),IF(OR(K51="4E1",K51="4E2",K51="4E3",K51="4E4"),IF(AND(K51="4E1",K53=2),INDEX(T!$B108:$B124,MATCH(TRUE,INDEX(T!$B108:$B124&gt;=K29,0),)),IF(AND(K51="4E1",K53=3),INDEX(T!$C$108:$C124,MATCH(TRUE,INDEX(T!$C$108:$C124&gt;=K29,0),)),IF(AND(K51="4E1",K53=4),INDEX(T!$D108:$D127,MATCH(TRUE,INDEX(T!$D108:$D127&gt;=K29,0),)),IF(AND(K51="4E1",K53=5),INDEX(T!$E108:$E127,MATCH(TRUE,INDEX(T!$E108:$E127&gt;=K29,0),)),IF(AND(K51="4E1",K53=6),INDEX(T!$F108:$F129,MATCH(TRUE,INDEX(T!$F108:$F129&gt;=K29,0),)),IF(AND(K51="4E1",K53=7),INDEX(T!$G108:$G129,MATCH(TRUE,INDEX(T!$G108:$G129&gt;=K29,0),)),IF(AND(K51="4E1",K53=8),INDEX(T!$H115:$H129,MATCH(TRUE,INDEX(T!$H115:$H129&gt;=K29,0),)),IF(AND(K51="4E1",K53=9),INDEX(T!$I115:$I129,MATCH(TRUE,INDEX(T!$I115:$I129&gt;=K29,0),)),IF(AND(K51="4E1",K53=10),INDEX(T!$J115:$J129,MATCH(TRUE,INDEX(T!$J115:$J129&gt;=K29,0),)),IF(AND(K51="4E1",K53=11),INDEX(T!$K115:$K129,MATCH(TRUE,INDEX(T!$K115:$K129&gt;=K29,0),)),IF(AND(K51="4E1",K53=12),INDEX(T!$L$115:$L129,MATCH(TRUE,INDEX(T!$L$115:$L129&gt;=K29,0),)),IF(AND(K51="4E2",K53=2),INDEX(T!$B134:$B151,MATCH(TRUE,INDEX(T!$B134:$B151&gt;=K29,0),)),IF(AND(K51="4E2",K53=3),INDEX(T!$C$134:$C151,MATCH(TRUE,INDEX(T!$C$134:$C151&gt;=K29,0),)),IF(AND(K51="4E2",K53=4),INDEX(T!$D134:$D152,MATCH(TRUE,INDEX(T!$D134:$D152&gt;=K29,0),)),IF(AND(K51="4E2",K53=5),INDEX(T!$E134:$E152,MATCH(TRUE,INDEX(T!$E134:$E152&gt;=K29,0),)),IF(AND(K51="4E2",K53=6),INDEX(T!$F134:$F152,MATCH(TRUE,INDEX(T!$F134:$F152&gt;=K29,0),)),IF(AND(K51="4E2",K53=7),INDEX(T!$G134:$G152,MATCH(TRUE,INDEX(T!$G134:$G152&gt;=K29,0),)),IF(AND(K51="4E2",K53=8),INDEX(T!$H134:$H152,MATCH(TRUE,INDEX(T!$H134:$H152&gt;=K29,0),)),IF(AND(K51="4E2",K53=9),INDEX(T!$I134:$I152,MATCH(TRUE,INDEX(T!$I134:$I152&gt;=K29,0),)),IF(AND(K51="4E3",K53=2),INDEX(T!$B158:$B170,MATCH(TRUE,INDEX(T!$B158:$B170&gt;=K29,0),)),IF(AND(K51="4E3",K53=3),INDEX(T!$C$158:$C170,MATCH(TRUE,INDEX(T!$C$158:$C170&gt;=K29,0),)),IF(AND(K51="4E3",K53=4),INDEX(T!$D158:$D170,MATCH(TRUE,INDEX(T!$D158:$D170&gt;=K29,0),)),IF(AND(K51="4E3",K53=5),INDEX(T!$E158:$E170,MATCH(TRUE,INDEX(T!$E158:$E170&gt;=K29,0),)),IF(AND(K51="4E3",K53=6),INDEX(T!$F158:$F170,MATCH(TRUE,INDEX(T!$F158:$F170&gt;=K29,0),)),IF(AND(K51="4E3",K53=7),INDEX(T!$G158:$G170,MATCH(TRUE,INDEX(T!$G158:$G170&gt;=K29,0),)),IF(AND(K51="4E3",K53=8),INDEX(T!$H158:$H170,MATCH(TRUE,INDEX(T!$H158:$H170&gt;=K29,0),)),IF(AND(K51="4E3",K53=9),INDEX(T!$I158:$I170,MATCH(TRUE,INDEX(T!$I56:$I68&gt;=K29,0),)),IF(AND(K51="4E3",K53=10),INDEX(T!$J158:$J170,MATCH(TRUE,INDEX(T!$J158:$J170&gt;=K29,0),)),IF(AND(K51="4E3",K53=11),INDEX(T!$K158:$K170,MATCH(TRUE,INDEX(T!$K158:$K170&gt;=K29,0),)),IF(AND(K51="4E3",K53=12),INDEX(T!$L$158:$L170,MATCH(TRUE,INDEX(T!$L$158:$L170&gt;=K29,0),)),IF(AND(K51="4E4",K53=2),INDEX(T!$B176:$B192,MATCH(TRUE,INDEX(T!$B176:$B192&gt;=K29,0),)),IF(AND(K51="4E4",K53=3),INDEX(T!$C176:$C192,MATCH(TRUE,INDEX(T!$C176:$C192&gt;=K29,0),)),IF(AND(K51="4E4",K53=4),INDEX(T!$D176:$D192,MATCH(TRUE,INDEX(T!$D176:$D192&gt;=K29,0),)),IF(AND(K51="4E4",K53=5),INDEX(T!$E176:$E192,MATCH(TRUE,INDEX(T!$E176:$E192&gt;=K29,0),)),IF(AND(K51="4E4",K53=6),INDEX(T!$F176:$F191,MATCH(TRUE,INDEX(T!$F176:$F191&gt;=K29,0),)),IF(AND(K51="4E4",K53=7),INDEX(T!$G176:$G191,MATCH(TRUE,INDEX(T!$G176:$G191&gt;=K29,0),)),"-")))))))))))))))))))))))))))))))))))),IF(OR(K51="4F1",K51="4F2",K51="4F3"),IF(K29="","",IF(AND(K51="4F1",K53=2),INDEX(T!$B198:$B202,MATCH(TRUE,INDEX(T!$B198:$B202&gt;=K29,0),)),IF(AND(K51="4F1",K53=3),INDEX(T!$C$198:$C211,MATCH(TRUE,INDEX(T!$C$198:$C211&gt;=K29,0),)),IF(AND(K51="4F1",K53=4),INDEX(T!$D203:$D214,MATCH(TRUE,INDEX(T!$D203:$D214&gt;=K29,0),)),IF(AND(K51="4F2",K53=2),INDEX(T!$B220:$B224,MATCH(TRUE,INDEX(T!$B220:$B224&gt;=K29,0),)),IF(AND(K51="4F2",K53=3),INDEX(T!$C$220:$C233,MATCH(TRUE,INDEX(T!$C$220:$C233&gt;=K29,0),)),IF(AND(K51="4F2",K53=4),INDEX(T!$D225:$D236,MATCH(TRUE,INDEX(T!$D225:$D236&gt;=K29,0),)),IF(AND(K51="4F3",K53=2),INDEX(T!$B242:$B248,MATCH(TRUE,INDEX(T!$B242:$B248&gt;=K29,0),)),IF(AND(K51="4F3",K53=3),INDEX(T!$C$242:$C248,MATCH(TRUE,INDEX(T!$C$242:$C248&gt;=K29,0),)),"-"))))))))),""))))</f>
        <v>20</v>
      </c>
      <c r="L75" s="134" cm="1">
        <f t="array" ref="L75">IF(L29="","",IF(OR(L51="4D1",L51="4D2",L51="4D3",L51="4D4",L51="4D5"),IF(AND(L51="4D1",L53=2),INDEX(T!$B6:$B22,MATCH(TRUE,INDEX(T!$B6:$B22&gt;=L29,0),)),IF(AND(L51="4D1",L53=3),INDEX(T!$C$6:$C22,MATCH(TRUE,INDEX(T!$C$6:$C22&gt;=L29,0),)),IF(AND(L51="4D1",L53=4),INDEX(T!$D6:$D25,MATCH(TRUE,INDEX(T!$D6:$D25&gt;=L29,0),)),IF(AND(L51="4D1",L53=5),INDEX(T!$E6:$E25,MATCH(TRUE,INDEX(T!$E6:$E25&gt;=L29,0),)),IF(AND(L51="4D1",L53=6),INDEX(T!$F6:$F27,MATCH(TRUE,INDEX(T!$F6:$F27&gt;=L29,0),)),IF(AND(L51="4D1",L53=7),INDEX(T!$G6:$G27,MATCH(TRUE,INDEX(T!$G6:$G27&gt;=L29,0),)),IF(AND(L51="4D1",L53=8),INDEX(T!$H13:$H27,MATCH(TRUE,INDEX(T!$H13:$H27&gt;=L29,0),)),IF(AND(L51="4D1",L53=9),INDEX(T!$I13:$I27,MATCH(TRUE,INDEX(T!$I13:$I27&gt;=L29,0),)),IF(AND(L51="4D1",L53=10),INDEX(T!$J13:$J27,MATCH(TRUE,INDEX(T!$J13:$J27&gt;=L29,0),)),IF(AND(L51="4D1",L53=11),INDEX(T!$K13:$K27,MATCH(TRUE,INDEX(T!$K13:$K27&gt;=L29,0),)),IF(AND(L51="4D1",L53=12),INDEX(T!$L$13:$L27,MATCH(TRUE,INDEX(T!$L$13:$L27&gt;=L29,0),)),IF(AND(L51="4D2",L53=2),INDEX(T!$B33:$B49,MATCH(TRUE,INDEX(T!$B33:$B49&gt;=L29,0),)),IF(AND(L51="4D2",L53=3),INDEX(T!$C$33:$C49,MATCH(TRUE,INDEX(T!$C$33:$C49&gt;=L29,0),)),IF(AND(L51="4D2",L53=4),INDEX(T!$D33:$D50,MATCH(TRUE,INDEX(T!$D33:$D50&gt;=L29,0),)),IF(AND(L51="4D2",L53=5),INDEX(T!$E33:$E50,MATCH(TRUE,INDEX(T!$E33:$E50&gt;=L29,0),)),IF(AND(L51="4D2",L53=6),INDEX(T!$F33:$F50,MATCH(TRUE,INDEX(T!$F33:$F50&gt;=L29,0),)),IF(AND(L51="4D2",L53=7),INDEX(T!$G33:$G50,MATCH(TRUE,INDEX(T!$G33:$G50&gt;=L29,0),)),IF(AND(L51="4D2",L53=8),INDEX(T!$H33:$H50,MATCH(TRUE,INDEX(T!$H33:$H50&gt;=L29,0),)),IF(AND(L51="4D2",L53=9),INDEX(T!$I33:$I50,MATCH(TRUE,INDEX(T!$I33:$I50&gt;=L29,0),)),IF(AND(L51="4D3",L53=2),INDEX(T!$B56:$B68,MATCH(TRUE,INDEX(T!$B56:$B68&gt;=L29,0),)),IF(AND(L51="4D3",L53=3),INDEX(T!$C$56:$C68,MATCH(TRUE,INDEX(T!$C$56:$C68&gt;=L29,0),)),IF(AND(L51="4D3",L53=4),INDEX(T!$D56:$D68,MATCH(TRUE,INDEX(T!$D56:$D68&gt;=L29,0),)),IF(AND(L51="4D3",L53=5),INDEX(T!$E56:$E68,MATCH(TRUE,INDEX(T!$E56:$E68&gt;=L29,0),)),IF(AND(L51="4D3",L53=6),INDEX(T!$F56:$F68,MATCH(TRUE,INDEX(T!$F56:$F68&gt;=L29,0),)),IF(AND(L51="4D3",L53=7),INDEX(T!$G56:$G68,MATCH(TRUE,INDEX(T!$G56:$G68&gt;=L29,0),)),IF(AND(L51="4D3",L53=8),INDEX(T!$H56:$H68,MATCH(TRUE,INDEX(T!$H56:$H68&gt;=L29,0),)),IF(AND(L51="4D3",L53=9),INDEX(T!$I56:$I68,MATCH(TRUE,INDEX(T!$I56:$I68&gt;=L29,0),)),IF(AND(L51="4D3",L53=10),INDEX(T!$J56:$J68,MATCH(TRUE,INDEX(T!$J56:$J68&gt;=L29,0),)),IF(AND(L51="4D3",L53=11),INDEX(T!$K56:$K68,MATCH(TRUE,INDEX(T!$K56:$K68&gt;=L29,0),)),IF(AND(L51="4D3",L53=12),INDEX(T!$L$56:$L68,MATCH(TRUE,INDEX(T!$L$56:$L68&gt;=L29,0),)),IF(AND(L51="4D4",L53=2),INDEX(T!$B74:$B90,MATCH(TRUE,INDEX(T!$B74:$B90&gt;=L29,0),)),IF(AND(L51="4D4",L53=3),INDEX(T!$C$74:$C90,MATCH(TRUE,INDEX(T!$C$74:$C90&gt;=L29,0),)),IF(AND(L51="4D4",L53=4),INDEX(T!$D74:$D90,MATCH(TRUE,INDEX(T!$D74:$D90&gt;=L29,0),)),IF(AND(L51="4D4",L53=5),INDEX(T!$E74:$E90,MATCH(TRUE,INDEX(T!$E74:$E90&gt;=L29,0),)),IF(AND(L51="4D4",L53=6),INDEX(T!$F74:$F89,MATCH(TRUE,INDEX(T!$F74:$F89&gt;=L29,0),)),IF(AND(L51="4D4",L53=7),INDEX(T!$G74:$G89,MATCH(TRUE,INDEX(T!$G74:$G89&gt;=L29,0),)),IF(AND(L51="4D5",L53=2),INDEX(T!$B96:$B102,MATCH(TRUE,INDEX(T!$B96:$B102&gt;=L29,0),)),IF(AND(L51="4D5",L53=3),INDEX(T!$C$96:$C102,MATCH(TRUE,INDEX(T!$C$96:$C102&gt;=L29,0),)),IF(AND(L51="4D5",L53=4),INDEX(T!$D96:$D102,MATCH(TRUE,INDEX(T!$D96:$D102&gt;=L29,0),)),IF(AND(L51="4D5",L53=5),INDEX(T!$E96:$E102,MATCH(TRUE,INDEX(T!$E96:$E102&gt;=L29,0),)),IF(AND(L51="4D5",L53=6),INDEX(T!$F96:$F102,MATCH(TRUE,INDEX(T!$F96:$F102&gt;=L29,0),)),IF(AND(L51="4D5",L53=7),INDEX(T!$G96:$G102,MATCH(TRUE,INDEX(T!$G96:$G102&gt;=L29,0),)))))))))))))))))))))))))))))))))))))))))))),IF(OR(L51="4E1",L51="4E2",L51="4E3",L51="4E4"),IF(AND(L51="4E1",L53=2),INDEX(T!$B108:$B124,MATCH(TRUE,INDEX(T!$B108:$B124&gt;=L29,0),)),IF(AND(L51="4E1",L53=3),INDEX(T!$C$108:$C124,MATCH(TRUE,INDEX(T!$C$108:$C124&gt;=L29,0),)),IF(AND(L51="4E1",L53=4),INDEX(T!$D108:$D127,MATCH(TRUE,INDEX(T!$D108:$D127&gt;=L29,0),)),IF(AND(L51="4E1",L53=5),INDEX(T!$E108:$E127,MATCH(TRUE,INDEX(T!$E108:$E127&gt;=L29,0),)),IF(AND(L51="4E1",L53=6),INDEX(T!$F108:$F129,MATCH(TRUE,INDEX(T!$F108:$F129&gt;=L29,0),)),IF(AND(L51="4E1",L53=7),INDEX(T!$G108:$G129,MATCH(TRUE,INDEX(T!$G108:$G129&gt;=L29,0),)),IF(AND(L51="4E1",L53=8),INDEX(T!$H115:$H129,MATCH(TRUE,INDEX(T!$H115:$H129&gt;=L29,0),)),IF(AND(L51="4E1",L53=9),INDEX(T!$I115:$I129,MATCH(TRUE,INDEX(T!$I115:$I129&gt;=L29,0),)),IF(AND(L51="4E1",L53=10),INDEX(T!$J115:$J129,MATCH(TRUE,INDEX(T!$J115:$J129&gt;=L29,0),)),IF(AND(L51="4E1",L53=11),INDEX(T!$K115:$K129,MATCH(TRUE,INDEX(T!$K115:$K129&gt;=L29,0),)),IF(AND(L51="4E1",L53=12),INDEX(T!$L$115:$L129,MATCH(TRUE,INDEX(T!$L$115:$L129&gt;=L29,0),)),IF(AND(L51="4E2",L53=2),INDEX(T!$B134:$B151,MATCH(TRUE,INDEX(T!$B134:$B151&gt;=L29,0),)),IF(AND(L51="4E2",L53=3),INDEX(T!$C$134:$C151,MATCH(TRUE,INDEX(T!$C$134:$C151&gt;=L29,0),)),IF(AND(L51="4E2",L53=4),INDEX(T!$D134:$D152,MATCH(TRUE,INDEX(T!$D134:$D152&gt;=L29,0),)),IF(AND(L51="4E2",L53=5),INDEX(T!$E134:$E152,MATCH(TRUE,INDEX(T!$E134:$E152&gt;=L29,0),)),IF(AND(L51="4E2",L53=6),INDEX(T!$F134:$F152,MATCH(TRUE,INDEX(T!$F134:$F152&gt;=L29,0),)),IF(AND(L51="4E2",L53=7),INDEX(T!$G134:$G152,MATCH(TRUE,INDEX(T!$G134:$G152&gt;=L29,0),)),IF(AND(L51="4E2",L53=8),INDEX(T!$H134:$H152,MATCH(TRUE,INDEX(T!$H134:$H152&gt;=L29,0),)),IF(AND(L51="4E2",L53=9),INDEX(T!$I134:$I152,MATCH(TRUE,INDEX(T!$I134:$I152&gt;=L29,0),)),IF(AND(L51="4E3",L53=2),INDEX(T!$B158:$B170,MATCH(TRUE,INDEX(T!$B158:$B170&gt;=L29,0),)),IF(AND(L51="4E3",L53=3),INDEX(T!$C$158:$C170,MATCH(TRUE,INDEX(T!$C$158:$C170&gt;=L29,0),)),IF(AND(L51="4E3",L53=4),INDEX(T!$D158:$D170,MATCH(TRUE,INDEX(T!$D158:$D170&gt;=L29,0),)),IF(AND(L51="4E3",L53=5),INDEX(T!$E158:$E170,MATCH(TRUE,INDEX(T!$E158:$E170&gt;=L29,0),)),IF(AND(L51="4E3",L53=6),INDEX(T!$F158:$F170,MATCH(TRUE,INDEX(T!$F158:$F170&gt;=L29,0),)),IF(AND(L51="4E3",L53=7),INDEX(T!$G158:$G170,MATCH(TRUE,INDEX(T!$G158:$G170&gt;=L29,0),)),IF(AND(L51="4E3",L53=8),INDEX(T!$H158:$H170,MATCH(TRUE,INDEX(T!$H158:$H170&gt;=L29,0),)),IF(AND(L51="4E3",L53=9),INDEX(T!$I158:$I170,MATCH(TRUE,INDEX(T!$I56:$I68&gt;=L29,0),)),IF(AND(L51="4E3",L53=10),INDEX(T!$J158:$J170,MATCH(TRUE,INDEX(T!$J158:$J170&gt;=L29,0),)),IF(AND(L51="4E3",L53=11),INDEX(T!$K158:$K170,MATCH(TRUE,INDEX(T!$K158:$K170&gt;=L29,0),)),IF(AND(L51="4E3",L53=12),INDEX(T!$L$158:$L170,MATCH(TRUE,INDEX(T!$L$158:$L170&gt;=L29,0),)),IF(AND(L51="4E4",L53=2),INDEX(T!$B176:$B192,MATCH(TRUE,INDEX(T!$B176:$B192&gt;=L29,0),)),IF(AND(L51="4E4",L53=3),INDEX(T!$C176:$C192,MATCH(TRUE,INDEX(T!$C176:$C192&gt;=L29,0),)),IF(AND(L51="4E4",L53=4),INDEX(T!$D176:$D192,MATCH(TRUE,INDEX(T!$D176:$D192&gt;=L29,0),)),IF(AND(L51="4E4",L53=5),INDEX(T!$E176:$E192,MATCH(TRUE,INDEX(T!$E176:$E192&gt;=L29,0),)),IF(AND(L51="4E4",L53=6),INDEX(T!$F176:$F191,MATCH(TRUE,INDEX(T!$F176:$F191&gt;=L29,0),)),IF(AND(L51="4E4",L53=7),INDEX(T!$G176:$G191,MATCH(TRUE,INDEX(T!$G176:$G191&gt;=L29,0),)),"-")))))))))))))))))))))))))))))))))))),IF(OR(L51="4F1",L51="4F2",L51="4F3"),IF(L29="","",IF(AND(L51="4F1",L53=2),INDEX(T!$B198:$B202,MATCH(TRUE,INDEX(T!$B198:$B202&gt;=L29,0),)),IF(AND(L51="4F1",L53=3),INDEX(T!$C$198:$C211,MATCH(TRUE,INDEX(T!$C$198:$C211&gt;=L29,0),)),IF(AND(L51="4F1",L53=4),INDEX(T!$D203:$D214,MATCH(TRUE,INDEX(T!$D203:$D214&gt;=L29,0),)),IF(AND(L51="4F2",L53=2),INDEX(T!$B220:$B224,MATCH(TRUE,INDEX(T!$B220:$B224&gt;=L29,0),)),IF(AND(L51="4F2",L53=3),INDEX(T!$C$220:$C233,MATCH(TRUE,INDEX(T!$C$220:$C233&gt;=L29,0),)),IF(AND(L51="4F2",L53=4),INDEX(T!$D225:$D236,MATCH(TRUE,INDEX(T!$D225:$D236&gt;=L29,0),)),IF(AND(L51="4F3",L53=2),INDEX(T!$B242:$B248,MATCH(TRUE,INDEX(T!$B242:$B248&gt;=L29,0),)),IF(AND(L51="4F3",L53=3),INDEX(T!$C$242:$C248,MATCH(TRUE,INDEX(T!$C$242:$C248&gt;=L29,0),)),"-"))))))))),""))))</f>
        <v>20</v>
      </c>
      <c r="M75" s="134" t="str" cm="1">
        <f t="array" ref="M75">IF(M29="","",IF(OR(M51="4D1",M51="4D2",M51="4D3",M51="4D4",M51="4D5"),IF(AND(M51="4D1",M53=2),INDEX(T!$B6:$B22,MATCH(TRUE,INDEX(T!$B6:$B22&gt;=M29,0),)),IF(AND(M51="4D1",M53=3),INDEX(T!$C$6:$C22,MATCH(TRUE,INDEX(T!$C$6:$C22&gt;=M29,0),)),IF(AND(M51="4D1",M53=4),INDEX(T!$D6:$D25,MATCH(TRUE,INDEX(T!$D6:$D25&gt;=M29,0),)),IF(AND(M51="4D1",M53=5),INDEX(T!$E6:$E25,MATCH(TRUE,INDEX(T!$E6:$E25&gt;=M29,0),)),IF(AND(M51="4D1",M53=6),INDEX(T!$F6:$F27,MATCH(TRUE,INDEX(T!$F6:$F27&gt;=M29,0),)),IF(AND(M51="4D1",M53=7),INDEX(T!$G6:$G27,MATCH(TRUE,INDEX(T!$G6:$G27&gt;=M29,0),)),IF(AND(M51="4D1",M53=8),INDEX(T!$H13:$H27,MATCH(TRUE,INDEX(T!$H13:$H27&gt;=M29,0),)),IF(AND(M51="4D1",M53=9),INDEX(T!$I13:$I27,MATCH(TRUE,INDEX(T!$I13:$I27&gt;=M29,0),)),IF(AND(M51="4D1",M53=10),INDEX(T!$J13:$J27,MATCH(TRUE,INDEX(T!$J13:$J27&gt;=M29,0),)),IF(AND(M51="4D1",M53=11),INDEX(T!$K13:$K27,MATCH(TRUE,INDEX(T!$K13:$K27&gt;=M29,0),)),IF(AND(M51="4D1",M53=12),INDEX(T!$L$13:$L27,MATCH(TRUE,INDEX(T!$L$13:$L27&gt;=M29,0),)),IF(AND(M51="4D2",M53=2),INDEX(T!$B33:$B49,MATCH(TRUE,INDEX(T!$B33:$B49&gt;=M29,0),)),IF(AND(M51="4D2",M53=3),INDEX(T!$C$33:$C49,MATCH(TRUE,INDEX(T!$C$33:$C49&gt;=M29,0),)),IF(AND(M51="4D2",M53=4),INDEX(T!$D33:$D50,MATCH(TRUE,INDEX(T!$D33:$D50&gt;=M29,0),)),IF(AND(M51="4D2",M53=5),INDEX(T!$E33:$E50,MATCH(TRUE,INDEX(T!$E33:$E50&gt;=M29,0),)),IF(AND(M51="4D2",M53=6),INDEX(T!$F33:$F50,MATCH(TRUE,INDEX(T!$F33:$F50&gt;=M29,0),)),IF(AND(M51="4D2",M53=7),INDEX(T!$G33:$G50,MATCH(TRUE,INDEX(T!$G33:$G50&gt;=M29,0),)),IF(AND(M51="4D2",M53=8),INDEX(T!$H33:$H50,MATCH(TRUE,INDEX(T!$H33:$H50&gt;=M29,0),)),IF(AND(M51="4D2",M53=9),INDEX(T!$I33:$I50,MATCH(TRUE,INDEX(T!$I33:$I50&gt;=M29,0),)),IF(AND(M51="4D3",M53=2),INDEX(T!$B56:$B68,MATCH(TRUE,INDEX(T!$B56:$B68&gt;=M29,0),)),IF(AND(M51="4D3",M53=3),INDEX(T!$C$56:$C68,MATCH(TRUE,INDEX(T!$C$56:$C68&gt;=M29,0),)),IF(AND(M51="4D3",M53=4),INDEX(T!$D56:$D68,MATCH(TRUE,INDEX(T!$D56:$D68&gt;=M29,0),)),IF(AND(M51="4D3",M53=5),INDEX(T!$E56:$E68,MATCH(TRUE,INDEX(T!$E56:$E68&gt;=M29,0),)),IF(AND(M51="4D3",M53=6),INDEX(T!$F56:$F68,MATCH(TRUE,INDEX(T!$F56:$F68&gt;=M29,0),)),IF(AND(M51="4D3",M53=7),INDEX(T!$G56:$G68,MATCH(TRUE,INDEX(T!$G56:$G68&gt;=M29,0),)),IF(AND(M51="4D3",M53=8),INDEX(T!$H56:$H68,MATCH(TRUE,INDEX(T!$H56:$H68&gt;=M29,0),)),IF(AND(M51="4D3",M53=9),INDEX(T!$I56:$I68,MATCH(TRUE,INDEX(T!$I56:$I68&gt;=M29,0),)),IF(AND(M51="4D3",M53=10),INDEX(T!$J56:$J68,MATCH(TRUE,INDEX(T!$J56:$J68&gt;=M29,0),)),IF(AND(M51="4D3",M53=11),INDEX(T!$K56:$K68,MATCH(TRUE,INDEX(T!$K56:$K68&gt;=M29,0),)),IF(AND(M51="4D3",M53=12),INDEX(T!$L$56:$L68,MATCH(TRUE,INDEX(T!$L$56:$L68&gt;=M29,0),)),IF(AND(M51="4D4",M53=2),INDEX(T!$B74:$B90,MATCH(TRUE,INDEX(T!$B74:$B90&gt;=M29,0),)),IF(AND(M51="4D4",M53=3),INDEX(T!$C$74:$C90,MATCH(TRUE,INDEX(T!$C$74:$C90&gt;=M29,0),)),IF(AND(M51="4D4",M53=4),INDEX(T!$D74:$D90,MATCH(TRUE,INDEX(T!$D74:$D90&gt;=M29,0),)),IF(AND(M51="4D4",M53=5),INDEX(T!$E74:$E90,MATCH(TRUE,INDEX(T!$E74:$E90&gt;=M29,0),)),IF(AND(M51="4D4",M53=6),INDEX(T!$F74:$F89,MATCH(TRUE,INDEX(T!$F74:$F89&gt;=M29,0),)),IF(AND(M51="4D4",M53=7),INDEX(T!$G74:$G89,MATCH(TRUE,INDEX(T!$G74:$G89&gt;=M29,0),)),IF(AND(M51="4D5",M53=2),INDEX(T!$B96:$B102,MATCH(TRUE,INDEX(T!$B96:$B102&gt;=M29,0),)),IF(AND(M51="4D5",M53=3),INDEX(T!$C$96:$C102,MATCH(TRUE,INDEX(T!$C$96:$C102&gt;=M29,0),)),IF(AND(M51="4D5",M53=4),INDEX(T!$D96:$D102,MATCH(TRUE,INDEX(T!$D96:$D102&gt;=M29,0),)),IF(AND(M51="4D5",M53=5),INDEX(T!$E96:$E102,MATCH(TRUE,INDEX(T!$E96:$E102&gt;=M29,0),)),IF(AND(M51="4D5",M53=6),INDEX(T!$F96:$F102,MATCH(TRUE,INDEX(T!$F96:$F102&gt;=M29,0),)),IF(AND(M51="4D5",M53=7),INDEX(T!$G96:$G102,MATCH(TRUE,INDEX(T!$G96:$G102&gt;=M29,0),)))))))))))))))))))))))))))))))))))))))))))),IF(OR(M51="4E1",M51="4E2",M51="4E3",M51="4E4"),IF(AND(M51="4E1",M53=2),INDEX(T!$B108:$B124,MATCH(TRUE,INDEX(T!$B108:$B124&gt;=M29,0),)),IF(AND(M51="4E1",M53=3),INDEX(T!$C$108:$C124,MATCH(TRUE,INDEX(T!$C$108:$C124&gt;=M29,0),)),IF(AND(M51="4E1",M53=4),INDEX(T!$D108:$D127,MATCH(TRUE,INDEX(T!$D108:$D127&gt;=M29,0),)),IF(AND(M51="4E1",M53=5),INDEX(T!$E108:$E127,MATCH(TRUE,INDEX(T!$E108:$E127&gt;=M29,0),)),IF(AND(M51="4E1",M53=6),INDEX(T!$F108:$F129,MATCH(TRUE,INDEX(T!$F108:$F129&gt;=M29,0),)),IF(AND(M51="4E1",M53=7),INDEX(T!$G108:$G129,MATCH(TRUE,INDEX(T!$G108:$G129&gt;=M29,0),)),IF(AND(M51="4E1",M53=8),INDEX(T!$H115:$H129,MATCH(TRUE,INDEX(T!$H115:$H129&gt;=M29,0),)),IF(AND(M51="4E1",M53=9),INDEX(T!$I115:$I129,MATCH(TRUE,INDEX(T!$I115:$I129&gt;=M29,0),)),IF(AND(M51="4E1",M53=10),INDEX(T!$J115:$J129,MATCH(TRUE,INDEX(T!$J115:$J129&gt;=M29,0),)),IF(AND(M51="4E1",M53=11),INDEX(T!$K115:$K129,MATCH(TRUE,INDEX(T!$K115:$K129&gt;=M29,0),)),IF(AND(M51="4E1",M53=12),INDEX(T!$L$115:$L129,MATCH(TRUE,INDEX(T!$L$115:$L129&gt;=M29,0),)),IF(AND(M51="4E2",M53=2),INDEX(T!$B134:$B151,MATCH(TRUE,INDEX(T!$B134:$B151&gt;=M29,0),)),IF(AND(M51="4E2",M53=3),INDEX(T!$C$134:$C151,MATCH(TRUE,INDEX(T!$C$134:$C151&gt;=M29,0),)),IF(AND(M51="4E2",M53=4),INDEX(T!$D134:$D152,MATCH(TRUE,INDEX(T!$D134:$D152&gt;=M29,0),)),IF(AND(M51="4E2",M53=5),INDEX(T!$E134:$E152,MATCH(TRUE,INDEX(T!$E134:$E152&gt;=M29,0),)),IF(AND(M51="4E2",M53=6),INDEX(T!$F134:$F152,MATCH(TRUE,INDEX(T!$F134:$F152&gt;=M29,0),)),IF(AND(M51="4E2",M53=7),INDEX(T!$G134:$G152,MATCH(TRUE,INDEX(T!$G134:$G152&gt;=M29,0),)),IF(AND(M51="4E2",M53=8),INDEX(T!$H134:$H152,MATCH(TRUE,INDEX(T!$H134:$H152&gt;=M29,0),)),IF(AND(M51="4E2",M53=9),INDEX(T!$I134:$I152,MATCH(TRUE,INDEX(T!$I134:$I152&gt;=M29,0),)),IF(AND(M51="4E3",M53=2),INDEX(T!$B158:$B170,MATCH(TRUE,INDEX(T!$B158:$B170&gt;=M29,0),)),IF(AND(M51="4E3",M53=3),INDEX(T!$C$158:$C170,MATCH(TRUE,INDEX(T!$C$158:$C170&gt;=M29,0),)),IF(AND(M51="4E3",M53=4),INDEX(T!$D158:$D170,MATCH(TRUE,INDEX(T!$D158:$D170&gt;=M29,0),)),IF(AND(M51="4E3",M53=5),INDEX(T!$E158:$E170,MATCH(TRUE,INDEX(T!$E158:$E170&gt;=M29,0),)),IF(AND(M51="4E3",M53=6),INDEX(T!$F158:$F170,MATCH(TRUE,INDEX(T!$F158:$F170&gt;=M29,0),)),IF(AND(M51="4E3",M53=7),INDEX(T!$G158:$G170,MATCH(TRUE,INDEX(T!$G158:$G170&gt;=M29,0),)),IF(AND(M51="4E3",M53=8),INDEX(T!$H158:$H170,MATCH(TRUE,INDEX(T!$H158:$H170&gt;=M29,0),)),IF(AND(M51="4E3",M53=9),INDEX(T!$I158:$I170,MATCH(TRUE,INDEX(T!$I56:$I68&gt;=M29,0),)),IF(AND(M51="4E3",M53=10),INDEX(T!$J158:$J170,MATCH(TRUE,INDEX(T!$J158:$J170&gt;=M29,0),)),IF(AND(M51="4E3",M53=11),INDEX(T!$K158:$K170,MATCH(TRUE,INDEX(T!$K158:$K170&gt;=M29,0),)),IF(AND(M51="4E3",M53=12),INDEX(T!$L$158:$L170,MATCH(TRUE,INDEX(T!$L$158:$L170&gt;=M29,0),)),IF(AND(M51="4E4",M53=2),INDEX(T!$B176:$B192,MATCH(TRUE,INDEX(T!$B176:$B192&gt;=M29,0),)),IF(AND(M51="4E4",M53=3),INDEX(T!$C176:$C192,MATCH(TRUE,INDEX(T!$C176:$C192&gt;=M29,0),)),IF(AND(M51="4E4",M53=4),INDEX(T!$D176:$D192,MATCH(TRUE,INDEX(T!$D176:$D192&gt;=M29,0),)),IF(AND(M51="4E4",M53=5),INDEX(T!$E176:$E192,MATCH(TRUE,INDEX(T!$E176:$E192&gt;=M29,0),)),IF(AND(M51="4E4",M53=6),INDEX(T!$F176:$F191,MATCH(TRUE,INDEX(T!$F176:$F191&gt;=M29,0),)),IF(AND(M51="4E4",M53=7),INDEX(T!$G176:$G191,MATCH(TRUE,INDEX(T!$G176:$G191&gt;=M29,0),)),"-")))))))))))))))))))))))))))))))))))),IF(OR(M51="4F1",M51="4F2",M51="4F3"),IF(M29="","",IF(AND(M51="4F1",M53=2),INDEX(T!$B198:$B202,MATCH(TRUE,INDEX(T!$B198:$B202&gt;=M29,0),)),IF(AND(M51="4F1",M53=3),INDEX(T!$C$198:$C211,MATCH(TRUE,INDEX(T!$C$198:$C211&gt;=M29,0),)),IF(AND(M51="4F1",M53=4),INDEX(T!$D203:$D214,MATCH(TRUE,INDEX(T!$D203:$D214&gt;=M29,0),)),IF(AND(M51="4F2",M53=2),INDEX(T!$B220:$B224,MATCH(TRUE,INDEX(T!$B220:$B224&gt;=M29,0),)),IF(AND(M51="4F2",M53=3),INDEX(T!$C$220:$C233,MATCH(TRUE,INDEX(T!$C$220:$C233&gt;=M29,0),)),IF(AND(M51="4F2",M53=4),INDEX(T!$D225:$D236,MATCH(TRUE,INDEX(T!$D225:$D236&gt;=M29,0),)),IF(AND(M51="4F3",M53=2),INDEX(T!$B242:$B248,MATCH(TRUE,INDEX(T!$B242:$B248&gt;=M29,0),)),IF(AND(M51="4F3",M53=3),INDEX(T!$C$242:$C248,MATCH(TRUE,INDEX(T!$C$242:$C248&gt;=M29,0),)),"-"))))))))),""))))</f>
        <v/>
      </c>
      <c r="N75" s="134" cm="1">
        <f t="array" ref="N75">IF(N29="","",IF(OR(N51="4D1",N51="4D2",N51="4D3",N51="4D4",N51="4D5"),IF(AND(N51="4D1",N53=2),INDEX(T!$B6:$B22,MATCH(TRUE,INDEX(T!$B6:$B22&gt;=N29,0),)),IF(AND(N51="4D1",N53=3),INDEX(T!$C$6:$C22,MATCH(TRUE,INDEX(T!$C$6:$C22&gt;=N29,0),)),IF(AND(N51="4D1",N53=4),INDEX(T!$D6:$D25,MATCH(TRUE,INDEX(T!$D6:$D25&gt;=N29,0),)),IF(AND(N51="4D1",N53=5),INDEX(T!$E6:$E25,MATCH(TRUE,INDEX(T!$E6:$E25&gt;=N29,0),)),IF(AND(N51="4D1",N53=6),INDEX(T!$F6:$F27,MATCH(TRUE,INDEX(T!$F6:$F27&gt;=N29,0),)),IF(AND(N51="4D1",N53=7),INDEX(T!$G6:$G27,MATCH(TRUE,INDEX(T!$G6:$G27&gt;=N29,0),)),IF(AND(N51="4D1",N53=8),INDEX(T!$H13:$H27,MATCH(TRUE,INDEX(T!$H13:$H27&gt;=N29,0),)),IF(AND(N51="4D1",N53=9),INDEX(T!$I13:$I27,MATCH(TRUE,INDEX(T!$I13:$I27&gt;=N29,0),)),IF(AND(N51="4D1",N53=10),INDEX(T!$J13:$J27,MATCH(TRUE,INDEX(T!$J13:$J27&gt;=N29,0),)),IF(AND(N51="4D1",N53=11),INDEX(T!$K13:$K27,MATCH(TRUE,INDEX(T!$K13:$K27&gt;=N29,0),)),IF(AND(N51="4D1",N53=12),INDEX(T!$L$13:$L27,MATCH(TRUE,INDEX(T!$L$13:$L27&gt;=N29,0),)),IF(AND(N51="4D2",N53=2),INDEX(T!$B33:$B49,MATCH(TRUE,INDEX(T!$B33:$B49&gt;=N29,0),)),IF(AND(N51="4D2",N53=3),INDEX(T!$C$33:$C49,MATCH(TRUE,INDEX(T!$C$33:$C49&gt;=N29,0),)),IF(AND(N51="4D2",N53=4),INDEX(T!$D33:$D50,MATCH(TRUE,INDEX(T!$D33:$D50&gt;=N29,0),)),IF(AND(N51="4D2",N53=5),INDEX(T!$E33:$E50,MATCH(TRUE,INDEX(T!$E33:$E50&gt;=N29,0),)),IF(AND(N51="4D2",N53=6),INDEX(T!$F33:$F50,MATCH(TRUE,INDEX(T!$F33:$F50&gt;=N29,0),)),IF(AND(N51="4D2",N53=7),INDEX(T!$G33:$G50,MATCH(TRUE,INDEX(T!$G33:$G50&gt;=N29,0),)),IF(AND(N51="4D2",N53=8),INDEX(T!$H33:$H50,MATCH(TRUE,INDEX(T!$H33:$H50&gt;=N29,0),)),IF(AND(N51="4D2",N53=9),INDEX(T!$I33:$I50,MATCH(TRUE,INDEX(T!$I33:$I50&gt;=N29,0),)),IF(AND(N51="4D3",N53=2),INDEX(T!$B56:$B68,MATCH(TRUE,INDEX(T!$B56:$B68&gt;=N29,0),)),IF(AND(N51="4D3",N53=3),INDEX(T!$C$56:$C68,MATCH(TRUE,INDEX(T!$C$56:$C68&gt;=N29,0),)),IF(AND(N51="4D3",N53=4),INDEX(T!$D56:$D68,MATCH(TRUE,INDEX(T!$D56:$D68&gt;=N29,0),)),IF(AND(N51="4D3",N53=5),INDEX(T!$E56:$E68,MATCH(TRUE,INDEX(T!$E56:$E68&gt;=N29,0),)),IF(AND(N51="4D3",N53=6),INDEX(T!$F56:$F68,MATCH(TRUE,INDEX(T!$F56:$F68&gt;=N29,0),)),IF(AND(N51="4D3",N53=7),INDEX(T!$G56:$G68,MATCH(TRUE,INDEX(T!$G56:$G68&gt;=N29,0),)),IF(AND(N51="4D3",N53=8),INDEX(T!$H56:$H68,MATCH(TRUE,INDEX(T!$H56:$H68&gt;=N29,0),)),IF(AND(N51="4D3",N53=9),INDEX(T!$I56:$I68,MATCH(TRUE,INDEX(T!$I56:$I68&gt;=N29,0),)),IF(AND(N51="4D3",N53=10),INDEX(T!$J56:$J68,MATCH(TRUE,INDEX(T!$J56:$J68&gt;=N29,0),)),IF(AND(N51="4D3",N53=11),INDEX(T!$K56:$K68,MATCH(TRUE,INDEX(T!$K56:$K68&gt;=N29,0),)),IF(AND(N51="4D3",N53=12),INDEX(T!$L$56:$L68,MATCH(TRUE,INDEX(T!$L$56:$L68&gt;=N29,0),)),IF(AND(N51="4D4",N53=2),INDEX(T!$B74:$B90,MATCH(TRUE,INDEX(T!$B74:$B90&gt;=N29,0),)),IF(AND(N51="4D4",N53=3),INDEX(T!$C$74:$C90,MATCH(TRUE,INDEX(T!$C$74:$C90&gt;=N29,0),)),IF(AND(N51="4D4",N53=4),INDEX(T!$D74:$D90,MATCH(TRUE,INDEX(T!$D74:$D90&gt;=N29,0),)),IF(AND(N51="4D4",N53=5),INDEX(T!$E74:$E90,MATCH(TRUE,INDEX(T!$E74:$E90&gt;=N29,0),)),IF(AND(N51="4D4",N53=6),INDEX(T!$F74:$F89,MATCH(TRUE,INDEX(T!$F74:$F89&gt;=N29,0),)),IF(AND(N51="4D4",N53=7),INDEX(T!$G74:$G89,MATCH(TRUE,INDEX(T!$G74:$G89&gt;=N29,0),)),IF(AND(N51="4D5",N53=2),INDEX(T!$B96:$B102,MATCH(TRUE,INDEX(T!$B96:$B102&gt;=N29,0),)),IF(AND(N51="4D5",N53=3),INDEX(T!$C$96:$C102,MATCH(TRUE,INDEX(T!$C$96:$C102&gt;=N29,0),)),IF(AND(N51="4D5",N53=4),INDEX(T!$D96:$D102,MATCH(TRUE,INDEX(T!$D96:$D102&gt;=N29,0),)),IF(AND(N51="4D5",N53=5),INDEX(T!$E96:$E102,MATCH(TRUE,INDEX(T!$E96:$E102&gt;=N29,0),)),IF(AND(N51="4D5",N53=6),INDEX(T!$F96:$F102,MATCH(TRUE,INDEX(T!$F96:$F102&gt;=N29,0),)),IF(AND(N51="4D5",N53=7),INDEX(T!$G96:$G102,MATCH(TRUE,INDEX(T!$G96:$G102&gt;=N29,0),)))))))))))))))))))))))))))))))))))))))))))),IF(OR(N51="4E1",N51="4E2",N51="4E3",N51="4E4"),IF(AND(N51="4E1",N53=2),INDEX(T!$B108:$B124,MATCH(TRUE,INDEX(T!$B108:$B124&gt;=N29,0),)),IF(AND(N51="4E1",N53=3),INDEX(T!$C$108:$C124,MATCH(TRUE,INDEX(T!$C$108:$C124&gt;=N29,0),)),IF(AND(N51="4E1",N53=4),INDEX(T!$D108:$D127,MATCH(TRUE,INDEX(T!$D108:$D127&gt;=N29,0),)),IF(AND(N51="4E1",N53=5),INDEX(T!$E108:$E127,MATCH(TRUE,INDEX(T!$E108:$E127&gt;=N29,0),)),IF(AND(N51="4E1",N53=6),INDEX(T!$F108:$F129,MATCH(TRUE,INDEX(T!$F108:$F129&gt;=N29,0),)),IF(AND(N51="4E1",N53=7),INDEX(T!$G108:$G129,MATCH(TRUE,INDEX(T!$G108:$G129&gt;=N29,0),)),IF(AND(N51="4E1",N53=8),INDEX(T!$H115:$H129,MATCH(TRUE,INDEX(T!$H115:$H129&gt;=N29,0),)),IF(AND(N51="4E1",N53=9),INDEX(T!$I115:$I129,MATCH(TRUE,INDEX(T!$I115:$I129&gt;=N29,0),)),IF(AND(N51="4E1",N53=10),INDEX(T!$J115:$J129,MATCH(TRUE,INDEX(T!$J115:$J129&gt;=N29,0),)),IF(AND(N51="4E1",N53=11),INDEX(T!$K115:$K129,MATCH(TRUE,INDEX(T!$K115:$K129&gt;=N29,0),)),IF(AND(N51="4E1",N53=12),INDEX(T!$L$115:$L129,MATCH(TRUE,INDEX(T!$L$115:$L129&gt;=N29,0),)),IF(AND(N51="4E2",N53=2),INDEX(T!$B134:$B151,MATCH(TRUE,INDEX(T!$B134:$B151&gt;=N29,0),)),IF(AND(N51="4E2",N53=3),INDEX(T!$C$134:$C151,MATCH(TRUE,INDEX(T!$C$134:$C151&gt;=N29,0),)),IF(AND(N51="4E2",N53=4),INDEX(T!$D134:$D152,MATCH(TRUE,INDEX(T!$D134:$D152&gt;=N29,0),)),IF(AND(N51="4E2",N53=5),INDEX(T!$E134:$E152,MATCH(TRUE,INDEX(T!$E134:$E152&gt;=N29,0),)),IF(AND(N51="4E2",N53=6),INDEX(T!$F134:$F152,MATCH(TRUE,INDEX(T!$F134:$F152&gt;=N29,0),)),IF(AND(N51="4E2",N53=7),INDEX(T!$G134:$G152,MATCH(TRUE,INDEX(T!$G134:$G152&gt;=N29,0),)),IF(AND(N51="4E2",N53=8),INDEX(T!$H134:$H152,MATCH(TRUE,INDEX(T!$H134:$H152&gt;=N29,0),)),IF(AND(N51="4E2",N53=9),INDEX(T!$I134:$I152,MATCH(TRUE,INDEX(T!$I134:$I152&gt;=N29,0),)),IF(AND(N51="4E3",N53=2),INDEX(T!$B158:$B170,MATCH(TRUE,INDEX(T!$B158:$B170&gt;=N29,0),)),IF(AND(N51="4E3",N53=3),INDEX(T!$C$158:$C170,MATCH(TRUE,INDEX(T!$C$158:$C170&gt;=N29,0),)),IF(AND(N51="4E3",N53=4),INDEX(T!$D158:$D170,MATCH(TRUE,INDEX(T!$D158:$D170&gt;=N29,0),)),IF(AND(N51="4E3",N53=5),INDEX(T!$E158:$E170,MATCH(TRUE,INDEX(T!$E158:$E170&gt;=N29,0),)),IF(AND(N51="4E3",N53=6),INDEX(T!$F158:$F170,MATCH(TRUE,INDEX(T!$F158:$F170&gt;=N29,0),)),IF(AND(N51="4E3",N53=7),INDEX(T!$G158:$G170,MATCH(TRUE,INDEX(T!$G158:$G170&gt;=N29,0),)),IF(AND(N51="4E3",N53=8),INDEX(T!$H158:$H170,MATCH(TRUE,INDEX(T!$H158:$H170&gt;=N29,0),)),IF(AND(N51="4E3",N53=9),INDEX(T!$I158:$I170,MATCH(TRUE,INDEX(T!$I56:$I68&gt;=N29,0),)),IF(AND(N51="4E3",N53=10),INDEX(T!$J158:$J170,MATCH(TRUE,INDEX(T!$J158:$J170&gt;=N29,0),)),IF(AND(N51="4E3",N53=11),INDEX(T!$K158:$K170,MATCH(TRUE,INDEX(T!$K158:$K170&gt;=N29,0),)),IF(AND(N51="4E3",N53=12),INDEX(T!$L$158:$L170,MATCH(TRUE,INDEX(T!$L$158:$L170&gt;=N29,0),)),IF(AND(N51="4E4",N53=2),INDEX(T!$B176:$B192,MATCH(TRUE,INDEX(T!$B176:$B192&gt;=N29,0),)),IF(AND(N51="4E4",N53=3),INDEX(T!$C176:$C192,MATCH(TRUE,INDEX(T!$C176:$C192&gt;=N29,0),)),IF(AND(N51="4E4",N53=4),INDEX(T!$D176:$D192,MATCH(TRUE,INDEX(T!$D176:$D192&gt;=N29,0),)),IF(AND(N51="4E4",N53=5),INDEX(T!$E176:$E192,MATCH(TRUE,INDEX(T!$E176:$E192&gt;=N29,0),)),IF(AND(N51="4E4",N53=6),INDEX(T!$F176:$F191,MATCH(TRUE,INDEX(T!$F176:$F191&gt;=N29,0),)),IF(AND(N51="4E4",N53=7),INDEX(T!$G176:$G191,MATCH(TRUE,INDEX(T!$G176:$G191&gt;=N29,0),)),"-")))))))))))))))))))))))))))))))))))),IF(OR(N51="4F1",N51="4F2",N51="4F3"),IF(N29="","",IF(AND(N51="4F1",N53=2),INDEX(T!$B198:$B202,MATCH(TRUE,INDEX(T!$B198:$B202&gt;=N29,0),)),IF(AND(N51="4F1",N53=3),INDEX(T!$C$198:$C211,MATCH(TRUE,INDEX(T!$C$198:$C211&gt;=N29,0),)),IF(AND(N51="4F1",N53=4),INDEX(T!$D203:$D214,MATCH(TRUE,INDEX(T!$D203:$D214&gt;=N29,0),)),IF(AND(N51="4F2",N53=2),INDEX(T!$B220:$B224,MATCH(TRUE,INDEX(T!$B220:$B224&gt;=N29,0),)),IF(AND(N51="4F2",N53=3),INDEX(T!$C$220:$C233,MATCH(TRUE,INDEX(T!$C$220:$C233&gt;=N29,0),)),IF(AND(N51="4F2",N53=4),INDEX(T!$D225:$D236,MATCH(TRUE,INDEX(T!$D225:$D236&gt;=N29,0),)),IF(AND(N51="4F3",N53=2),INDEX(T!$B242:$B248,MATCH(TRUE,INDEX(T!$B242:$B248&gt;=N29,0),)),IF(AND(N51="4F3",N53=3),INDEX(T!$C$242:$C248,MATCH(TRUE,INDEX(T!$C$242:$C248&gt;=N29,0),)),"-"))))))))),""))))</f>
        <v>396</v>
      </c>
      <c r="O75" s="133" t="str">
        <f>IF(N75&lt;&gt;"","A","")</f>
        <v>A</v>
      </c>
    </row>
    <row r="76" spans="1:43" s="129" customFormat="1" ht="16">
      <c r="A76" s="396"/>
      <c r="B76" s="399"/>
      <c r="C76" s="157"/>
      <c r="D76" s="157" t="str" cm="1">
        <f t="array" ref="D76">IF(D27="","",IF(OR(D51="4G1",D51="4G2"),IF(AND(D51="4G1",D53=2,D59="500V"),INDEX(T!$B255:$B258,MATCH(TRUE,INDEX(T!$B255:$B258&gt;=D29,0),)),IF(AND(D51="4G1",D53=3,D59="500V"),INDEX(T!$C$255:$C258,MATCH(TRUE,INDEX(T!$C$255:$C258&gt;=D29,0),)),IF(AND(D51="4G1",D53=4,D59="500V"),INDEX(T!$D255:$D258,MATCH(TRUE,INDEX(T!$D255:$D258&gt;=D29,0),)),IF(AND(D51="4G1",D53=5,D59="500V"),INDEX(T!$E255:$E258,MATCH(TRUE,INDEX(T!$E255:$E258&gt;=D29,0),)),IF(AND(D51="4G1",D53=6,D59="500V"),INDEX(T!$F255:$F258,MATCH(TRUE,INDEX(T!$F255:$F258&gt;=D29,0),)),IF(AND(D51="4G1",D53=7,D59="500V"),INDEX(T!$G255:$G258,MATCH(TRUE,INDEX(T!$G255:$G258&gt;=D29,0),)),IF(AND(D51="4G1",D53=8,D59="500V"),INDEX(T!$H255:$H258,MATCH(TRUE,INDEX(T!$H255:$H258&gt;=D29,0),)),IF(AND(D51="4G1",D53=9,D59="500V"),INDEX(T!$I255:$I258,MATCH(TRUE,INDEX(T!$I255:$I258&gt;=D29,0),)),IF(AND(D51="4G1",D53=2,D59="750V"),INDEX(T!$B260:$B275,MATCH(TRUE,INDEX(T!$B260:$B275&gt;=D29,0),)),IF(AND(D51="4G1",D53=3,D59="750V"),INDEX(T!$C$260:$C275,MATCH(TRUE,INDEX(T!$C$260:$C275&gt;=D29,0),)),IF(AND(D51="4G1",D53=4,D59="750V"),INDEX(T!$D260:$D275,MATCH(TRUE,INDEX(T!$D260:$D275&gt;=D29,0),)),IF(AND(D51="4G1",D53=5,D59="750V"),INDEX(T!$E260:$E275,MATCH(TRUE,INDEX(T!$E260:$E275&gt;=D29,0),)),IF(AND(D51="4G1",D53=6,D59="750V"),INDEX(T!$F260:$F275,MATCH(TRUE,INDEX(T!$F260:$F275&gt;=D29,0),)),IF(AND(D51="4G1",D53=7,D59="750V"),INDEX(T!$G260:$G275,MATCH(TRUE,INDEX(T!$G260:$G275&gt;=D29,0),)),IF(AND(D51="4G1",D53=8,D59="750V"),INDEX(T!$H260:$H275,MATCH(TRUE,INDEX(T!$H260:$H275&gt;=D29,0),)),IF(AND(D51="4G1",D53=9,D59="750V"),INDEX(T!$I260:$I275,MATCH(TRUE,INDEX(T!$I260:$I275&gt;=D29,0),)),IF(AND(D51="4G2",D53=2,D59="500V"),INDEX(T!$B282:$B285,MATCH(TRUE,INDEX(T!$B282:$B285&gt;=D29,0),)),IF(AND(D51="4G2",D53=3,D59="500V"),INDEX(T!$C$282:$C285,MATCH(TRUE,INDEX(T!$C$282:$C285&gt;=D29,0),)),IF(AND(D51="4G2",D53=4,D59="500V"),INDEX(T!$D282:$D285,MATCH(TRUE,INDEX(T!$D282:$D285&gt;=D29,0),)),IF(AND(D51="4G2",D53=5,D59="500V"),INDEX(T!$E282:$E285,MATCH(TRUE,INDEX(T!$E282:$E285&gt;=D29,0),)),IF(AND(D51="4G2",D53=6,D59="500V"),INDEX(T!$F282:$F285,MATCH(TRUE,INDEX(T!$F282:$F285&gt;=D29,0),)),IF(AND(D51="4G2",D53=7,D59="500V"),INDEX(T!$G282:$G285,MATCH(TRUE,INDEX(T!$G282:$G285&gt;=D29,0),)),IF(AND(D51="4G2",D53=8,D59="500V"),INDEX(T!$H282:$H285,MATCH(TRUE,INDEX(T!$H282:$H285&gt;=D29,0),)),IF(AND(D51="4G2",D53=9,D59="500V"),INDEX(T!$I282:$I285,MATCH(TRUE,INDEX(T!$I282:$I285&gt;=D29,0),)),IF(AND(D51="4G2",D53=2,D59="750V"),INDEX(T!$B287:$B302,MATCH(TRUE,INDEX(T!$B287:$B302&gt;=D29,0),)),IF(AND(D51="4G2",D53=3,D59="750V"),INDEX(T!$C$287:$C302,MATCH(TRUE,INDEX(T!$C$287:$C302&gt;=D29,0),)),IF(AND(D51="4G2",D53=4,D59="750V"),INDEX(T!$D287:$D302,MATCH(TRUE,INDEX(T!$D287:$D302&gt;=D29,0),)),IF(AND(D51="4G2",D53=5,D59="750V"),INDEX(T!$E287:$E302,MATCH(TRUE,INDEX(T!$E287:$E302&gt;=D29,0),)),IF(AND(D51="4G2",D53=6,D59="750V"),INDEX(T!$F287:$F302,MATCH(TRUE,INDEX(T!$F287:$F302&gt;=D29,0),)),IF(AND(D51="4G2",D53=7,D59="750V"),INDEX(T!$G287:$G302,MATCH(TRUE,INDEX(T!$G287:$G302&gt;=D29,0),)),IF(AND(D51="4G2",D53=8,D59="750V"),INDEX(T!$H287:$H302,MATCH(TRUE,INDEX(T!$H287:$H302&gt;=D29,0),)),IF(AND(D51="4G2",D53=9,D59="750V"),INDEX(T!$I287:$I302,MATCH(TRUE,INDEX(T!$I287:$I302&gt;=D29,0),)))))))))))))))))))))))))))))))))),""))</f>
        <v/>
      </c>
      <c r="E76" s="157" t="str" cm="1">
        <f t="array" aca="1" ref="E76" ca="1">IF(E27="","",IF(OR(E51="4G1",E51="4G2"),IF(AND(E51="4G1",E53=2,E59="500V"),INDEX(T!$B255:$B258,MATCH(TRUE,INDEX(T!$B255:$B258&gt;=E29,0),)),IF(AND(E51="4G1",E53=3,E59="500V"),INDEX(T!$C$255:$C258,MATCH(TRUE,INDEX(T!$C$255:$C258&gt;=E29,0),)),IF(AND(E51="4G1",E53=4,E59="500V"),INDEX(T!$D255:$D258,MATCH(TRUE,INDEX(T!$D255:$D258&gt;=E29,0),)),IF(AND(E51="4G1",E53=5,E59="500V"),INDEX(T!$E255:$E258,MATCH(TRUE,INDEX(T!$E255:$E258&gt;=E29,0),)),IF(AND(E51="4G1",E53=6,E59="500V"),INDEX(T!$F255:$F258,MATCH(TRUE,INDEX(T!$F255:$F258&gt;=E29,0),)),IF(AND(E51="4G1",E53=7,E59="500V"),INDEX(T!$G255:$G258,MATCH(TRUE,INDEX(T!$G255:$G258&gt;=E29,0),)),IF(AND(E51="4G1",E53=8,E59="500V"),INDEX(T!$H255:$H258,MATCH(TRUE,INDEX(T!$H255:$H258&gt;=E29,0),)),IF(AND(E51="4G1",E53=9,E59="500V"),INDEX(T!$I255:$I258,MATCH(TRUE,INDEX(T!$I255:$I258&gt;=E29,0),)),IF(AND(E51="4G1",E53=2,E59="750V"),INDEX(T!$B260:$B275,MATCH(TRUE,INDEX(T!$B260:$B275&gt;=E29,0),)),IF(AND(E51="4G1",E53=3,E59="750V"),INDEX(T!$C$260:$C275,MATCH(TRUE,INDEX(T!$C$260:$C275&gt;=E29,0),)),IF(AND(E51="4G1",E53=4,E59="750V"),INDEX(T!$D260:$D275,MATCH(TRUE,INDEX(T!$D260:$D275&gt;=E29,0),)),IF(AND(E51="4G1",E53=5,E59="750V"),INDEX(T!$E260:$E275,MATCH(TRUE,INDEX(T!$E260:$E275&gt;=E29,0),)),IF(AND(E51="4G1",E53=6,E59="750V"),INDEX(T!$F260:$F275,MATCH(TRUE,INDEX(T!$F260:$F275&gt;=E29,0),)),IF(AND(E51="4G1",E53=7,E59="750V"),INDEX(T!$G260:$G275,MATCH(TRUE,INDEX(T!$G260:$G275&gt;=E29,0),)),IF(AND(E51="4G1",E53=8,E59="750V"),INDEX(T!$H260:$H275,MATCH(TRUE,INDEX(T!$H260:$H275&gt;=E29,0),)),IF(AND(E51="4G1",E53=9,E59="750V"),INDEX(T!$I260:$I275,MATCH(TRUE,INDEX(T!$I260:$I275&gt;=E29,0),)),IF(AND(E51="4G2",E53=2,E59="500V"),INDEX(T!$B282:$B285,MATCH(TRUE,INDEX(T!$B282:$B285&gt;=E29,0),)),IF(AND(E51="4G2",E53=3,E59="500V"),INDEX(T!$C$282:$C285,MATCH(TRUE,INDEX(T!$C$282:$C285&gt;=E29,0),)),IF(AND(E51="4G2",E53=4,E59="500V"),INDEX(T!$D282:$D285,MATCH(TRUE,INDEX(T!$D282:$D285&gt;=E29,0),)),IF(AND(E51="4G2",E53=5,E59="500V"),INDEX(T!$E282:$E285,MATCH(TRUE,INDEX(T!$E282:$E285&gt;=E29,0),)),IF(AND(E51="4G2",E53=6,E59="500V"),INDEX(T!$F282:$F285,MATCH(TRUE,INDEX(T!$F282:$F285&gt;=E29,0),)),IF(AND(E51="4G2",E53=7,E59="500V"),INDEX(T!$G282:$G285,MATCH(TRUE,INDEX(T!$G282:$G285&gt;=E29,0),)),IF(AND(E51="4G2",E53=8,E59="500V"),INDEX(T!$H282:$H285,MATCH(TRUE,INDEX(T!$H282:$H285&gt;=E29,0),)),IF(AND(E51="4G2",E53=9,E59="500V"),INDEX(T!$I282:$I285,MATCH(TRUE,INDEX(T!$I282:$I285&gt;=E29,0),)),IF(AND(E51="4G2",E53=2,E59="750V"),INDEX(T!$B287:$B302,MATCH(TRUE,INDEX(T!$B287:$B302&gt;=E29,0),)),IF(AND(E51="4G2",E53=3,E59="750V"),INDEX(T!$C$287:$C302,MATCH(TRUE,INDEX(T!$C$287:$C302&gt;=E29,0),)),IF(AND(E51="4G2",E53=4,E59="750V"),INDEX(T!$D287:$D302,MATCH(TRUE,INDEX(T!$D287:$D302&gt;=E29,0),)),IF(AND(E51="4G2",E53=5,E59="750V"),INDEX(T!$E287:$E302,MATCH(TRUE,INDEX(T!$E287:$E302&gt;=E29,0),)),IF(AND(E51="4G2",E53=6,E59="750V"),INDEX(T!$F287:$F302,MATCH(TRUE,INDEX(T!$F287:$F302&gt;=E29,0),)),IF(AND(E51="4G2",E53=7,E59="750V"),INDEX(T!$G287:$G302,MATCH(TRUE,INDEX(T!$G287:$G302&gt;=E29,0),)),IF(AND(E51="4G2",E53=8,E59="750V"),INDEX(T!$H287:$H302,MATCH(TRUE,INDEX(T!$H287:$H302&gt;=E29,0),)),IF(AND(E51="4G2",E53=9,E59="750V"),INDEX(T!$I287:$I302,MATCH(TRUE,INDEX(T!$I287:$I302&gt;=E29,0),)))))))))))))))))))))))))))))))))),""))</f>
        <v/>
      </c>
      <c r="F76" s="157" t="str" cm="1">
        <f t="array" aca="1" ref="F76" ca="1">IF(F27="","",IF(OR(F51="4G1",F51="4G2"),IF(AND(F51="4G1",F53=2,F59="500V"),INDEX(T!$B255:$B258,MATCH(TRUE,INDEX(T!$B255:$B258&gt;=F29,0),)),IF(AND(F51="4G1",F53=3,F59="500V"),INDEX(T!$C$255:$C258,MATCH(TRUE,INDEX(T!$C$255:$C258&gt;=F29,0),)),IF(AND(F51="4G1",F53=4,F59="500V"),INDEX(T!$D255:$D258,MATCH(TRUE,INDEX(T!$D255:$D258&gt;=F29,0),)),IF(AND(F51="4G1",F53=5,F59="500V"),INDEX(T!$E255:$E258,MATCH(TRUE,INDEX(T!$E255:$E258&gt;=F29,0),)),IF(AND(F51="4G1",F53=6,F59="500V"),INDEX(T!$F255:$F258,MATCH(TRUE,INDEX(T!$F255:$F258&gt;=F29,0),)),IF(AND(F51="4G1",F53=7,F59="500V"),INDEX(T!$G255:$G258,MATCH(TRUE,INDEX(T!$G255:$G258&gt;=F29,0),)),IF(AND(F51="4G1",F53=8,F59="500V"),INDEX(T!$H255:$H258,MATCH(TRUE,INDEX(T!$H255:$H258&gt;=F29,0),)),IF(AND(F51="4G1",F53=9,F59="500V"),INDEX(T!$I255:$I258,MATCH(TRUE,INDEX(T!$I255:$I258&gt;=F29,0),)),IF(AND(F51="4G1",F53=2,F59="750V"),INDEX(T!$B260:$B275,MATCH(TRUE,INDEX(T!$B260:$B275&gt;=F29,0),)),IF(AND(F51="4G1",F53=3,F59="750V"),INDEX(T!$C$260:$C275,MATCH(TRUE,INDEX(T!$C$260:$C275&gt;=F29,0),)),IF(AND(F51="4G1",F53=4,F59="750V"),INDEX(T!$D260:$D275,MATCH(TRUE,INDEX(T!$D260:$D275&gt;=F29,0),)),IF(AND(F51="4G1",F53=5,F59="750V"),INDEX(T!$E260:$E275,MATCH(TRUE,INDEX(T!$E260:$E275&gt;=F29,0),)),IF(AND(F51="4G1",F53=6,F59="750V"),INDEX(T!$F260:$F275,MATCH(TRUE,INDEX(T!$F260:$F275&gt;=F29,0),)),IF(AND(F51="4G1",F53=7,F59="750V"),INDEX(T!$G260:$G275,MATCH(TRUE,INDEX(T!$G260:$G275&gt;=F29,0),)),IF(AND(F51="4G1",F53=8,F59="750V"),INDEX(T!$H260:$H275,MATCH(TRUE,INDEX(T!$H260:$H275&gt;=F29,0),)),IF(AND(F51="4G1",F53=9,F59="750V"),INDEX(T!$I260:$I275,MATCH(TRUE,INDEX(T!$I260:$I275&gt;=F29,0),)),IF(AND(F51="4G2",F53=2,F59="500V"),INDEX(T!$B282:$B285,MATCH(TRUE,INDEX(T!$B282:$B285&gt;=F29,0),)),IF(AND(F51="4G2",F53=3,F59="500V"),INDEX(T!$C$282:$C285,MATCH(TRUE,INDEX(T!$C$282:$C285&gt;=F29,0),)),IF(AND(F51="4G2",F53=4,F59="500V"),INDEX(T!$D282:$D285,MATCH(TRUE,INDEX(T!$D282:$D285&gt;=F29,0),)),IF(AND(F51="4G2",F53=5,F59="500V"),INDEX(T!$E282:$E285,MATCH(TRUE,INDEX(T!$E282:$E285&gt;=F29,0),)),IF(AND(F51="4G2",F53=6,F59="500V"),INDEX(T!$F282:$F285,MATCH(TRUE,INDEX(T!$F282:$F285&gt;=F29,0),)),IF(AND(F51="4G2",F53=7,F59="500V"),INDEX(T!$G282:$G285,MATCH(TRUE,INDEX(T!$G282:$G285&gt;=F29,0),)),IF(AND(F51="4G2",F53=8,F59="500V"),INDEX(T!$H282:$H285,MATCH(TRUE,INDEX(T!$H282:$H285&gt;=F29,0),)),IF(AND(F51="4G2",F53=9,F59="500V"),INDEX(T!$I282:$I285,MATCH(TRUE,INDEX(T!$I282:$I285&gt;=F29,0),)),IF(AND(F51="4G2",F53=2,F59="750V"),INDEX(T!$B287:$B302,MATCH(TRUE,INDEX(T!$B287:$B302&gt;=F29,0),)),IF(AND(F51="4G2",F53=3,F59="750V"),INDEX(T!$C$287:$C302,MATCH(TRUE,INDEX(T!$C$287:$C302&gt;=F29,0),)),IF(AND(F51="4G2",F53=4,F59="750V"),INDEX(T!$D287:$D302,MATCH(TRUE,INDEX(T!$D287:$D302&gt;=F29,0),)),IF(AND(F51="4G2",F53=5,F59="750V"),INDEX(T!$E287:$E302,MATCH(TRUE,INDEX(T!$E287:$E302&gt;=F29,0),)),IF(AND(F51="4G2",F53=6,F59="750V"),INDEX(T!$F287:$F302,MATCH(TRUE,INDEX(T!$F287:$F302&gt;=F29,0),)),IF(AND(F51="4G2",F53=7,F59="750V"),INDEX(T!$G287:$G302,MATCH(TRUE,INDEX(T!$G287:$G302&gt;=F29,0),)),IF(AND(F51="4G2",F53=8,F59="750V"),INDEX(T!$H287:$H302,MATCH(TRUE,INDEX(T!$H287:$H302&gt;=F29,0),)),IF(AND(F51="4G2",F53=9,F59="750V"),INDEX(T!$I287:$I302,MATCH(TRUE,INDEX(T!$I287:$I302&gt;=F29,0),)))))))))))))))))))))))))))))))))),""))</f>
        <v/>
      </c>
      <c r="G76" s="157" t="str" cm="1">
        <f t="array" aca="1" ref="G76" ca="1">IF(G27="","",IF(OR(G51="4G1",G51="4G2"),IF(AND(G51="4G1",G53=2,G59="500V"),INDEX(T!$B255:$B258,MATCH(TRUE,INDEX(T!$B255:$B258&gt;=G29,0),)),IF(AND(G51="4G1",G53=3,G59="500V"),INDEX(T!$C$255:$C258,MATCH(TRUE,INDEX(T!$C$255:$C258&gt;=G29,0),)),IF(AND(G51="4G1",G53=4,G59="500V"),INDEX(T!$D255:$D258,MATCH(TRUE,INDEX(T!$D255:$D258&gt;=G29,0),)),IF(AND(G51="4G1",G53=5,G59="500V"),INDEX(T!$E255:$E258,MATCH(TRUE,INDEX(T!$E255:$E258&gt;=G29,0),)),IF(AND(G51="4G1",G53=6,G59="500V"),INDEX(T!$F255:$F258,MATCH(TRUE,INDEX(T!$F255:$F258&gt;=G29,0),)),IF(AND(G51="4G1",G53=7,G59="500V"),INDEX(T!$G255:$G258,MATCH(TRUE,INDEX(T!$G255:$G258&gt;=G29,0),)),IF(AND(G51="4G1",G53=8,G59="500V"),INDEX(T!$H255:$H258,MATCH(TRUE,INDEX(T!$H255:$H258&gt;=G29,0),)),IF(AND(G51="4G1",G53=9,G59="500V"),INDEX(T!$I255:$I258,MATCH(TRUE,INDEX(T!$I255:$I258&gt;=G29,0),)),IF(AND(G51="4G1",G53=2,G59="750V"),INDEX(T!$B260:$B275,MATCH(TRUE,INDEX(T!$B260:$B275&gt;=G29,0),)),IF(AND(G51="4G1",G53=3,G59="750V"),INDEX(T!$C$260:$C275,MATCH(TRUE,INDEX(T!$C$260:$C275&gt;=G29,0),)),IF(AND(G51="4G1",G53=4,G59="750V"),INDEX(T!$D260:$D275,MATCH(TRUE,INDEX(T!$D260:$D275&gt;=G29,0),)),IF(AND(G51="4G1",G53=5,G59="750V"),INDEX(T!$E260:$E275,MATCH(TRUE,INDEX(T!$E260:$E275&gt;=G29,0),)),IF(AND(G51="4G1",G53=6,G59="750V"),INDEX(T!$F260:$F275,MATCH(TRUE,INDEX(T!$F260:$F275&gt;=G29,0),)),IF(AND(G51="4G1",G53=7,G59="750V"),INDEX(T!$G260:$G275,MATCH(TRUE,INDEX(T!$G260:$G275&gt;=G29,0),)),IF(AND(G51="4G1",G53=8,G59="750V"),INDEX(T!$H260:$H275,MATCH(TRUE,INDEX(T!$H260:$H275&gt;=G29,0),)),IF(AND(G51="4G1",G53=9,G59="750V"),INDEX(T!$I260:$I275,MATCH(TRUE,INDEX(T!$I260:$I275&gt;=G29,0),)),IF(AND(G51="4G2",G53=2,G59="500V"),INDEX(T!$B282:$B285,MATCH(TRUE,INDEX(T!$B282:$B285&gt;=G29,0),)),IF(AND(G51="4G2",G53=3,G59="500V"),INDEX(T!$C$282:$C285,MATCH(TRUE,INDEX(T!$C$282:$C285&gt;=G29,0),)),IF(AND(G51="4G2",G53=4,G59="500V"),INDEX(T!$D282:$D285,MATCH(TRUE,INDEX(T!$D282:$D285&gt;=G29,0),)),IF(AND(G51="4G2",G53=5,G59="500V"),INDEX(T!$E282:$E285,MATCH(TRUE,INDEX(T!$E282:$E285&gt;=G29,0),)),IF(AND(G51="4G2",G53=6,G59="500V"),INDEX(T!$F282:$F285,MATCH(TRUE,INDEX(T!$F282:$F285&gt;=G29,0),)),IF(AND(G51="4G2",G53=7,G59="500V"),INDEX(T!$G282:$G285,MATCH(TRUE,INDEX(T!$G282:$G285&gt;=G29,0),)),IF(AND(G51="4G2",G53=8,G59="500V"),INDEX(T!$H282:$H285,MATCH(TRUE,INDEX(T!$H282:$H285&gt;=G29,0),)),IF(AND(G51="4G2",G53=9,G59="500V"),INDEX(T!$I282:$I285,MATCH(TRUE,INDEX(T!$I282:$I285&gt;=G29,0),)),IF(AND(G51="4G2",G53=2,G59="750V"),INDEX(T!$B287:$B302,MATCH(TRUE,INDEX(T!$B287:$B302&gt;=G29,0),)),IF(AND(G51="4G2",G53=3,G59="750V"),INDEX(T!$C$287:$C302,MATCH(TRUE,INDEX(T!$C$287:$C302&gt;=G29,0),)),IF(AND(G51="4G2",G53=4,G59="750V"),INDEX(T!$D287:$D302,MATCH(TRUE,INDEX(T!$D287:$D302&gt;=G29,0),)),IF(AND(G51="4G2",G53=5,G59="750V"),INDEX(T!$E287:$E302,MATCH(TRUE,INDEX(T!$E287:$E302&gt;=G29,0),)),IF(AND(G51="4G2",G53=6,G59="750V"),INDEX(T!$F287:$F302,MATCH(TRUE,INDEX(T!$F287:$F302&gt;=G29,0),)),IF(AND(G51="4G2",G53=7,G59="750V"),INDEX(T!$G287:$G302,MATCH(TRUE,INDEX(T!$G287:$G302&gt;=G29,0),)),IF(AND(G51="4G2",G53=8,G59="750V"),INDEX(T!$H287:$H302,MATCH(TRUE,INDEX(T!$H287:$H302&gt;=G29,0),)),IF(AND(G51="4G2",G53=9,G59="750V"),INDEX(T!$I287:$I302,MATCH(TRUE,INDEX(T!$I287:$I302&gt;=G29,0),)))))))))))))))))))))))))))))))))),""))</f>
        <v/>
      </c>
      <c r="H76" s="157" t="str" cm="1">
        <f t="array" aca="1" ref="H76" ca="1">IF(H27="","",IF(OR(H51="4G1",H51="4G2"),IF(AND(H51="4G1",H53=2,H59="500V"),INDEX(T!$B255:$B258,MATCH(TRUE,INDEX(T!$B255:$B258&gt;=H29,0),)),IF(AND(H51="4G1",H53=3,H59="500V"),INDEX(T!$C$255:$C258,MATCH(TRUE,INDEX(T!$C$255:$C258&gt;=H29,0),)),IF(AND(H51="4G1",H53=4,H59="500V"),INDEX(T!$D255:$D258,MATCH(TRUE,INDEX(T!$D255:$D258&gt;=H29,0),)),IF(AND(H51="4G1",H53=5,H59="500V"),INDEX(T!$E255:$E258,MATCH(TRUE,INDEX(T!$E255:$E258&gt;=H29,0),)),IF(AND(H51="4G1",H53=6,H59="500V"),INDEX(T!$F255:$F258,MATCH(TRUE,INDEX(T!$F255:$F258&gt;=H29,0),)),IF(AND(H51="4G1",H53=7,H59="500V"),INDEX(T!$G255:$G258,MATCH(TRUE,INDEX(T!$G255:$G258&gt;=H29,0),)),IF(AND(H51="4G1",H53=8,H59="500V"),INDEX(T!$H255:$H258,MATCH(TRUE,INDEX(T!$H255:$H258&gt;=H29,0),)),IF(AND(H51="4G1",H53=9,H59="500V"),INDEX(T!$I255:$I258,MATCH(TRUE,INDEX(T!$I255:$I258&gt;=H29,0),)),IF(AND(H51="4G1",H53=2,H59="750V"),INDEX(T!$B260:$B275,MATCH(TRUE,INDEX(T!$B260:$B275&gt;=H29,0),)),IF(AND(H51="4G1",H53=3,H59="750V"),INDEX(T!$C$260:$C275,MATCH(TRUE,INDEX(T!$C$260:$C275&gt;=H29,0),)),IF(AND(H51="4G1",H53=4,H59="750V"),INDEX(T!$D260:$D275,MATCH(TRUE,INDEX(T!$D260:$D275&gt;=H29,0),)),IF(AND(H51="4G1",H53=5,H59="750V"),INDEX(T!$E260:$E275,MATCH(TRUE,INDEX(T!$E260:$E275&gt;=H29,0),)),IF(AND(H51="4G1",H53=6,H59="750V"),INDEX(T!$F260:$F275,MATCH(TRUE,INDEX(T!$F260:$F275&gt;=H29,0),)),IF(AND(H51="4G1",H53=7,H59="750V"),INDEX(T!$G260:$G275,MATCH(TRUE,INDEX(T!$G260:$G275&gt;=H29,0),)),IF(AND(H51="4G1",H53=8,H59="750V"),INDEX(T!$H260:$H275,MATCH(TRUE,INDEX(T!$H260:$H275&gt;=H29,0),)),IF(AND(H51="4G1",H53=9,H59="750V"),INDEX(T!$I260:$I275,MATCH(TRUE,INDEX(T!$I260:$I275&gt;=H29,0),)),IF(AND(H51="4G2",H53=2,H59="500V"),INDEX(T!$B282:$B285,MATCH(TRUE,INDEX(T!$B282:$B285&gt;=H29,0),)),IF(AND(H51="4G2",H53=3,H59="500V"),INDEX(T!$C$282:$C285,MATCH(TRUE,INDEX(T!$C$282:$C285&gt;=H29,0),)),IF(AND(H51="4G2",H53=4,H59="500V"),INDEX(T!$D282:$D285,MATCH(TRUE,INDEX(T!$D282:$D285&gt;=H29,0),)),IF(AND(H51="4G2",H53=5,H59="500V"),INDEX(T!$E282:$E285,MATCH(TRUE,INDEX(T!$E282:$E285&gt;=H29,0),)),IF(AND(H51="4G2",H53=6,H59="500V"),INDEX(T!$F282:$F285,MATCH(TRUE,INDEX(T!$F282:$F285&gt;=H29,0),)),IF(AND(H51="4G2",H53=7,H59="500V"),INDEX(T!$G282:$G285,MATCH(TRUE,INDEX(T!$G282:$G285&gt;=H29,0),)),IF(AND(H51="4G2",H53=8,H59="500V"),INDEX(T!$H282:$H285,MATCH(TRUE,INDEX(T!$H282:$H285&gt;=H29,0),)),IF(AND(H51="4G2",H53=9,H59="500V"),INDEX(T!$I282:$I285,MATCH(TRUE,INDEX(T!$I282:$I285&gt;=H29,0),)),IF(AND(H51="4G2",H53=2,H59="750V"),INDEX(T!$B287:$B302,MATCH(TRUE,INDEX(T!$B287:$B302&gt;=H29,0),)),IF(AND(H51="4G2",H53=3,H59="750V"),INDEX(T!$C$287:$C302,MATCH(TRUE,INDEX(T!$C$287:$C302&gt;=H29,0),)),IF(AND(H51="4G2",H53=4,H59="750V"),INDEX(T!$D287:$D302,MATCH(TRUE,INDEX(T!$D287:$D302&gt;=H29,0),)),IF(AND(H51="4G2",H53=5,H59="750V"),INDEX(T!$E287:$E302,MATCH(TRUE,INDEX(T!$E287:$E302&gt;=H29,0),)),IF(AND(H51="4G2",H53=6,H59="750V"),INDEX(T!$F287:$F302,MATCH(TRUE,INDEX(T!$F287:$F302&gt;=H29,0),)),IF(AND(H51="4G2",H53=7,H59="750V"),INDEX(T!$G287:$G302,MATCH(TRUE,INDEX(T!$G287:$G302&gt;=H29,0),)),IF(AND(H51="4G2",H53=8,H59="750V"),INDEX(T!$H287:$H302,MATCH(TRUE,INDEX(T!$H287:$H302&gt;=H29,0),)),IF(AND(H51="4G2",H53=9,H59="750V"),INDEX(T!$I287:$I302,MATCH(TRUE,INDEX(T!$I287:$I302&gt;=H29,0),)))))))))))))))))))))))))))))))))),""))</f>
        <v/>
      </c>
      <c r="I76" s="157" t="str" cm="1">
        <f t="array" ref="I76">IF(I27="","",IF(OR(I51="4G1",I51="4G2"),IF(AND(I51="4G1",I53=2,I59="500V"),INDEX(T!$B255:$B258,MATCH(TRUE,INDEX(T!$B255:$B258&gt;=I29,0),)),IF(AND(I51="4G1",I53=3,I59="500V"),INDEX(T!$C$255:$C258,MATCH(TRUE,INDEX(T!$C$255:$C258&gt;=I29,0),)),IF(AND(I51="4G1",I53=4,I59="500V"),INDEX(T!$D255:$D258,MATCH(TRUE,INDEX(T!$D255:$D258&gt;=I29,0),)),IF(AND(I51="4G1",I53=5,I59="500V"),INDEX(T!$E255:$E258,MATCH(TRUE,INDEX(T!$E255:$E258&gt;=I29,0),)),IF(AND(I51="4G1",I53=6,I59="500V"),INDEX(T!$F255:$F258,MATCH(TRUE,INDEX(T!$F255:$F258&gt;=I29,0),)),IF(AND(I51="4G1",I53=7,I59="500V"),INDEX(T!$G255:$G258,MATCH(TRUE,INDEX(T!$G255:$G258&gt;=I29,0),)),IF(AND(I51="4G1",I53=8,I59="500V"),INDEX(T!$H255:$H258,MATCH(TRUE,INDEX(T!$H255:$H258&gt;=I29,0),)),IF(AND(I51="4G1",I53=9,I59="500V"),INDEX(T!$I255:$I258,MATCH(TRUE,INDEX(T!$I255:$I258&gt;=I29,0),)),IF(AND(I51="4G1",I53=2,I59="750V"),INDEX(T!$B260:$B275,MATCH(TRUE,INDEX(T!$B260:$B275&gt;=I29,0),)),IF(AND(I51="4G1",I53=3,I59="750V"),INDEX(T!$C$260:$C275,MATCH(TRUE,INDEX(T!$C$260:$C275&gt;=I29,0),)),IF(AND(I51="4G1",I53=4,I59="750V"),INDEX(T!$D260:$D275,MATCH(TRUE,INDEX(T!$D260:$D275&gt;=I29,0),)),IF(AND(I51="4G1",I53=5,I59="750V"),INDEX(T!$E260:$E275,MATCH(TRUE,INDEX(T!$E260:$E275&gt;=I29,0),)),IF(AND(I51="4G1",I53=6,I59="750V"),INDEX(T!$F260:$F275,MATCH(TRUE,INDEX(T!$F260:$F275&gt;=I29,0),)),IF(AND(I51="4G1",I53=7,I59="750V"),INDEX(T!$G260:$G275,MATCH(TRUE,INDEX(T!$G260:$G275&gt;=I29,0),)),IF(AND(I51="4G1",I53=8,I59="750V"),INDEX(T!$H260:$H275,MATCH(TRUE,INDEX(T!$H260:$H275&gt;=I29,0),)),IF(AND(I51="4G1",I53=9,I59="750V"),INDEX(T!$I260:$I275,MATCH(TRUE,INDEX(T!$I260:$I275&gt;=I29,0),)),IF(AND(I51="4G2",I53=2,I59="500V"),INDEX(T!$B282:$B285,MATCH(TRUE,INDEX(T!$B282:$B285&gt;=I29,0),)),IF(AND(I51="4G2",I53=3,I59="500V"),INDEX(T!$C$282:$C285,MATCH(TRUE,INDEX(T!$C$282:$C285&gt;=I29,0),)),IF(AND(I51="4G2",I53=4,I59="500V"),INDEX(T!$D282:$D285,MATCH(TRUE,INDEX(T!$D282:$D285&gt;=I29,0),)),IF(AND(I51="4G2",I53=5,I59="500V"),INDEX(T!$E282:$E285,MATCH(TRUE,INDEX(T!$E282:$E285&gt;=I29,0),)),IF(AND(I51="4G2",I53=6,I59="500V"),INDEX(T!$F282:$F285,MATCH(TRUE,INDEX(T!$F282:$F285&gt;=I29,0),)),IF(AND(I51="4G2",I53=7,I59="500V"),INDEX(T!$G282:$G285,MATCH(TRUE,INDEX(T!$G282:$G285&gt;=I29,0),)),IF(AND(I51="4G2",I53=8,I59="500V"),INDEX(T!$H282:$H285,MATCH(TRUE,INDEX(T!$H282:$H285&gt;=I29,0),)),IF(AND(I51="4G2",I53=9,I59="500V"),INDEX(T!$I282:$I285,MATCH(TRUE,INDEX(T!$I282:$I285&gt;=I29,0),)),IF(AND(I51="4G2",I53=2,I59="750V"),INDEX(T!$B287:$B302,MATCH(TRUE,INDEX(T!$B287:$B302&gt;=I29,0),)),IF(AND(I51="4G2",I53=3,I59="750V"),INDEX(T!$C$287:$C302,MATCH(TRUE,INDEX(T!$C$287:$C302&gt;=I29,0),)),IF(AND(I51="4G2",I53=4,I59="750V"),INDEX(T!$D287:$D302,MATCH(TRUE,INDEX(T!$D287:$D302&gt;=I29,0),)),IF(AND(I51="4G2",I53=5,I59="750V"),INDEX(T!$E287:$E302,MATCH(TRUE,INDEX(T!$E287:$E302&gt;=I29,0),)),IF(AND(I51="4G2",I53=6,I59="750V"),INDEX(T!$F287:$F302,MATCH(TRUE,INDEX(T!$F287:$F302&gt;=I29,0),)),IF(AND(I51="4G2",I53=7,I59="750V"),INDEX(T!$G287:$G302,MATCH(TRUE,INDEX(T!$G287:$G302&gt;=I29,0),)),IF(AND(I51="4G2",I53=8,I59="750V"),INDEX(T!$H287:$H302,MATCH(TRUE,INDEX(T!$H287:$H302&gt;=I29,0),)),IF(AND(I51="4G2",I53=9,I59="750V"),INDEX(T!$I287:$I302,MATCH(TRUE,INDEX(T!$I287:$I302&gt;=I29,0),)))))))))))))))))))))))))))))))))),""))</f>
        <v/>
      </c>
      <c r="J76" s="157" t="str" cm="1">
        <f t="array" ref="J76">IF(J27="","",IF(OR(J51="4G1",J51="4G2"),IF(AND(J51="4G1",J53=2,J59="500V"),INDEX(T!$B255:$B258,MATCH(TRUE,INDEX(T!$B255:$B258&gt;=J29,0),)),IF(AND(J51="4G1",J53=3,J59="500V"),INDEX(T!$C$255:$C258,MATCH(TRUE,INDEX(T!$C$255:$C258&gt;=J29,0),)),IF(AND(J51="4G1",J53=4,J59="500V"),INDEX(T!$D255:$D258,MATCH(TRUE,INDEX(T!$D255:$D258&gt;=J29,0),)),IF(AND(J51="4G1",J53=5,J59="500V"),INDEX(T!$E255:$E258,MATCH(TRUE,INDEX(T!$E255:$E258&gt;=J29,0),)),IF(AND(J51="4G1",J53=6,J59="500V"),INDEX(T!$F255:$F258,MATCH(TRUE,INDEX(T!$F255:$F258&gt;=J29,0),)),IF(AND(J51="4G1",J53=7,J59="500V"),INDEX(T!$G255:$G258,MATCH(TRUE,INDEX(T!$G255:$G258&gt;=J29,0),)),IF(AND(J51="4G1",J53=8,J59="500V"),INDEX(T!$H255:$H258,MATCH(TRUE,INDEX(T!$H255:$H258&gt;=J29,0),)),IF(AND(J51="4G1",J53=9,J59="500V"),INDEX(T!$I255:$I258,MATCH(TRUE,INDEX(T!$I255:$I258&gt;=J29,0),)),IF(AND(J51="4G1",J53=2,J59="750V"),INDEX(T!$B260:$B275,MATCH(TRUE,INDEX(T!$B260:$B275&gt;=J29,0),)),IF(AND(J51="4G1",J53=3,J59="750V"),INDEX(T!$C$260:$C275,MATCH(TRUE,INDEX(T!$C$260:$C275&gt;=J29,0),)),IF(AND(J51="4G1",J53=4,J59="750V"),INDEX(T!$D260:$D275,MATCH(TRUE,INDEX(T!$D260:$D275&gt;=J29,0),)),IF(AND(J51="4G1",J53=5,J59="750V"),INDEX(T!$E260:$E275,MATCH(TRUE,INDEX(T!$E260:$E275&gt;=J29,0),)),IF(AND(J51="4G1",J53=6,J59="750V"),INDEX(T!$F260:$F275,MATCH(TRUE,INDEX(T!$F260:$F275&gt;=J29,0),)),IF(AND(J51="4G1",J53=7,J59="750V"),INDEX(T!$G260:$G275,MATCH(TRUE,INDEX(T!$G260:$G275&gt;=J29,0),)),IF(AND(J51="4G1",J53=8,J59="750V"),INDEX(T!$H260:$H275,MATCH(TRUE,INDEX(T!$H260:$H275&gt;=J29,0),)),IF(AND(J51="4G1",J53=9,J59="750V"),INDEX(T!$I260:$I275,MATCH(TRUE,INDEX(T!$I260:$I275&gt;=J29,0),)),IF(AND(J51="4G2",J53=2,J59="500V"),INDEX(T!$B282:$B285,MATCH(TRUE,INDEX(T!$B282:$B285&gt;=J29,0),)),IF(AND(J51="4G2",J53=3,J59="500V"),INDEX(T!$C$282:$C285,MATCH(TRUE,INDEX(T!$C$282:$C285&gt;=J29,0),)),IF(AND(J51="4G2",J53=4,J59="500V"),INDEX(T!$D282:$D285,MATCH(TRUE,INDEX(T!$D282:$D285&gt;=J29,0),)),IF(AND(J51="4G2",J53=5,J59="500V"),INDEX(T!$E282:$E285,MATCH(TRUE,INDEX(T!$E282:$E285&gt;=J29,0),)),IF(AND(J51="4G2",J53=6,J59="500V"),INDEX(T!$F282:$F285,MATCH(TRUE,INDEX(T!$F282:$F285&gt;=J29,0),)),IF(AND(J51="4G2",J53=7,J59="500V"),INDEX(T!$G282:$G285,MATCH(TRUE,INDEX(T!$G282:$G285&gt;=J29,0),)),IF(AND(J51="4G2",J53=8,J59="500V"),INDEX(T!$H282:$H285,MATCH(TRUE,INDEX(T!$H282:$H285&gt;=J29,0),)),IF(AND(J51="4G2",J53=9,J59="500V"),INDEX(T!$I282:$I285,MATCH(TRUE,INDEX(T!$I282:$I285&gt;=J29,0),)),IF(AND(J51="4G2",J53=2,J59="750V"),INDEX(T!$B287:$B302,MATCH(TRUE,INDEX(T!$B287:$B302&gt;=J29,0),)),IF(AND(J51="4G2",J53=3,J59="750V"),INDEX(T!$C$287:$C302,MATCH(TRUE,INDEX(T!$C$287:$C302&gt;=J29,0),)),IF(AND(J51="4G2",J53=4,J59="750V"),INDEX(T!$D287:$D302,MATCH(TRUE,INDEX(T!$D287:$D302&gt;=J29,0),)),IF(AND(J51="4G2",J53=5,J59="750V"),INDEX(T!$E287:$E302,MATCH(TRUE,INDEX(T!$E287:$E302&gt;=J29,0),)),IF(AND(J51="4G2",J53=6,J59="750V"),INDEX(T!$F287:$F302,MATCH(TRUE,INDEX(T!$F287:$F302&gt;=J29,0),)),IF(AND(J51="4G2",J53=7,J59="750V"),INDEX(T!$G287:$G302,MATCH(TRUE,INDEX(T!$G287:$G302&gt;=J29,0),)),IF(AND(J51="4G2",J53=8,J59="750V"),INDEX(T!$H287:$H302,MATCH(TRUE,INDEX(T!$H287:$H302&gt;=J29,0),)),IF(AND(J51="4G2",J53=9,J59="750V"),INDEX(T!$I287:$I302,MATCH(TRUE,INDEX(T!$I287:$I302&gt;=J29,0),)))))))))))))))))))))))))))))))))),""))</f>
        <v/>
      </c>
      <c r="K76" s="157" t="str" cm="1">
        <f t="array" ref="K76">IF(K27="","",IF(OR(K51="4G1",K51="4G2"),IF(AND(K51="4G1",K53=2,K59="500V"),INDEX(T!$B255:$B258,MATCH(TRUE,INDEX(T!$B255:$B258&gt;=K29,0),)),IF(AND(K51="4G1",K53=3,K59="500V"),INDEX(T!$C$255:$C258,MATCH(TRUE,INDEX(T!$C$255:$C258&gt;=K29,0),)),IF(AND(K51="4G1",K53=4,K59="500V"),INDEX(T!$D255:$D258,MATCH(TRUE,INDEX(T!$D255:$D258&gt;=K29,0),)),IF(AND(K51="4G1",K53=5,K59="500V"),INDEX(T!$E255:$E258,MATCH(TRUE,INDEX(T!$E255:$E258&gt;=K29,0),)),IF(AND(K51="4G1",K53=6,K59="500V"),INDEX(T!$F255:$F258,MATCH(TRUE,INDEX(T!$F255:$F258&gt;=K29,0),)),IF(AND(K51="4G1",K53=7,K59="500V"),INDEX(T!$G255:$G258,MATCH(TRUE,INDEX(T!$G255:$G258&gt;=K29,0),)),IF(AND(K51="4G1",K53=8,K59="500V"),INDEX(T!$H255:$H258,MATCH(TRUE,INDEX(T!$H255:$H258&gt;=K29,0),)),IF(AND(K51="4G1",K53=9,K59="500V"),INDEX(T!$I255:$I258,MATCH(TRUE,INDEX(T!$I255:$I258&gt;=K29,0),)),IF(AND(K51="4G1",K53=2,K59="750V"),INDEX(T!$B260:$B275,MATCH(TRUE,INDEX(T!$B260:$B275&gt;=K29,0),)),IF(AND(K51="4G1",K53=3,K59="750V"),INDEX(T!$C$260:$C275,MATCH(TRUE,INDEX(T!$C$260:$C275&gt;=K29,0),)),IF(AND(K51="4G1",K53=4,K59="750V"),INDEX(T!$D260:$D275,MATCH(TRUE,INDEX(T!$D260:$D275&gt;=K29,0),)),IF(AND(K51="4G1",K53=5,K59="750V"),INDEX(T!$E260:$E275,MATCH(TRUE,INDEX(T!$E260:$E275&gt;=K29,0),)),IF(AND(K51="4G1",K53=6,K59="750V"),INDEX(T!$F260:$F275,MATCH(TRUE,INDEX(T!$F260:$F275&gt;=K29,0),)),IF(AND(K51="4G1",K53=7,K59="750V"),INDEX(T!$G260:$G275,MATCH(TRUE,INDEX(T!$G260:$G275&gt;=K29,0),)),IF(AND(K51="4G1",K53=8,K59="750V"),INDEX(T!$H260:$H275,MATCH(TRUE,INDEX(T!$H260:$H275&gt;=K29,0),)),IF(AND(K51="4G1",K53=9,K59="750V"),INDEX(T!$I260:$I275,MATCH(TRUE,INDEX(T!$I260:$I275&gt;=K29,0),)),IF(AND(K51="4G2",K53=2,K59="500V"),INDEX(T!$B282:$B285,MATCH(TRUE,INDEX(T!$B282:$B285&gt;=K29,0),)),IF(AND(K51="4G2",K53=3,K59="500V"),INDEX(T!$C$282:$C285,MATCH(TRUE,INDEX(T!$C$282:$C285&gt;=K29,0),)),IF(AND(K51="4G2",K53=4,K59="500V"),INDEX(T!$D282:$D285,MATCH(TRUE,INDEX(T!$D282:$D285&gt;=K29,0),)),IF(AND(K51="4G2",K53=5,K59="500V"),INDEX(T!$E282:$E285,MATCH(TRUE,INDEX(T!$E282:$E285&gt;=K29,0),)),IF(AND(K51="4G2",K53=6,K59="500V"),INDEX(T!$F282:$F285,MATCH(TRUE,INDEX(T!$F282:$F285&gt;=K29,0),)),IF(AND(K51="4G2",K53=7,K59="500V"),INDEX(T!$G282:$G285,MATCH(TRUE,INDEX(T!$G282:$G285&gt;=K29,0),)),IF(AND(K51="4G2",K53=8,K59="500V"),INDEX(T!$H282:$H285,MATCH(TRUE,INDEX(T!$H282:$H285&gt;=K29,0),)),IF(AND(K51="4G2",K53=9,K59="500V"),INDEX(T!$I282:$I285,MATCH(TRUE,INDEX(T!$I282:$I285&gt;=K29,0),)),IF(AND(K51="4G2",K53=2,K59="750V"),INDEX(T!$B287:$B302,MATCH(TRUE,INDEX(T!$B287:$B302&gt;=K29,0),)),IF(AND(K51="4G2",K53=3,K59="750V"),INDEX(T!$C$287:$C302,MATCH(TRUE,INDEX(T!$C$287:$C302&gt;=K29,0),)),IF(AND(K51="4G2",K53=4,K59="750V"),INDEX(T!$D287:$D302,MATCH(TRUE,INDEX(T!$D287:$D302&gt;=K29,0),)),IF(AND(K51="4G2",K53=5,K59="750V"),INDEX(T!$E287:$E302,MATCH(TRUE,INDEX(T!$E287:$E302&gt;=K29,0),)),IF(AND(K51="4G2",K53=6,K59="750V"),INDEX(T!$F287:$F302,MATCH(TRUE,INDEX(T!$F287:$F302&gt;=K29,0),)),IF(AND(K51="4G2",K53=7,K59="750V"),INDEX(T!$G287:$G302,MATCH(TRUE,INDEX(T!$G287:$G302&gt;=K29,0),)),IF(AND(K51="4G2",K53=8,K59="750V"),INDEX(T!$H287:$H302,MATCH(TRUE,INDEX(T!$H287:$H302&gt;=K29,0),)),IF(AND(K51="4G2",K53=9,K59="750V"),INDEX(T!$I287:$I302,MATCH(TRUE,INDEX(T!$I287:$I302&gt;=K29,0),)))))))))))))))))))))))))))))))))),""))</f>
        <v/>
      </c>
      <c r="L76" s="157" t="str" cm="1">
        <f t="array" ref="L76">IF(L27="","",IF(OR(L51="4G1",L51="4G2"),IF(AND(L51="4G1",L53=2,L59="500V"),INDEX(T!$B255:$B258,MATCH(TRUE,INDEX(T!$B255:$B258&gt;=L29,0),)),IF(AND(L51="4G1",L53=3,L59="500V"),INDEX(T!$C$255:$C258,MATCH(TRUE,INDEX(T!$C$255:$C258&gt;=L29,0),)),IF(AND(L51="4G1",L53=4,L59="500V"),INDEX(T!$D255:$D258,MATCH(TRUE,INDEX(T!$D255:$D258&gt;=L29,0),)),IF(AND(L51="4G1",L53=5,L59="500V"),INDEX(T!$E255:$E258,MATCH(TRUE,INDEX(T!$E255:$E258&gt;=L29,0),)),IF(AND(L51="4G1",L53=6,L59="500V"),INDEX(T!$F255:$F258,MATCH(TRUE,INDEX(T!$F255:$F258&gt;=L29,0),)),IF(AND(L51="4G1",L53=7,L59="500V"),INDEX(T!$G255:$G258,MATCH(TRUE,INDEX(T!$G255:$G258&gt;=L29,0),)),IF(AND(L51="4G1",L53=8,L59="500V"),INDEX(T!$H255:$H258,MATCH(TRUE,INDEX(T!$H255:$H258&gt;=L29,0),)),IF(AND(L51="4G1",L53=9,L59="500V"),INDEX(T!$I255:$I258,MATCH(TRUE,INDEX(T!$I255:$I258&gt;=L29,0),)),IF(AND(L51="4G1",L53=2,L59="750V"),INDEX(T!$B260:$B275,MATCH(TRUE,INDEX(T!$B260:$B275&gt;=L29,0),)),IF(AND(L51="4G1",L53=3,L59="750V"),INDEX(T!$C$260:$C275,MATCH(TRUE,INDEX(T!$C$260:$C275&gt;=L29,0),)),IF(AND(L51="4G1",L53=4,L59="750V"),INDEX(T!$D260:$D275,MATCH(TRUE,INDEX(T!$D260:$D275&gt;=L29,0),)),IF(AND(L51="4G1",L53=5,L59="750V"),INDEX(T!$E260:$E275,MATCH(TRUE,INDEX(T!$E260:$E275&gt;=L29,0),)),IF(AND(L51="4G1",L53=6,L59="750V"),INDEX(T!$F260:$F275,MATCH(TRUE,INDEX(T!$F260:$F275&gt;=L29,0),)),IF(AND(L51="4G1",L53=7,L59="750V"),INDEX(T!$G260:$G275,MATCH(TRUE,INDEX(T!$G260:$G275&gt;=L29,0),)),IF(AND(L51="4G1",L53=8,L59="750V"),INDEX(T!$H260:$H275,MATCH(TRUE,INDEX(T!$H260:$H275&gt;=L29,0),)),IF(AND(L51="4G1",L53=9,L59="750V"),INDEX(T!$I260:$I275,MATCH(TRUE,INDEX(T!$I260:$I275&gt;=L29,0),)),IF(AND(L51="4G2",L53=2,L59="500V"),INDEX(T!$B282:$B285,MATCH(TRUE,INDEX(T!$B282:$B285&gt;=L29,0),)),IF(AND(L51="4G2",L53=3,L59="500V"),INDEX(T!$C$282:$C285,MATCH(TRUE,INDEX(T!$C$282:$C285&gt;=L29,0),)),IF(AND(L51="4G2",L53=4,L59="500V"),INDEX(T!$D282:$D285,MATCH(TRUE,INDEX(T!$D282:$D285&gt;=L29,0),)),IF(AND(L51="4G2",L53=5,L59="500V"),INDEX(T!$E282:$E285,MATCH(TRUE,INDEX(T!$E282:$E285&gt;=L29,0),)),IF(AND(L51="4G2",L53=6,L59="500V"),INDEX(T!$F282:$F285,MATCH(TRUE,INDEX(T!$F282:$F285&gt;=L29,0),)),IF(AND(L51="4G2",L53=7,L59="500V"),INDEX(T!$G282:$G285,MATCH(TRUE,INDEX(T!$G282:$G285&gt;=L29,0),)),IF(AND(L51="4G2",L53=8,L59="500V"),INDEX(T!$H282:$H285,MATCH(TRUE,INDEX(T!$H282:$H285&gt;=L29,0),)),IF(AND(L51="4G2",L53=9,L59="500V"),INDEX(T!$I282:$I285,MATCH(TRUE,INDEX(T!$I282:$I285&gt;=L29,0),)),IF(AND(L51="4G2",L53=2,L59="750V"),INDEX(T!$B287:$B302,MATCH(TRUE,INDEX(T!$B287:$B302&gt;=L29,0),)),IF(AND(L51="4G2",L53=3,L59="750V"),INDEX(T!$C$287:$C302,MATCH(TRUE,INDEX(T!$C$287:$C302&gt;=L29,0),)),IF(AND(L51="4G2",L53=4,L59="750V"),INDEX(T!$D287:$D302,MATCH(TRUE,INDEX(T!$D287:$D302&gt;=L29,0),)),IF(AND(L51="4G2",L53=5,L59="750V"),INDEX(T!$E287:$E302,MATCH(TRUE,INDEX(T!$E287:$E302&gt;=L29,0),)),IF(AND(L51="4G2",L53=6,L59="750V"),INDEX(T!$F287:$F302,MATCH(TRUE,INDEX(T!$F287:$F302&gt;=L29,0),)),IF(AND(L51="4G2",L53=7,L59="750V"),INDEX(T!$G287:$G302,MATCH(TRUE,INDEX(T!$G287:$G302&gt;=L29,0),)),IF(AND(L51="4G2",L53=8,L59="750V"),INDEX(T!$H287:$H302,MATCH(TRUE,INDEX(T!$H287:$H302&gt;=L29,0),)),IF(AND(L51="4G2",L53=9,L59="750V"),INDEX(T!$I287:$I302,MATCH(TRUE,INDEX(T!$I287:$I302&gt;=L29,0),)))))))))))))))))))))))))))))))))),""))</f>
        <v/>
      </c>
      <c r="M76" s="157" t="str" cm="1">
        <f t="array" ref="M76">IF(M27="","",IF(OR(M51="4G1",M51="4G2"),IF(AND(M51="4G1",M53=2,M59="500V"),INDEX(T!$B255:$B258,MATCH(TRUE,INDEX(T!$B255:$B258&gt;=M29,0),)),IF(AND(M51="4G1",M53=3,M59="500V"),INDEX(T!$C$255:$C258,MATCH(TRUE,INDEX(T!$C$255:$C258&gt;=M29,0),)),IF(AND(M51="4G1",M53=4,M59="500V"),INDEX(T!$D255:$D258,MATCH(TRUE,INDEX(T!$D255:$D258&gt;=M29,0),)),IF(AND(M51="4G1",M53=5,M59="500V"),INDEX(T!$E255:$E258,MATCH(TRUE,INDEX(T!$E255:$E258&gt;=M29,0),)),IF(AND(M51="4G1",M53=6,M59="500V"),INDEX(T!$F255:$F258,MATCH(TRUE,INDEX(T!$F255:$F258&gt;=M29,0),)),IF(AND(M51="4G1",M53=7,M59="500V"),INDEX(T!$G255:$G258,MATCH(TRUE,INDEX(T!$G255:$G258&gt;=M29,0),)),IF(AND(M51="4G1",M53=8,M59="500V"),INDEX(T!$H255:$H258,MATCH(TRUE,INDEX(T!$H255:$H258&gt;=M29,0),)),IF(AND(M51="4G1",M53=9,M59="500V"),INDEX(T!$I255:$I258,MATCH(TRUE,INDEX(T!$I255:$I258&gt;=M29,0),)),IF(AND(M51="4G1",M53=2,M59="750V"),INDEX(T!$B260:$B275,MATCH(TRUE,INDEX(T!$B260:$B275&gt;=M29,0),)),IF(AND(M51="4G1",M53=3,M59="750V"),INDEX(T!$C$260:$C275,MATCH(TRUE,INDEX(T!$C$260:$C275&gt;=M29,0),)),IF(AND(M51="4G1",M53=4,M59="750V"),INDEX(T!$D260:$D275,MATCH(TRUE,INDEX(T!$D260:$D275&gt;=M29,0),)),IF(AND(M51="4G1",M53=5,M59="750V"),INDEX(T!$E260:$E275,MATCH(TRUE,INDEX(T!$E260:$E275&gt;=M29,0),)),IF(AND(M51="4G1",M53=6,M59="750V"),INDEX(T!$F260:$F275,MATCH(TRUE,INDEX(T!$F260:$F275&gt;=M29,0),)),IF(AND(M51="4G1",M53=7,M59="750V"),INDEX(T!$G260:$G275,MATCH(TRUE,INDEX(T!$G260:$G275&gt;=M29,0),)),IF(AND(M51="4G1",M53=8,M59="750V"),INDEX(T!$H260:$H275,MATCH(TRUE,INDEX(T!$H260:$H275&gt;=M29,0),)),IF(AND(M51="4G1",M53=9,M59="750V"),INDEX(T!$I260:$I275,MATCH(TRUE,INDEX(T!$I260:$I275&gt;=M29,0),)),IF(AND(M51="4G2",M53=2,M59="500V"),INDEX(T!$B282:$B285,MATCH(TRUE,INDEX(T!$B282:$B285&gt;=M29,0),)),IF(AND(M51="4G2",M53=3,M59="500V"),INDEX(T!$C$282:$C285,MATCH(TRUE,INDEX(T!$C$282:$C285&gt;=M29,0),)),IF(AND(M51="4G2",M53=4,M59="500V"),INDEX(T!$D282:$D285,MATCH(TRUE,INDEX(T!$D282:$D285&gt;=M29,0),)),IF(AND(M51="4G2",M53=5,M59="500V"),INDEX(T!$E282:$E285,MATCH(TRUE,INDEX(T!$E282:$E285&gt;=M29,0),)),IF(AND(M51="4G2",M53=6,M59="500V"),INDEX(T!$F282:$F285,MATCH(TRUE,INDEX(T!$F282:$F285&gt;=M29,0),)),IF(AND(M51="4G2",M53=7,M59="500V"),INDEX(T!$G282:$G285,MATCH(TRUE,INDEX(T!$G282:$G285&gt;=M29,0),)),IF(AND(M51="4G2",M53=8,M59="500V"),INDEX(T!$H282:$H285,MATCH(TRUE,INDEX(T!$H282:$H285&gt;=M29,0),)),IF(AND(M51="4G2",M53=9,M59="500V"),INDEX(T!$I282:$I285,MATCH(TRUE,INDEX(T!$I282:$I285&gt;=M29,0),)),IF(AND(M51="4G2",M53=2,M59="750V"),INDEX(T!$B287:$B302,MATCH(TRUE,INDEX(T!$B287:$B302&gt;=M29,0),)),IF(AND(M51="4G2",M53=3,M59="750V"),INDEX(T!$C$287:$C302,MATCH(TRUE,INDEX(T!$C$287:$C302&gt;=M29,0),)),IF(AND(M51="4G2",M53=4,M59="750V"),INDEX(T!$D287:$D302,MATCH(TRUE,INDEX(T!$D287:$D302&gt;=M29,0),)),IF(AND(M51="4G2",M53=5,M59="750V"),INDEX(T!$E287:$E302,MATCH(TRUE,INDEX(T!$E287:$E302&gt;=M29,0),)),IF(AND(M51="4G2",M53=6,M59="750V"),INDEX(T!$F287:$F302,MATCH(TRUE,INDEX(T!$F287:$F302&gt;=M29,0),)),IF(AND(M51="4G2",M53=7,M59="750V"),INDEX(T!$G287:$G302,MATCH(TRUE,INDEX(T!$G287:$G302&gt;=M29,0),)),IF(AND(M51="4G2",M53=8,M59="750V"),INDEX(T!$H287:$H302,MATCH(TRUE,INDEX(T!$H287:$H302&gt;=M29,0),)),IF(AND(M51="4G2",M53=9,M59="750V"),INDEX(T!$I287:$I302,MATCH(TRUE,INDEX(T!$I287:$I302&gt;=M29,0),)))))))))))))))))))))))))))))))))),""))</f>
        <v/>
      </c>
      <c r="N76" s="157" t="str" cm="1">
        <f t="array" ref="N76">IF(N27="","",IF(OR(N51="4G1",N51="4G2"),IF(AND(N51="4G1",N53=2,N59="500V"),INDEX(T!$B255:$B258,MATCH(TRUE,INDEX(T!$B255:$B258&gt;=N29,0),)),IF(AND(N51="4G1",N53=3,N59="500V"),INDEX(T!$C$255:$C258,MATCH(TRUE,INDEX(T!$C$255:$C258&gt;=N29,0),)),IF(AND(N51="4G1",N53=4,N59="500V"),INDEX(T!$D255:$D258,MATCH(TRUE,INDEX(T!$D255:$D258&gt;=N29,0),)),IF(AND(N51="4G1",N53=5,N59="500V"),INDEX(T!$E255:$E258,MATCH(TRUE,INDEX(T!$E255:$E258&gt;=N29,0),)),IF(AND(N51="4G1",N53=6,N59="500V"),INDEX(T!$F255:$F258,MATCH(TRUE,INDEX(T!$F255:$F258&gt;=N29,0),)),IF(AND(N51="4G1",N53=7,N59="500V"),INDEX(T!$G255:$G258,MATCH(TRUE,INDEX(T!$G255:$G258&gt;=N29,0),)),IF(AND(N51="4G1",N53=8,N59="500V"),INDEX(T!$H255:$H258,MATCH(TRUE,INDEX(T!$H255:$H258&gt;=N29,0),)),IF(AND(N51="4G1",N53=9,N59="500V"),INDEX(T!$I255:$I258,MATCH(TRUE,INDEX(T!$I255:$I258&gt;=N29,0),)),IF(AND(N51="4G1",N53=2,N59="750V"),INDEX(T!$B260:$B275,MATCH(TRUE,INDEX(T!$B260:$B275&gt;=N29,0),)),IF(AND(N51="4G1",N53=3,N59="750V"),INDEX(T!$C$260:$C275,MATCH(TRUE,INDEX(T!$C$260:$C275&gt;=N29,0),)),IF(AND(N51="4G1",N53=4,N59="750V"),INDEX(T!$D260:$D275,MATCH(TRUE,INDEX(T!$D260:$D275&gt;=N29,0),)),IF(AND(N51="4G1",N53=5,N59="750V"),INDEX(T!$E260:$E275,MATCH(TRUE,INDEX(T!$E260:$E275&gt;=N29,0),)),IF(AND(N51="4G1",N53=6,N59="750V"),INDEX(T!$F260:$F275,MATCH(TRUE,INDEX(T!$F260:$F275&gt;=N29,0),)),IF(AND(N51="4G1",N53=7,N59="750V"),INDEX(T!$G260:$G275,MATCH(TRUE,INDEX(T!$G260:$G275&gt;=N29,0),)),IF(AND(N51="4G1",N53=8,N59="750V"),INDEX(T!$H260:$H275,MATCH(TRUE,INDEX(T!$H260:$H275&gt;=N29,0),)),IF(AND(N51="4G1",N53=9,N59="750V"),INDEX(T!$I260:$I275,MATCH(TRUE,INDEX(T!$I260:$I275&gt;=N29,0),)),IF(AND(N51="4G2",N53=2,N59="500V"),INDEX(T!$B282:$B285,MATCH(TRUE,INDEX(T!$B282:$B285&gt;=N29,0),)),IF(AND(N51="4G2",N53=3,N59="500V"),INDEX(T!$C$282:$C285,MATCH(TRUE,INDEX(T!$C$282:$C285&gt;=N29,0),)),IF(AND(N51="4G2",N53=4,N59="500V"),INDEX(T!$D282:$D285,MATCH(TRUE,INDEX(T!$D282:$D285&gt;=N29,0),)),IF(AND(N51="4G2",N53=5,N59="500V"),INDEX(T!$E282:$E285,MATCH(TRUE,INDEX(T!$E282:$E285&gt;=N29,0),)),IF(AND(N51="4G2",N53=6,N59="500V"),INDEX(T!$F282:$F285,MATCH(TRUE,INDEX(T!$F282:$F285&gt;=N29,0),)),IF(AND(N51="4G2",N53=7,N59="500V"),INDEX(T!$G282:$G285,MATCH(TRUE,INDEX(T!$G282:$G285&gt;=N29,0),)),IF(AND(N51="4G2",N53=8,N59="500V"),INDEX(T!$H282:$H285,MATCH(TRUE,INDEX(T!$H282:$H285&gt;=N29,0),)),IF(AND(N51="4G2",N53=9,N59="500V"),INDEX(T!$I282:$I285,MATCH(TRUE,INDEX(T!$I282:$I285&gt;=N29,0),)),IF(AND(N51="4G2",N53=2,N59="750V"),INDEX(T!$B287:$B302,MATCH(TRUE,INDEX(T!$B287:$B302&gt;=N29,0),)),IF(AND(N51="4G2",N53=3,N59="750V"),INDEX(T!$C$287:$C302,MATCH(TRUE,INDEX(T!$C$287:$C302&gt;=N29,0),)),IF(AND(N51="4G2",N53=4,N59="750V"),INDEX(T!$D287:$D302,MATCH(TRUE,INDEX(T!$D287:$D302&gt;=N29,0),)),IF(AND(N51="4G2",N53=5,N59="750V"),INDEX(T!$E287:$E302,MATCH(TRUE,INDEX(T!$E287:$E302&gt;=N29,0),)),IF(AND(N51="4G2",N53=6,N59="750V"),INDEX(T!$F287:$F302,MATCH(TRUE,INDEX(T!$F287:$F302&gt;=N29,0),)),IF(AND(N51="4G2",N53=7,N59="750V"),INDEX(T!$G287:$G302,MATCH(TRUE,INDEX(T!$G287:$G302&gt;=N29,0),)),IF(AND(N51="4G2",N53=8,N59="750V"),INDEX(T!$H287:$H302,MATCH(TRUE,INDEX(T!$H287:$H302&gt;=N29,0),)),IF(AND(N51="4G2",N53=9,N59="750V"),INDEX(T!$I287:$I302,MATCH(TRUE,INDEX(T!$I287:$I302&gt;=N29,0),)))))))))))))))))))))))))))))))))),""))</f>
        <v/>
      </c>
      <c r="O76" s="148" t="str">
        <f>IF(N76&lt;&gt;"","A","")</f>
        <v/>
      </c>
    </row>
    <row r="77" spans="1:43" s="129" customFormat="1" ht="16">
      <c r="A77" s="397"/>
      <c r="B77" s="400"/>
      <c r="C77" s="141"/>
      <c r="D77" s="141" t="str" cm="1">
        <f t="array" ref="D77">IF(D27="","",IF(OR(D51="4H1",D51="4H2",D51="4H3",D51="4H4"),IF(AND(D51="4H1",D53=2),INDEX(T!$B308:$B315,MATCH(TRUE,INDEX(T!$B308:$B315&gt;=D29,0),)),IF(AND(D51="4H1",D53=3),INDEX(T!$C$308:$C315,MATCH(TRUE,INDEX(T!$C$308:$C315&gt;=D29,0),)),IF(AND(D51="4H1",D53=4),INDEX(T!$D308:$D318,MATCH(TRUE,INDEX(T!$D308:$D318&gt;=D29,0),)),IF(AND(D51="4H1",D53=5),INDEX(T!$E308:$E318,MATCH(TRUE,INDEX(T!$E308:$E318&gt;=D29,0),)),IF(AND(D51="4H1",D53=6),INDEX(T!$F308:$F321,MATCH(TRUE,INDEX(T!$F308:$F321&gt;=D29,0),)),IF(AND(D51="4H1",D53=7),INDEX(T!$G308:$G321,MATCH(TRUE,INDEX(T!$G308:$G321&gt;=D29,0),)),IF(AND(D51="4H1",D53=8),INDEX(T!$H308:$H321,MATCH(TRUE,INDEX(T!$H308:$H321&gt;=D29,0),)),IF(AND(D51="4H1",D53=9),INDEX(T!$I305:$I321,MATCH(TRUE,INDEX(T!$I308:$I321&gt;=D29,0),)),IF(AND(D51="4H1",D53=10),INDEX(T!$J308:$J321,MATCH(TRUE,INDEX(T!$J308:$J321&gt;=D29,0),)),IF(AND(D51="4H1",D53=11),INDEX(T!$K308:$K321,MATCH(TRUE,INDEX(T!$K308:$K321&gt;=D29,0),)),IF(AND(D51="4H1",D53=12),INDEX(T!$L$308:$L321,MATCH(TRUE,INDEX(T!$L$308:$L321&gt;=D29,0),)),IF(AND(D51="4H2",D53=2),INDEX(T!$B327:$B332,MATCH(TRUE,INDEX(T!$B327:$B332&gt;=D29,0),)),IF(AND(D51="4H2",D53=3),INDEX(T!$C$327:$C337,MATCH(TRUE,INDEX(T!$C$327:$C337&gt;=D29,0),)),IF(AND(D51="4H2",D53=4),INDEX(T!$D327:$D332,MATCH(TRUE,INDEX(T!$D327:$D332&gt;=D29,0),)),IF(AND(D51="4H2",D53=5),INDEX(T!$E327:$E337,MATCH(TRUE,INDEX(T!$E327:$E337&gt;=D29,0),)),IF(AND(D51="4H2",D53=6),INDEX(T!$F327:$F332,MATCH(TRUE,INDEX(T!$F327:$F332&gt;=D29,0),)),IF(AND(D51="4H2",D53=7),INDEX(T!$G327:$G337,MATCH(TRUE,INDEX(T!$G327:$G337&gt;=D29,0),)),IF(AND(D51="4H2",D53=8),INDEX(T!$H327:$H332,MATCH(TRUE,INDEX(T!$H327:$H332&gt;=D29,0),)),IF(AND(D51="4H2",D53=9),INDEX(T!$I327:$I337,MATCH(TRUE,INDEX(T!$I327:$I337&gt;=D29,0),)),IF(AND(D51="4H3",D53=2),INDEX(T!$B343:$B356,MATCH(TRUE,INDEX(T!$B343:$B356&gt;=D29,0),)),IF(AND(D51="4H3",D53=3),INDEX(T!$C$343:$C356,MATCH(TRUE,INDEX(T!$C$343:$C356&gt;=D29,0),)),IF(AND(D51="4H3",D53=4),INDEX(T!$D343:$D356,MATCH(TRUE,INDEX(T!$D343:$D356&gt;=D29,0),)),IF(AND(D51="4H3",D53=5),(INDEX(T!$E343:$E356,MATCH(TRUE,INDEX(T!$E343:$E356&gt;=D29,0),)),IF(AND(D51="4H3",D53=6),INDEX(T!$F343:$F356,MATCH(TRUE,INDEX(T!$F343:$F356&gt;=D29,0),)),IF(AND(D51="4H3",D53=7),INDEX(T!$G343:$G356,MATCH(TRUE,INDEX(T!$G343:$G356&gt;=D29,0),)),IF(AND(D51="4H3",D53=8),INDEX(T!$H343:$H356,MATCH(TRUE,INDEX(T!$H343:$H356&gt;=D29,0),)),IF(AND(D51="4H3",D53=9),INDEX(T!$I343:$I356,MATCH(TRUE,INDEX(T!$I343:$I356&gt;=D29,0),)),IF(AND(D51="4H3",D53=10),INDEX(T!$J343:$J356,MATCH(TRUE,INDEX(T!$J343:$J356&gt;=D29,0),)),IF(AND(D51="4H3",D53=11),INDEX(T!$K343:$K356,MATCH(TRUE,INDEX(T!$K343:$K356&gt;=D29,0),)),IF(AND(D51="4H3",D53=12),INDEX(T!$L$343:$L356,MATCH(TRUE,INDEX(T!$L$343:$L356&gt;=D29,0),)),IF(AND(D51="4H4",D53=2),INDEX(T!$B362:$B367,MATCH(TRUE,INDEX(T!$B362:$B367&gt;=D29,0),)),IF(AND(D51="4H4",D53=3),INDEX(T!$C$362:$C372,MATCH(TRUE,INDEX(T!$C$362:$C372&gt;=D29,0),)),IF(AND(D51="4H4",D53=4),INDEX(T!$D362:$D367,MATCH(TRUE,INDEX(T!$D362:$D367&gt;=D29,0),)),IF(AND(D51="4H4",D53=5),INDEX(T!$E362:$E372,MATCH(TRUE,INDEX(T!$E362:$E372&gt;=D29,0),)),IF(AND(D51="4H4",D53=6),INDEX(T!$F363:$F367,MATCH(TRUE,INDEX(T!$F363:$F367&gt;=D29,0),)),IF(AND(D51="4H4",D53=7),INDEX(T!$G363:$G372,MATCH(TRUE,INDEX(T!$G363:$G372&gt;=D29,0),))))))))))))))))))))))))))))))))))))))),IF(OR(D51="4J1",D51="4J2",D51="4J3",D51="4J4"),IF(AND(D51="4J1",D53=2),INDEX(T!$B378:$B385,MATCH(TRUE,INDEX(T!$B378:$B385&gt;=D29,0),)),IF(AND(D51="4J1",D53=3),INDEX(T!$C$378:$C385,MATCH(TRUE,INDEX(T!$C$378:$C385&gt;=D29,0),)),IF(AND(D51="4J1",D53=4),INDEX(T!$D378:$D385,MATCH(TRUE,INDEX(T!$D378:$D385&gt;=D29,0),)),IF(AND(D51="4J1",D53=5),INDEX(T!$E378:$E385,MATCH(TRUE,INDEX(T!$E378:$E385&gt;=D29,0),)),IF(AND(D51="4J1",D53=6),INDEX(T!$F378:$F391,MATCH(TRUE,INDEX(T!$F378:$F391&gt;=D29,0),)),IF(AND(D51="4J1",D53=7),INDEX(T!$G378:$G391,MATCH(TRUE,INDEX(T!$G378:$G391&gt;=D29,0),)),IF(AND(D51="4J1",D53=8),INDEX(T!$H378:$H391,MATCH(TRUE,INDEX(T!$H378:$H391&gt;=D29,0),)),IF(AND(D51="4J1",D53=9),INDEX(T!$I378:$I391,MATCH(TRUE,INDEX(T!$I378:$I391&gt;=D29,0),)),IF(AND(D51="4J1",D53=10),INDEX(T!$J378:$J391,MATCH(TRUE,INDEX(T!$J378:$J391&gt;=D29,0),)),IF(AND(D51="4J1",D53=11),INDEX(T!$K378:$K391,MATCH(TRUE,INDEX(T!$K378:$K391&gt;=D29,0),)),IF(AND(D51="4J1",D53=12),INDEX(T!$L$378:$L391,MATCH(TRUE,INDEX(T!$L$378:$L391&gt;=D29,0),)),IF(AND(D51="4J2",D53=2),INDEX(T!$B397:$B402,MATCH(TRUE,INDEX(T!$B397:$B402&gt;=D29,0),)),IF(AND(D51="4J2",D53=3),INDEX(T!$C$397:$C407,MATCH(TRUE,INDEX(T!$C$397:$C407&gt;=D29,0),)),IF(AND(D51="4J2",D53=4),INDEX(T!$D397:$D$402,MATCH(TRUE,INDEX(T!$D397:$D$402&gt;=D29,0),)),IF(AND(D51="4J2",D53=5),INDEX(T!$E397:$E407,MATCH(TRUE,INDEX(T!$E397:$E407&gt;=D29,0),)),IF(AND(D51="4J2",D53=6),INDEX(T!$F397:$F402,MATCH(TRUE,INDEX(T!$F397:$F402&gt;=D29,0),)),IF(AND(D51="4J2",D53=7),INDEX(T!$G397:$G407,MATCH(TRUE,INDEX(T!$G397:$G407&gt;=D29,0),)),IF(AND(D51="4J2",D53=8),INDEX(T!$H397:$H402,MATCH(TRUE,INDEX(T!$H397:$H402&gt;=D29,0),)),IF(AND(D51="4J2",D53=9),INDEX(T!$I397:$I407,MATCH(TRUE,INDEX(T!$I397:$I407&gt;=D29,0),)),IF(AND(D51="4J3",D53=2),INDEX(T!$B413:$B426,MATCH(TRUE,INDEX(T!$B413:$B426&gt;=D29,0),)),IF(AND(D51="4J3",D53=3),INDEX(T!$C$413:$C426,MATCH(TRUE,INDEX(T!$C$413:$C426&gt;=D29,0),)),IF(AND(D51="4J3",D53=4),INDEX(T!$D413:$D426,MATCH(TRUE,INDEX(T!$D413:$D426&gt;=D29,0),)),IF(AND(D51="4J3",D53=5),INDEX(T!$E413:$E426,MATCH(TRUE,INDEX(T!$E413:$E426&gt;=D29,0),)),IF(AND(D51="4J3",D53=6),INDEX(T!$F413:$F426,MATCH(TRUE,INDEX(T!$F413:$F426&gt;=D29,0),)),IF(AND(D51="4J3",D53=7),INDEX(T!$G413:$G426,MATCH(TRUE,INDEX(T!$G413:$G426&gt;=D29,0),)),IF(AND(D51="4J3",D53=8),INDEX(T!$H413:$H426,MATCH(TRUE,INDEX(T!$H413:$H426&gt;=D29,0),)),IF(AND(D51="4J3",D53=9),INDEX(T!$I413:$I426,MATCH(TRUE,INDEX(T!$I413:$I426&gt;=D29,0),)),IF(AND(D51="4J3",D53=10),INDEX(T!$J413:$J426,MATCH(TRUE,INDEX(T!$J413:$J426&gt;=D29,0),)),IF(AND(D51="4J3",D53=11),INDEX(T!$K413:$K426,MATCH(TRUE,INDEX(T!$K413:$K426&gt;=D29,0),)),IF(AND(D51="4J3",D53=12),INDEX(T!$L$413:$L426,MATCH(TRUE,INDEX(T!$L$413:$L426&gt;=D29,0),)),IF(AND(D51="4J4",D53=2),INDEX(T!$B432:$B437,MATCH(TRUE,INDEX(T!$B432:$B437&gt;=D29,0),)),IF(AND(D51="4J4",D53=3),INDEX(T!$C$432:$C442,MATCH(TRUE,INDEX(T!$C$432:$C442&gt;=D29,0),)),IF(AND(D51="4J4",D53=4),INDEX(T!$D872:$D877,MATCH(TRUE,INDEX(T!$D872:$D877&gt;=D29,0),)),IF(AND(D51="4J4",D53=5),INDEX(T!$E432:$E442,MATCH(TRUE,INDEX(T!$E432:$E442&gt;=D29,0),)),IF(AND(D51="4J4",D53=6),INDEX(T!$F432:$F437,MATCH(TRUE,INDEX(T!$F432:$F437&gt;=D29,0),)),IF(AND(D51="4J4",D53=7),INDEX(T!$G432:$G442,MATCH(TRUE,INDEX(T!$G432:$G442&gt;=D29,0),)))))))))))))))))))))))))))))))))))))),"")))</f>
        <v/>
      </c>
      <c r="E77" s="141" t="str" cm="1">
        <f t="array" aca="1" ref="E77" ca="1">IF(E27="","",IF(OR(E51="4H1",E51="4H2",E51="4H3",E51="4H4"),IF(AND(E51="4H1",E53=2),INDEX(T!$B308:$B315,MATCH(TRUE,INDEX(T!$B308:$B315&gt;=E29,0),)),IF(AND(E51="4H1",E53=3),INDEX(T!$C$308:$C315,MATCH(TRUE,INDEX(T!$C$308:$C315&gt;=E29,0),)),IF(AND(E51="4H1",E53=4),INDEX(T!$D308:$D318,MATCH(TRUE,INDEX(T!$D308:$D318&gt;=E29,0),)),IF(AND(E51="4H1",E53=5),INDEX(T!$E308:$E318,MATCH(TRUE,INDEX(T!$E308:$E318&gt;=E29,0),)),IF(AND(E51="4H1",E53=6),INDEX(T!$F308:$F321,MATCH(TRUE,INDEX(T!$F308:$F321&gt;=E29,0),)),IF(AND(E51="4H1",E53=7),INDEX(T!$G308:$G321,MATCH(TRUE,INDEX(T!$G308:$G321&gt;=E29,0),)),IF(AND(E51="4H1",E53=8),INDEX(T!$H308:$H321,MATCH(TRUE,INDEX(T!$H308:$H321&gt;=E29,0),)),IF(AND(E51="4H1",E53=9),INDEX(T!$I305:$I321,MATCH(TRUE,INDEX(T!$I308:$I321&gt;=E29,0),)),IF(AND(E51="4H1",E53=10),INDEX(T!$J308:$J321,MATCH(TRUE,INDEX(T!$J308:$J321&gt;=E29,0),)),IF(AND(E51="4H1",E53=11),INDEX(T!$K308:$K321,MATCH(TRUE,INDEX(T!$K308:$K321&gt;=E29,0),)),IF(AND(E51="4H1",E53=12),INDEX(T!$L$308:$L321,MATCH(TRUE,INDEX(T!$L$308:$L321&gt;=E29,0),)),IF(AND(E51="4H2",E53=2),INDEX(T!$B327:$B332,MATCH(TRUE,INDEX(T!$B327:$B332&gt;=E29,0),)),IF(AND(E51="4H2",E53=3),INDEX(T!$C$327:$C337,MATCH(TRUE,INDEX(T!$C$327:$C337&gt;=E29,0),)),IF(AND(E51="4H2",E53=4),INDEX(T!$D327:$D332,MATCH(TRUE,INDEX(T!$D327:$D332&gt;=E29,0),)),IF(AND(E51="4H2",E53=5),INDEX(T!$E327:$E337,MATCH(TRUE,INDEX(T!$E327:$E337&gt;=E29,0),)),IF(AND(E51="4H2",E53=6),INDEX(T!$F327:$F332,MATCH(TRUE,INDEX(T!$F327:$F332&gt;=E29,0),)),IF(AND(E51="4H2",E53=7),INDEX(T!$G327:$G337,MATCH(TRUE,INDEX(T!$G327:$G337&gt;=E29,0),)),IF(AND(E51="4H2",E53=8),INDEX(T!$H327:$H332,MATCH(TRUE,INDEX(T!$H327:$H332&gt;=E29,0),)),IF(AND(E51="4H2",E53=9),INDEX(T!$I327:$I337,MATCH(TRUE,INDEX(T!$I327:$I337&gt;=E29,0),)),IF(AND(E51="4H3",E53=2),INDEX(T!$B343:$B356,MATCH(TRUE,INDEX(T!$B343:$B356&gt;=E29,0),)),IF(AND(E51="4H3",E53=3),INDEX(T!$C$343:$C356,MATCH(TRUE,INDEX(T!$C$343:$C356&gt;=E29,0),)),IF(AND(E51="4H3",E53=4),INDEX(T!$D343:$D356,MATCH(TRUE,INDEX(T!$D343:$D356&gt;=E29,0),)),IF(AND(E51="4H3",E53=5),(INDEX(T!$E343:$E356,MATCH(TRUE,INDEX(T!$E343:$E356&gt;=E29,0),)),IF(AND(E51="4H3",E53=6),INDEX(T!$F343:$F356,MATCH(TRUE,INDEX(T!$F343:$F356&gt;=E29,0),)),IF(AND(E51="4H3",E53=7),INDEX(T!$G343:$G356,MATCH(TRUE,INDEX(T!$G343:$G356&gt;=E29,0),)),IF(AND(E51="4H3",E53=8),INDEX(T!$H343:$H356,MATCH(TRUE,INDEX(T!$H343:$H356&gt;=E29,0),)),IF(AND(E51="4H3",E53=9),INDEX(T!$I343:$I356,MATCH(TRUE,INDEX(T!$I343:$I356&gt;=E29,0),)),IF(AND(E51="4H3",E53=10),INDEX(T!$J343:$J356,MATCH(TRUE,INDEX(T!$J343:$J356&gt;=E29,0),)),IF(AND(E51="4H3",E53=11),INDEX(T!$K343:$K356,MATCH(TRUE,INDEX(T!$K343:$K356&gt;=E29,0),)),IF(AND(E51="4H3",E53=12),INDEX(T!$L$343:$L356,MATCH(TRUE,INDEX(T!$L$343:$L356&gt;=E29,0),)),IF(AND(E51="4H4",E53=2),INDEX(T!$B362:$B367,MATCH(TRUE,INDEX(T!$B362:$B367&gt;=E29,0),)),IF(AND(E51="4H4",E53=3),INDEX(T!$C$362:$C372,MATCH(TRUE,INDEX(T!$C$362:$C372&gt;=E29,0),)),IF(AND(E51="4H4",E53=4),INDEX(T!$D362:$D367,MATCH(TRUE,INDEX(T!$D362:$D367&gt;=E29,0),)),IF(AND(E51="4H4",E53=5),INDEX(T!$E362:$E372,MATCH(TRUE,INDEX(T!$E362:$E372&gt;=E29,0),)),IF(AND(E51="4H4",E53=6),INDEX(T!$F363:$F367,MATCH(TRUE,INDEX(T!$F363:$F367&gt;=E29,0),)),IF(AND(E51="4H4",E53=7),INDEX(T!$G363:$G372,MATCH(TRUE,INDEX(T!$G363:$G372&gt;=E29,0),))))))))))))))))))))))))))))))))))))))),IF(OR(E51="4J1",E51="4J2",E51="4J3",E51="4J4"),IF(AND(E51="4J1",E53=2),INDEX(T!$B378:$B385,MATCH(TRUE,INDEX(T!$B378:$B385&gt;=E29,0),)),IF(AND(E51="4J1",E53=3),INDEX(T!$C$378:$C385,MATCH(TRUE,INDEX(T!$C$378:$C385&gt;=E29,0),)),IF(AND(E51="4J1",E53=4),INDEX(T!$D378:$D385,MATCH(TRUE,INDEX(T!$D378:$D385&gt;=E29,0),)),IF(AND(E51="4J1",E53=5),INDEX(T!$E378:$E385,MATCH(TRUE,INDEX(T!$E378:$E385&gt;=E29,0),)),IF(AND(E51="4J1",E53=6),INDEX(T!$F378:$F391,MATCH(TRUE,INDEX(T!$F378:$F391&gt;=E29,0),)),IF(AND(E51="4J1",E53=7),INDEX(T!$G378:$G391,MATCH(TRUE,INDEX(T!$G378:$G391&gt;=E29,0),)),IF(AND(E51="4J1",E53=8),INDEX(T!$H378:$H391,MATCH(TRUE,INDEX(T!$H378:$H391&gt;=E29,0),)),IF(AND(E51="4J1",E53=9),INDEX(T!$I378:$I391,MATCH(TRUE,INDEX(T!$I378:$I391&gt;=E29,0),)),IF(AND(E51="4J1",E53=10),INDEX(T!$J378:$J391,MATCH(TRUE,INDEX(T!$J378:$J391&gt;=E29,0),)),IF(AND(E51="4J1",E53=11),INDEX(T!$K378:$K391,MATCH(TRUE,INDEX(T!$K378:$K391&gt;=E29,0),)),IF(AND(E51="4J1",E53=12),INDEX(T!$L$378:$L391,MATCH(TRUE,INDEX(T!$L$378:$L391&gt;=E29,0),)),IF(AND(E51="4J2",E53=2),INDEX(T!$B397:$B402,MATCH(TRUE,INDEX(T!$B397:$B402&gt;=E29,0),)),IF(AND(E51="4J2",E53=3),INDEX(T!$C$397:$C407,MATCH(TRUE,INDEX(T!$C$397:$C407&gt;=E29,0),)),IF(AND(E51="4J2",E53=4),INDEX(T!$D397:$D$402,MATCH(TRUE,INDEX(T!$D397:$D$402&gt;=E29,0),)),IF(AND(E51="4J2",E53=5),INDEX(T!$E397:$E407,MATCH(TRUE,INDEX(T!$E397:$E407&gt;=E29,0),)),IF(AND(E51="4J2",E53=6),INDEX(T!$F397:$F402,MATCH(TRUE,INDEX(T!$F397:$F402&gt;=E29,0),)),IF(AND(E51="4J2",E53=7),INDEX(T!$G397:$G407,MATCH(TRUE,INDEX(T!$G397:$G407&gt;=E29,0),)),IF(AND(E51="4J2",E53=8),INDEX(T!$H397:$H402,MATCH(TRUE,INDEX(T!$H397:$H402&gt;=E29,0),)),IF(AND(E51="4J2",E53=9),INDEX(T!$I397:$I407,MATCH(TRUE,INDEX(T!$I397:$I407&gt;=E29,0),)),IF(AND(E51="4J3",E53=2),INDEX(T!$B413:$B426,MATCH(TRUE,INDEX(T!$B413:$B426&gt;=E29,0),)),IF(AND(E51="4J3",E53=3),INDEX(T!$C$413:$C426,MATCH(TRUE,INDEX(T!$C$413:$C426&gt;=E29,0),)),IF(AND(E51="4J3",E53=4),INDEX(T!$D413:$D426,MATCH(TRUE,INDEX(T!$D413:$D426&gt;=E29,0),)),IF(AND(E51="4J3",E53=5),INDEX(T!$E413:$E426,MATCH(TRUE,INDEX(T!$E413:$E426&gt;=E29,0),)),IF(AND(E51="4J3",E53=6),INDEX(T!$F413:$F426,MATCH(TRUE,INDEX(T!$F413:$F426&gt;=E29,0),)),IF(AND(E51="4J3",E53=7),INDEX(T!$G413:$G426,MATCH(TRUE,INDEX(T!$G413:$G426&gt;=E29,0),)),IF(AND(E51="4J3",E53=8),INDEX(T!$H413:$H426,MATCH(TRUE,INDEX(T!$H413:$H426&gt;=E29,0),)),IF(AND(E51="4J3",E53=9),INDEX(T!$I413:$I426,MATCH(TRUE,INDEX(T!$I413:$I426&gt;=E29,0),)),IF(AND(E51="4J3",E53=10),INDEX(T!$J413:$J426,MATCH(TRUE,INDEX(T!$J413:$J426&gt;=E29,0),)),IF(AND(E51="4J3",E53=11),INDEX(T!$K413:$K426,MATCH(TRUE,INDEX(T!$K413:$K426&gt;=E29,0),)),IF(AND(E51="4J3",E53=12),INDEX(T!$L$413:$L426,MATCH(TRUE,INDEX(T!$L$413:$L426&gt;=E29,0),)),IF(AND(E51="4J4",E53=2),INDEX(T!$B432:$B437,MATCH(TRUE,INDEX(T!$B432:$B437&gt;=E29,0),)),IF(AND(E51="4J4",E53=3),INDEX(T!$C$432:$C442,MATCH(TRUE,INDEX(T!$C$432:$C442&gt;=E29,0),)),IF(AND(E51="4J4",E53=4),INDEX(T!$D872:$D877,MATCH(TRUE,INDEX(T!$D872:$D877&gt;=E29,0),)),IF(AND(E51="4J4",E53=5),INDEX(T!$E432:$E442,MATCH(TRUE,INDEX(T!$E432:$E442&gt;=E29,0),)),IF(AND(E51="4J4",E53=6),INDEX(T!$F432:$F437,MATCH(TRUE,INDEX(T!$F432:$F437&gt;=E29,0),)),IF(AND(E51="4J4",E53=7),INDEX(T!$G432:$G442,MATCH(TRUE,INDEX(T!$G432:$G442&gt;=E29,0),)))))))))))))))))))))))))))))))))))))),"")))</f>
        <v/>
      </c>
      <c r="F77" s="141" t="str" cm="1">
        <f t="array" aca="1" ref="F77" ca="1">IF(F27="","",IF(OR(F51="4H1",F51="4H2",F51="4H3",F51="4H4"),IF(AND(F51="4H1",F53=2),INDEX(T!$B308:$B315,MATCH(TRUE,INDEX(T!$B308:$B315&gt;=F29,0),)),IF(AND(F51="4H1",F53=3),INDEX(T!$C$308:$C315,MATCH(TRUE,INDEX(T!$C$308:$C315&gt;=F29,0),)),IF(AND(F51="4H1",F53=4),INDEX(T!$D308:$D318,MATCH(TRUE,INDEX(T!$D308:$D318&gt;=F29,0),)),IF(AND(F51="4H1",F53=5),INDEX(T!$E308:$E318,MATCH(TRUE,INDEX(T!$E308:$E318&gt;=F29,0),)),IF(AND(F51="4H1",F53=6),INDEX(T!$F308:$F321,MATCH(TRUE,INDEX(T!$F308:$F321&gt;=F29,0),)),IF(AND(F51="4H1",F53=7),INDEX(T!$G308:$G321,MATCH(TRUE,INDEX(T!$G308:$G321&gt;=F29,0),)),IF(AND(F51="4H1",F53=8),INDEX(T!$H308:$H321,MATCH(TRUE,INDEX(T!$H308:$H321&gt;=F29,0),)),IF(AND(F51="4H1",F53=9),INDEX(T!$I305:$I321,MATCH(TRUE,INDEX(T!$I308:$I321&gt;=F29,0),)),IF(AND(F51="4H1",F53=10),INDEX(T!$J308:$J321,MATCH(TRUE,INDEX(T!$J308:$J321&gt;=F29,0),)),IF(AND(F51="4H1",F53=11),INDEX(T!$K308:$K321,MATCH(TRUE,INDEX(T!$K308:$K321&gt;=F29,0),)),IF(AND(F51="4H1",F53=12),INDEX(T!$L$308:$L321,MATCH(TRUE,INDEX(T!$L$308:$L321&gt;=F29,0),)),IF(AND(F51="4H2",F53=2),INDEX(T!$B327:$B332,MATCH(TRUE,INDEX(T!$B327:$B332&gt;=F29,0),)),IF(AND(F51="4H2",F53=3),INDEX(T!$C$327:$C337,MATCH(TRUE,INDEX(T!$C$327:$C337&gt;=F29,0),)),IF(AND(F51="4H2",F53=4),INDEX(T!$D327:$D332,MATCH(TRUE,INDEX(T!$D327:$D332&gt;=F29,0),)),IF(AND(F51="4H2",F53=5),INDEX(T!$E327:$E337,MATCH(TRUE,INDEX(T!$E327:$E337&gt;=F29,0),)),IF(AND(F51="4H2",F53=6),INDEX(T!$F327:$F332,MATCH(TRUE,INDEX(T!$F327:$F332&gt;=F29,0),)),IF(AND(F51="4H2",F53=7),INDEX(T!$G327:$G337,MATCH(TRUE,INDEX(T!$G327:$G337&gt;=F29,0),)),IF(AND(F51="4H2",F53=8),INDEX(T!$H327:$H332,MATCH(TRUE,INDEX(T!$H327:$H332&gt;=F29,0),)),IF(AND(F51="4H2",F53=9),INDEX(T!$I327:$I337,MATCH(TRUE,INDEX(T!$I327:$I337&gt;=F29,0),)),IF(AND(F51="4H3",F53=2),INDEX(T!$B343:$B356,MATCH(TRUE,INDEX(T!$B343:$B356&gt;=F29,0),)),IF(AND(F51="4H3",F53=3),INDEX(T!$C$343:$C356,MATCH(TRUE,INDEX(T!$C$343:$C356&gt;=F29,0),)),IF(AND(F51="4H3",F53=4),INDEX(T!$D343:$D356,MATCH(TRUE,INDEX(T!$D343:$D356&gt;=F29,0),)),IF(AND(F51="4H3",F53=5),(INDEX(T!$E343:$E356,MATCH(TRUE,INDEX(T!$E343:$E356&gt;=F29,0),)),IF(AND(F51="4H3",F53=6),INDEX(T!$F343:$F356,MATCH(TRUE,INDEX(T!$F343:$F356&gt;=F29,0),)),IF(AND(F51="4H3",F53=7),INDEX(T!$G343:$G356,MATCH(TRUE,INDEX(T!$G343:$G356&gt;=F29,0),)),IF(AND(F51="4H3",F53=8),INDEX(T!$H343:$H356,MATCH(TRUE,INDEX(T!$H343:$H356&gt;=F29,0),)),IF(AND(F51="4H3",F53=9),INDEX(T!$I343:$I356,MATCH(TRUE,INDEX(T!$I343:$I356&gt;=F29,0),)),IF(AND(F51="4H3",F53=10),INDEX(T!$J343:$J356,MATCH(TRUE,INDEX(T!$J343:$J356&gt;=F29,0),)),IF(AND(F51="4H3",F53=11),INDEX(T!$K343:$K356,MATCH(TRUE,INDEX(T!$K343:$K356&gt;=F29,0),)),IF(AND(F51="4H3",F53=12),INDEX(T!$L$343:$L356,MATCH(TRUE,INDEX(T!$L$343:$L356&gt;=F29,0),)),IF(AND(F51="4H4",F53=2),INDEX(T!$B362:$B367,MATCH(TRUE,INDEX(T!$B362:$B367&gt;=F29,0),)),IF(AND(F51="4H4",F53=3),INDEX(T!$C$362:$C372,MATCH(TRUE,INDEX(T!$C$362:$C372&gt;=F29,0),)),IF(AND(F51="4H4",F53=4),INDEX(T!$D362:$D367,MATCH(TRUE,INDEX(T!$D362:$D367&gt;=F29,0),)),IF(AND(F51="4H4",F53=5),INDEX(T!$E362:$E372,MATCH(TRUE,INDEX(T!$E362:$E372&gt;=F29,0),)),IF(AND(F51="4H4",F53=6),INDEX(T!$F363:$F367,MATCH(TRUE,INDEX(T!$F363:$F367&gt;=F29,0),)),IF(AND(F51="4H4",F53=7),INDEX(T!$G363:$G372,MATCH(TRUE,INDEX(T!$G363:$G372&gt;=F29,0),))))))))))))))))))))))))))))))))))))))),IF(OR(F51="4J1",F51="4J2",F51="4J3",F51="4J4"),IF(AND(F51="4J1",F53=2),INDEX(T!$B378:$B385,MATCH(TRUE,INDEX(T!$B378:$B385&gt;=F29,0),)),IF(AND(F51="4J1",F53=3),INDEX(T!$C$378:$C385,MATCH(TRUE,INDEX(T!$C$378:$C385&gt;=F29,0),)),IF(AND(F51="4J1",F53=4),INDEX(T!$D378:$D385,MATCH(TRUE,INDEX(T!$D378:$D385&gt;=F29,0),)),IF(AND(F51="4J1",F53=5),INDEX(T!$E378:$E385,MATCH(TRUE,INDEX(T!$E378:$E385&gt;=F29,0),)),IF(AND(F51="4J1",F53=6),INDEX(T!$F378:$F391,MATCH(TRUE,INDEX(T!$F378:$F391&gt;=F29,0),)),IF(AND(F51="4J1",F53=7),INDEX(T!$G378:$G391,MATCH(TRUE,INDEX(T!$G378:$G391&gt;=F29,0),)),IF(AND(F51="4J1",F53=8),INDEX(T!$H378:$H391,MATCH(TRUE,INDEX(T!$H378:$H391&gt;=F29,0),)),IF(AND(F51="4J1",F53=9),INDEX(T!$I378:$I391,MATCH(TRUE,INDEX(T!$I378:$I391&gt;=F29,0),)),IF(AND(F51="4J1",F53=10),INDEX(T!$J378:$J391,MATCH(TRUE,INDEX(T!$J378:$J391&gt;=F29,0),)),IF(AND(F51="4J1",F53=11),INDEX(T!$K378:$K391,MATCH(TRUE,INDEX(T!$K378:$K391&gt;=F29,0),)),IF(AND(F51="4J1",F53=12),INDEX(T!$L$378:$L391,MATCH(TRUE,INDEX(T!$L$378:$L391&gt;=F29,0),)),IF(AND(F51="4J2",F53=2),INDEX(T!$B397:$B402,MATCH(TRUE,INDEX(T!$B397:$B402&gt;=F29,0),)),IF(AND(F51="4J2",F53=3),INDEX(T!$C$397:$C407,MATCH(TRUE,INDEX(T!$C$397:$C407&gt;=F29,0),)),IF(AND(F51="4J2",F53=4),INDEX(T!$D397:$D$402,MATCH(TRUE,INDEX(T!$D397:$D$402&gt;=F29,0),)),IF(AND(F51="4J2",F53=5),INDEX(T!$E397:$E407,MATCH(TRUE,INDEX(T!$E397:$E407&gt;=F29,0),)),IF(AND(F51="4J2",F53=6),INDEX(T!$F397:$F402,MATCH(TRUE,INDEX(T!$F397:$F402&gt;=F29,0),)),IF(AND(F51="4J2",F53=7),INDEX(T!$G397:$G407,MATCH(TRUE,INDEX(T!$G397:$G407&gt;=F29,0),)),IF(AND(F51="4J2",F53=8),INDEX(T!$H397:$H402,MATCH(TRUE,INDEX(T!$H397:$H402&gt;=F29,0),)),IF(AND(F51="4J2",F53=9),INDEX(T!$I397:$I407,MATCH(TRUE,INDEX(T!$I397:$I407&gt;=F29,0),)),IF(AND(F51="4J3",F53=2),INDEX(T!$B413:$B426,MATCH(TRUE,INDEX(T!$B413:$B426&gt;=F29,0),)),IF(AND(F51="4J3",F53=3),INDEX(T!$C$413:$C426,MATCH(TRUE,INDEX(T!$C$413:$C426&gt;=F29,0),)),IF(AND(F51="4J3",F53=4),INDEX(T!$D413:$D426,MATCH(TRUE,INDEX(T!$D413:$D426&gt;=F29,0),)),IF(AND(F51="4J3",F53=5),INDEX(T!$E413:$E426,MATCH(TRUE,INDEX(T!$E413:$E426&gt;=F29,0),)),IF(AND(F51="4J3",F53=6),INDEX(T!$F413:$F426,MATCH(TRUE,INDEX(T!$F413:$F426&gt;=F29,0),)),IF(AND(F51="4J3",F53=7),INDEX(T!$G413:$G426,MATCH(TRUE,INDEX(T!$G413:$G426&gt;=F29,0),)),IF(AND(F51="4J3",F53=8),INDEX(T!$H413:$H426,MATCH(TRUE,INDEX(T!$H413:$H426&gt;=F29,0),)),IF(AND(F51="4J3",F53=9),INDEX(T!$I413:$I426,MATCH(TRUE,INDEX(T!$I413:$I426&gt;=F29,0),)),IF(AND(F51="4J3",F53=10),INDEX(T!$J413:$J426,MATCH(TRUE,INDEX(T!$J413:$J426&gt;=F29,0),)),IF(AND(F51="4J3",F53=11),INDEX(T!$K413:$K426,MATCH(TRUE,INDEX(T!$K413:$K426&gt;=F29,0),)),IF(AND(F51="4J3",F53=12),INDEX(T!$L$413:$L426,MATCH(TRUE,INDEX(T!$L$413:$L426&gt;=F29,0),)),IF(AND(F51="4J4",F53=2),INDEX(T!$B432:$B437,MATCH(TRUE,INDEX(T!$B432:$B437&gt;=F29,0),)),IF(AND(F51="4J4",F53=3),INDEX(T!$C$432:$C442,MATCH(TRUE,INDEX(T!$C$432:$C442&gt;=F29,0),)),IF(AND(F51="4J4",F53=4),INDEX(T!$D872:$D877,MATCH(TRUE,INDEX(T!$D872:$D877&gt;=F29,0),)),IF(AND(F51="4J4",F53=5),INDEX(T!$E432:$E442,MATCH(TRUE,INDEX(T!$E432:$E442&gt;=F29,0),)),IF(AND(F51="4J4",F53=6),INDEX(T!$F432:$F437,MATCH(TRUE,INDEX(T!$F432:$F437&gt;=F29,0),)),IF(AND(F51="4J4",F53=7),INDEX(T!$G432:$G442,MATCH(TRUE,INDEX(T!$G432:$G442&gt;=F29,0),)))))))))))))))))))))))))))))))))))))),"")))</f>
        <v/>
      </c>
      <c r="G77" s="141" t="str" cm="1">
        <f t="array" aca="1" ref="G77" ca="1">IF(G27="","",IF(OR(G51="4H1",G51="4H2",G51="4H3",G51="4H4"),IF(AND(G51="4H1",G53=2),INDEX(T!$B308:$B315,MATCH(TRUE,INDEX(T!$B308:$B315&gt;=G29,0),)),IF(AND(G51="4H1",G53=3),INDEX(T!$C$308:$C315,MATCH(TRUE,INDEX(T!$C$308:$C315&gt;=G29,0),)),IF(AND(G51="4H1",G53=4),INDEX(T!$D308:$D318,MATCH(TRUE,INDEX(T!$D308:$D318&gt;=G29,0),)),IF(AND(G51="4H1",G53=5),INDEX(T!$E308:$E318,MATCH(TRUE,INDEX(T!$E308:$E318&gt;=G29,0),)),IF(AND(G51="4H1",G53=6),INDEX(T!$F308:$F321,MATCH(TRUE,INDEX(T!$F308:$F321&gt;=G29,0),)),IF(AND(G51="4H1",G53=7),INDEX(T!$G308:$G321,MATCH(TRUE,INDEX(T!$G308:$G321&gt;=G29,0),)),IF(AND(G51="4H1",G53=8),INDEX(T!$H308:$H321,MATCH(TRUE,INDEX(T!$H308:$H321&gt;=G29,0),)),IF(AND(G51="4H1",G53=9),INDEX(T!$I305:$I321,MATCH(TRUE,INDEX(T!$I308:$I321&gt;=G29,0),)),IF(AND(G51="4H1",G53=10),INDEX(T!$J308:$J321,MATCH(TRUE,INDEX(T!$J308:$J321&gt;=G29,0),)),IF(AND(G51="4H1",G53=11),INDEX(T!$K308:$K321,MATCH(TRUE,INDEX(T!$K308:$K321&gt;=G29,0),)),IF(AND(G51="4H1",G53=12),INDEX(T!$L$308:$L321,MATCH(TRUE,INDEX(T!$L$308:$L321&gt;=G29,0),)),IF(AND(G51="4H2",G53=2),INDEX(T!$B327:$B332,MATCH(TRUE,INDEX(T!$B327:$B332&gt;=G29,0),)),IF(AND(G51="4H2",G53=3),INDEX(T!$C$327:$C337,MATCH(TRUE,INDEX(T!$C$327:$C337&gt;=G29,0),)),IF(AND(G51="4H2",G53=4),INDEX(T!$D327:$D332,MATCH(TRUE,INDEX(T!$D327:$D332&gt;=G29,0),)),IF(AND(G51="4H2",G53=5),INDEX(T!$E327:$E337,MATCH(TRUE,INDEX(T!$E327:$E337&gt;=G29,0),)),IF(AND(G51="4H2",G53=6),INDEX(T!$F327:$F332,MATCH(TRUE,INDEX(T!$F327:$F332&gt;=G29,0),)),IF(AND(G51="4H2",G53=7),INDEX(T!$G327:$G337,MATCH(TRUE,INDEX(T!$G327:$G337&gt;=G29,0),)),IF(AND(G51="4H2",G53=8),INDEX(T!$H327:$H332,MATCH(TRUE,INDEX(T!$H327:$H332&gt;=G29,0),)),IF(AND(G51="4H2",G53=9),INDEX(T!$I327:$I337,MATCH(TRUE,INDEX(T!$I327:$I337&gt;=G29,0),)),IF(AND(G51="4H3",G53=2),INDEX(T!$B343:$B356,MATCH(TRUE,INDEX(T!$B343:$B356&gt;=G29,0),)),IF(AND(G51="4H3",G53=3),INDEX(T!$C$343:$C356,MATCH(TRUE,INDEX(T!$C$343:$C356&gt;=G29,0),)),IF(AND(G51="4H3",G53=4),INDEX(T!$D343:$D356,MATCH(TRUE,INDEX(T!$D343:$D356&gt;=G29,0),)),IF(AND(G51="4H3",G53=5),(INDEX(T!$E343:$E356,MATCH(TRUE,INDEX(T!$E343:$E356&gt;=G29,0),)),IF(AND(G51="4H3",G53=6),INDEX(T!$F343:$F356,MATCH(TRUE,INDEX(T!$F343:$F356&gt;=G29,0),)),IF(AND(G51="4H3",G53=7),INDEX(T!$G343:$G356,MATCH(TRUE,INDEX(T!$G343:$G356&gt;=G29,0),)),IF(AND(G51="4H3",G53=8),INDEX(T!$H343:$H356,MATCH(TRUE,INDEX(T!$H343:$H356&gt;=G29,0),)),IF(AND(G51="4H3",G53=9),INDEX(T!$I343:$I356,MATCH(TRUE,INDEX(T!$I343:$I356&gt;=G29,0),)),IF(AND(G51="4H3",G53=10),INDEX(T!$J343:$J356,MATCH(TRUE,INDEX(T!$J343:$J356&gt;=G29,0),)),IF(AND(G51="4H3",G53=11),INDEX(T!$K343:$K356,MATCH(TRUE,INDEX(T!$K343:$K356&gt;=G29,0),)),IF(AND(G51="4H3",G53=12),INDEX(T!$L$343:$L356,MATCH(TRUE,INDEX(T!$L$343:$L356&gt;=G29,0),)),IF(AND(G51="4H4",G53=2),INDEX(T!$B362:$B367,MATCH(TRUE,INDEX(T!$B362:$B367&gt;=G29,0),)),IF(AND(G51="4H4",G53=3),INDEX(T!$C$362:$C372,MATCH(TRUE,INDEX(T!$C$362:$C372&gt;=G29,0),)),IF(AND(G51="4H4",G53=4),INDEX(T!$D362:$D367,MATCH(TRUE,INDEX(T!$D362:$D367&gt;=G29,0),)),IF(AND(G51="4H4",G53=5),INDEX(T!$E362:$E372,MATCH(TRUE,INDEX(T!$E362:$E372&gt;=G29,0),)),IF(AND(G51="4H4",G53=6),INDEX(T!$F363:$F367,MATCH(TRUE,INDEX(T!$F363:$F367&gt;=G29,0),)),IF(AND(G51="4H4",G53=7),INDEX(T!$G363:$G372,MATCH(TRUE,INDEX(T!$G363:$G372&gt;=G29,0),))))))))))))))))))))))))))))))))))))))),IF(OR(G51="4J1",G51="4J2",G51="4J3",G51="4J4"),IF(AND(G51="4J1",G53=2),INDEX(T!$B378:$B385,MATCH(TRUE,INDEX(T!$B378:$B385&gt;=G29,0),)),IF(AND(G51="4J1",G53=3),INDEX(T!$C$378:$C385,MATCH(TRUE,INDEX(T!$C$378:$C385&gt;=G29,0),)),IF(AND(G51="4J1",G53=4),INDEX(T!$D378:$D385,MATCH(TRUE,INDEX(T!$D378:$D385&gt;=G29,0),)),IF(AND(G51="4J1",G53=5),INDEX(T!$E378:$E385,MATCH(TRUE,INDEX(T!$E378:$E385&gt;=G29,0),)),IF(AND(G51="4J1",G53=6),INDEX(T!$F378:$F391,MATCH(TRUE,INDEX(T!$F378:$F391&gt;=G29,0),)),IF(AND(G51="4J1",G53=7),INDEX(T!$G378:$G391,MATCH(TRUE,INDEX(T!$G378:$G391&gt;=G29,0),)),IF(AND(G51="4J1",G53=8),INDEX(T!$H378:$H391,MATCH(TRUE,INDEX(T!$H378:$H391&gt;=G29,0),)),IF(AND(G51="4J1",G53=9),INDEX(T!$I378:$I391,MATCH(TRUE,INDEX(T!$I378:$I391&gt;=G29,0),)),IF(AND(G51="4J1",G53=10),INDEX(T!$J378:$J391,MATCH(TRUE,INDEX(T!$J378:$J391&gt;=G29,0),)),IF(AND(G51="4J1",G53=11),INDEX(T!$K378:$K391,MATCH(TRUE,INDEX(T!$K378:$K391&gt;=G29,0),)),IF(AND(G51="4J1",G53=12),INDEX(T!$L$378:$L391,MATCH(TRUE,INDEX(T!$L$378:$L391&gt;=G29,0),)),IF(AND(G51="4J2",G53=2),INDEX(T!$B397:$B402,MATCH(TRUE,INDEX(T!$B397:$B402&gt;=G29,0),)),IF(AND(G51="4J2",G53=3),INDEX(T!$C$397:$C407,MATCH(TRUE,INDEX(T!$C$397:$C407&gt;=G29,0),)),IF(AND(G51="4J2",G53=4),INDEX(T!$D397:$D$402,MATCH(TRUE,INDEX(T!$D397:$D$402&gt;=G29,0),)),IF(AND(G51="4J2",G53=5),INDEX(T!$E397:$E407,MATCH(TRUE,INDEX(T!$E397:$E407&gt;=G29,0),)),IF(AND(G51="4J2",G53=6),INDEX(T!$F397:$F402,MATCH(TRUE,INDEX(T!$F397:$F402&gt;=G29,0),)),IF(AND(G51="4J2",G53=7),INDEX(T!$G397:$G407,MATCH(TRUE,INDEX(T!$G397:$G407&gt;=G29,0),)),IF(AND(G51="4J2",G53=8),INDEX(T!$H397:$H402,MATCH(TRUE,INDEX(T!$H397:$H402&gt;=G29,0),)),IF(AND(G51="4J2",G53=9),INDEX(T!$I397:$I407,MATCH(TRUE,INDEX(T!$I397:$I407&gt;=G29,0),)),IF(AND(G51="4J3",G53=2),INDEX(T!$B413:$B426,MATCH(TRUE,INDEX(T!$B413:$B426&gt;=G29,0),)),IF(AND(G51="4J3",G53=3),INDEX(T!$C$413:$C426,MATCH(TRUE,INDEX(T!$C$413:$C426&gt;=G29,0),)),IF(AND(G51="4J3",G53=4),INDEX(T!$D413:$D426,MATCH(TRUE,INDEX(T!$D413:$D426&gt;=G29,0),)),IF(AND(G51="4J3",G53=5),INDEX(T!$E413:$E426,MATCH(TRUE,INDEX(T!$E413:$E426&gt;=G29,0),)),IF(AND(G51="4J3",G53=6),INDEX(T!$F413:$F426,MATCH(TRUE,INDEX(T!$F413:$F426&gt;=G29,0),)),IF(AND(G51="4J3",G53=7),INDEX(T!$G413:$G426,MATCH(TRUE,INDEX(T!$G413:$G426&gt;=G29,0),)),IF(AND(G51="4J3",G53=8),INDEX(T!$H413:$H426,MATCH(TRUE,INDEX(T!$H413:$H426&gt;=G29,0),)),IF(AND(G51="4J3",G53=9),INDEX(T!$I413:$I426,MATCH(TRUE,INDEX(T!$I413:$I426&gt;=G29,0),)),IF(AND(G51="4J3",G53=10),INDEX(T!$J413:$J426,MATCH(TRUE,INDEX(T!$J413:$J426&gt;=G29,0),)),IF(AND(G51="4J3",G53=11),INDEX(T!$K413:$K426,MATCH(TRUE,INDEX(T!$K413:$K426&gt;=G29,0),)),IF(AND(G51="4J3",G53=12),INDEX(T!$L$413:$L426,MATCH(TRUE,INDEX(T!$L$413:$L426&gt;=G29,0),)),IF(AND(G51="4J4",G53=2),INDEX(T!$B432:$B437,MATCH(TRUE,INDEX(T!$B432:$B437&gt;=G29,0),)),IF(AND(G51="4J4",G53=3),INDEX(T!$C$432:$C442,MATCH(TRUE,INDEX(T!$C$432:$C442&gt;=G29,0),)),IF(AND(G51="4J4",G53=4),INDEX(T!$D872:$D877,MATCH(TRUE,INDEX(T!$D872:$D877&gt;=G29,0),)),IF(AND(G51="4J4",G53=5),INDEX(T!$E432:$E442,MATCH(TRUE,INDEX(T!$E432:$E442&gt;=G29,0),)),IF(AND(G51="4J4",G53=6),INDEX(T!$F432:$F437,MATCH(TRUE,INDEX(T!$F432:$F437&gt;=G29,0),)),IF(AND(G51="4J4",G53=7),INDEX(T!$G432:$G442,MATCH(TRUE,INDEX(T!$G432:$G442&gt;=G29,0),)))))))))))))))))))))))))))))))))))))),"")))</f>
        <v/>
      </c>
      <c r="H77" s="141" t="str" cm="1">
        <f t="array" aca="1" ref="H77" ca="1">IF(H27="","",IF(OR(H51="4H1",H51="4H2",H51="4H3",H51="4H4"),IF(AND(H51="4H1",H53=2),INDEX(T!$B308:$B315,MATCH(TRUE,INDEX(T!$B308:$B315&gt;=H29,0),)),IF(AND(H51="4H1",H53=3),INDEX(T!$C$308:$C315,MATCH(TRUE,INDEX(T!$C$308:$C315&gt;=H29,0),)),IF(AND(H51="4H1",H53=4),INDEX(T!$D308:$D318,MATCH(TRUE,INDEX(T!$D308:$D318&gt;=H29,0),)),IF(AND(H51="4H1",H53=5),INDEX(T!$E308:$E318,MATCH(TRUE,INDEX(T!$E308:$E318&gt;=H29,0),)),IF(AND(H51="4H1",H53=6),INDEX(T!$F308:$F321,MATCH(TRUE,INDEX(T!$F308:$F321&gt;=H29,0),)),IF(AND(H51="4H1",H53=7),INDEX(T!$G308:$G321,MATCH(TRUE,INDEX(T!$G308:$G321&gt;=H29,0),)),IF(AND(H51="4H1",H53=8),INDEX(T!$H308:$H321,MATCH(TRUE,INDEX(T!$H308:$H321&gt;=H29,0),)),IF(AND(H51="4H1",H53=9),INDEX(T!$I305:$I321,MATCH(TRUE,INDEX(T!$I308:$I321&gt;=H29,0),)),IF(AND(H51="4H1",H53=10),INDEX(T!$J308:$J321,MATCH(TRUE,INDEX(T!$J308:$J321&gt;=H29,0),)),IF(AND(H51="4H1",H53=11),INDEX(T!$K308:$K321,MATCH(TRUE,INDEX(T!$K308:$K321&gt;=H29,0),)),IF(AND(H51="4H1",H53=12),INDEX(T!$L$308:$L321,MATCH(TRUE,INDEX(T!$L$308:$L321&gt;=H29,0),)),IF(AND(H51="4H2",H53=2),INDEX(T!$B327:$B332,MATCH(TRUE,INDEX(T!$B327:$B332&gt;=H29,0),)),IF(AND(H51="4H2",H53=3),INDEX(T!$C$327:$C337,MATCH(TRUE,INDEX(T!$C$327:$C337&gt;=H29,0),)),IF(AND(H51="4H2",H53=4),INDEX(T!$D327:$D332,MATCH(TRUE,INDEX(T!$D327:$D332&gt;=H29,0),)),IF(AND(H51="4H2",H53=5),INDEX(T!$E327:$E337,MATCH(TRUE,INDEX(T!$E327:$E337&gt;=H29,0),)),IF(AND(H51="4H2",H53=6),INDEX(T!$F327:$F332,MATCH(TRUE,INDEX(T!$F327:$F332&gt;=H29,0),)),IF(AND(H51="4H2",H53=7),INDEX(T!$G327:$G337,MATCH(TRUE,INDEX(T!$G327:$G337&gt;=H29,0),)),IF(AND(H51="4H2",H53=8),INDEX(T!$H327:$H332,MATCH(TRUE,INDEX(T!$H327:$H332&gt;=H29,0),)),IF(AND(H51="4H2",H53=9),INDEX(T!$I327:$I337,MATCH(TRUE,INDEX(T!$I327:$I337&gt;=H29,0),)),IF(AND(H51="4H3",H53=2),INDEX(T!$B343:$B356,MATCH(TRUE,INDEX(T!$B343:$B356&gt;=H29,0),)),IF(AND(H51="4H3",H53=3),INDEX(T!$C$343:$C356,MATCH(TRUE,INDEX(T!$C$343:$C356&gt;=H29,0),)),IF(AND(H51="4H3",H53=4),INDEX(T!$D343:$D356,MATCH(TRUE,INDEX(T!$D343:$D356&gt;=H29,0),)),IF(AND(H51="4H3",H53=5),(INDEX(T!$E343:$E356,MATCH(TRUE,INDEX(T!$E343:$E356&gt;=H29,0),)),IF(AND(H51="4H3",H53=6),INDEX(T!$F343:$F356,MATCH(TRUE,INDEX(T!$F343:$F356&gt;=H29,0),)),IF(AND(H51="4H3",H53=7),INDEX(T!$G343:$G356,MATCH(TRUE,INDEX(T!$G343:$G356&gt;=H29,0),)),IF(AND(H51="4H3",H53=8),INDEX(T!$H343:$H356,MATCH(TRUE,INDEX(T!$H343:$H356&gt;=H29,0),)),IF(AND(H51="4H3",H53=9),INDEX(T!$I343:$I356,MATCH(TRUE,INDEX(T!$I343:$I356&gt;=H29,0),)),IF(AND(H51="4H3",H53=10),INDEX(T!$J343:$J356,MATCH(TRUE,INDEX(T!$J343:$J356&gt;=H29,0),)),IF(AND(H51="4H3",H53=11),INDEX(T!$K343:$K356,MATCH(TRUE,INDEX(T!$K343:$K356&gt;=H29,0),)),IF(AND(H51="4H3",H53=12),INDEX(T!$L$343:$L356,MATCH(TRUE,INDEX(T!$L$343:$L356&gt;=H29,0),)),IF(AND(H51="4H4",H53=2),INDEX(T!$B362:$B367,MATCH(TRUE,INDEX(T!$B362:$B367&gt;=H29,0),)),IF(AND(H51="4H4",H53=3),INDEX(T!$C$362:$C372,MATCH(TRUE,INDEX(T!$C$362:$C372&gt;=H29,0),)),IF(AND(H51="4H4",H53=4),INDEX(T!$D362:$D367,MATCH(TRUE,INDEX(T!$D362:$D367&gt;=H29,0),)),IF(AND(H51="4H4",H53=5),INDEX(T!$E362:$E372,MATCH(TRUE,INDEX(T!$E362:$E372&gt;=H29,0),)),IF(AND(H51="4H4",H53=6),INDEX(T!$F363:$F367,MATCH(TRUE,INDEX(T!$F363:$F367&gt;=H29,0),)),IF(AND(H51="4H4",H53=7),INDEX(T!$G363:$G372,MATCH(TRUE,INDEX(T!$G363:$G372&gt;=H29,0),))))))))))))))))))))))))))))))))))))))),IF(OR(H51="4J1",H51="4J2",H51="4J3",H51="4J4"),IF(AND(H51="4J1",H53=2),INDEX(T!$B378:$B385,MATCH(TRUE,INDEX(T!$B378:$B385&gt;=H29,0),)),IF(AND(H51="4J1",H53=3),INDEX(T!$C$378:$C385,MATCH(TRUE,INDEX(T!$C$378:$C385&gt;=H29,0),)),IF(AND(H51="4J1",H53=4),INDEX(T!$D378:$D385,MATCH(TRUE,INDEX(T!$D378:$D385&gt;=H29,0),)),IF(AND(H51="4J1",H53=5),INDEX(T!$E378:$E385,MATCH(TRUE,INDEX(T!$E378:$E385&gt;=H29,0),)),IF(AND(H51="4J1",H53=6),INDEX(T!$F378:$F391,MATCH(TRUE,INDEX(T!$F378:$F391&gt;=H29,0),)),IF(AND(H51="4J1",H53=7),INDEX(T!$G378:$G391,MATCH(TRUE,INDEX(T!$G378:$G391&gt;=H29,0),)),IF(AND(H51="4J1",H53=8),INDEX(T!$H378:$H391,MATCH(TRUE,INDEX(T!$H378:$H391&gt;=H29,0),)),IF(AND(H51="4J1",H53=9),INDEX(T!$I378:$I391,MATCH(TRUE,INDEX(T!$I378:$I391&gt;=H29,0),)),IF(AND(H51="4J1",H53=10),INDEX(T!$J378:$J391,MATCH(TRUE,INDEX(T!$J378:$J391&gt;=H29,0),)),IF(AND(H51="4J1",H53=11),INDEX(T!$K378:$K391,MATCH(TRUE,INDEX(T!$K378:$K391&gt;=H29,0),)),IF(AND(H51="4J1",H53=12),INDEX(T!$L$378:$L391,MATCH(TRUE,INDEX(T!$L$378:$L391&gt;=H29,0),)),IF(AND(H51="4J2",H53=2),INDEX(T!$B397:$B402,MATCH(TRUE,INDEX(T!$B397:$B402&gt;=H29,0),)),IF(AND(H51="4J2",H53=3),INDEX(T!$C$397:$C407,MATCH(TRUE,INDEX(T!$C$397:$C407&gt;=H29,0),)),IF(AND(H51="4J2",H53=4),INDEX(T!$D397:$D$402,MATCH(TRUE,INDEX(T!$D397:$D$402&gt;=H29,0),)),IF(AND(H51="4J2",H53=5),INDEX(T!$E397:$E407,MATCH(TRUE,INDEX(T!$E397:$E407&gt;=H29,0),)),IF(AND(H51="4J2",H53=6),INDEX(T!$F397:$F402,MATCH(TRUE,INDEX(T!$F397:$F402&gt;=H29,0),)),IF(AND(H51="4J2",H53=7),INDEX(T!$G397:$G407,MATCH(TRUE,INDEX(T!$G397:$G407&gt;=H29,0),)),IF(AND(H51="4J2",H53=8),INDEX(T!$H397:$H402,MATCH(TRUE,INDEX(T!$H397:$H402&gt;=H29,0),)),IF(AND(H51="4J2",H53=9),INDEX(T!$I397:$I407,MATCH(TRUE,INDEX(T!$I397:$I407&gt;=H29,0),)),IF(AND(H51="4J3",H53=2),INDEX(T!$B413:$B426,MATCH(TRUE,INDEX(T!$B413:$B426&gt;=H29,0),)),IF(AND(H51="4J3",H53=3),INDEX(T!$C$413:$C426,MATCH(TRUE,INDEX(T!$C$413:$C426&gt;=H29,0),)),IF(AND(H51="4J3",H53=4),INDEX(T!$D413:$D426,MATCH(TRUE,INDEX(T!$D413:$D426&gt;=H29,0),)),IF(AND(H51="4J3",H53=5),INDEX(T!$E413:$E426,MATCH(TRUE,INDEX(T!$E413:$E426&gt;=H29,0),)),IF(AND(H51="4J3",H53=6),INDEX(T!$F413:$F426,MATCH(TRUE,INDEX(T!$F413:$F426&gt;=H29,0),)),IF(AND(H51="4J3",H53=7),INDEX(T!$G413:$G426,MATCH(TRUE,INDEX(T!$G413:$G426&gt;=H29,0),)),IF(AND(H51="4J3",H53=8),INDEX(T!$H413:$H426,MATCH(TRUE,INDEX(T!$H413:$H426&gt;=H29,0),)),IF(AND(H51="4J3",H53=9),INDEX(T!$I413:$I426,MATCH(TRUE,INDEX(T!$I413:$I426&gt;=H29,0),)),IF(AND(H51="4J3",H53=10),INDEX(T!$J413:$J426,MATCH(TRUE,INDEX(T!$J413:$J426&gt;=H29,0),)),IF(AND(H51="4J3",H53=11),INDEX(T!$K413:$K426,MATCH(TRUE,INDEX(T!$K413:$K426&gt;=H29,0),)),IF(AND(H51="4J3",H53=12),INDEX(T!$L$413:$L426,MATCH(TRUE,INDEX(T!$L$413:$L426&gt;=H29,0),)),IF(AND(H51="4J4",H53=2),INDEX(T!$B432:$B437,MATCH(TRUE,INDEX(T!$B432:$B437&gt;=H29,0),)),IF(AND(H51="4J4",H53=3),INDEX(T!$C$432:$C442,MATCH(TRUE,INDEX(T!$C$432:$C442&gt;=H29,0),)),IF(AND(H51="4J4",H53=4),INDEX(T!$D872:$D877,MATCH(TRUE,INDEX(T!$D872:$D877&gt;=H29,0),)),IF(AND(H51="4J4",H53=5),INDEX(T!$E432:$E442,MATCH(TRUE,INDEX(T!$E432:$E442&gt;=H29,0),)),IF(AND(H51="4J4",H53=6),INDEX(T!$F432:$F437,MATCH(TRUE,INDEX(T!$F432:$F437&gt;=H29,0),)),IF(AND(H51="4J4",H53=7),INDEX(T!$G432:$G442,MATCH(TRUE,INDEX(T!$G432:$G442&gt;=H29,0),)))))))))))))))))))))))))))))))))))))),"")))</f>
        <v/>
      </c>
      <c r="I77" s="141" t="str" cm="1">
        <f t="array" ref="I77">IF(I27="","",IF(OR(I51="4H1",I51="4H2",I51="4H3",I51="4H4"),IF(AND(I51="4H1",I53=2),INDEX(T!$B308:$B315,MATCH(TRUE,INDEX(T!$B308:$B315&gt;=I29,0),)),IF(AND(I51="4H1",I53=3),INDEX(T!$C$308:$C315,MATCH(TRUE,INDEX(T!$C$308:$C315&gt;=I29,0),)),IF(AND(I51="4H1",I53=4),INDEX(T!$D308:$D318,MATCH(TRUE,INDEX(T!$D308:$D318&gt;=I29,0),)),IF(AND(I51="4H1",I53=5),INDEX(T!$E308:$E318,MATCH(TRUE,INDEX(T!$E308:$E318&gt;=I29,0),)),IF(AND(I51="4H1",I53=6),INDEX(T!$F308:$F321,MATCH(TRUE,INDEX(T!$F308:$F321&gt;=I29,0),)),IF(AND(I51="4H1",I53=7),INDEX(T!$G308:$G321,MATCH(TRUE,INDEX(T!$G308:$G321&gt;=I29,0),)),IF(AND(I51="4H1",I53=8),INDEX(T!$H308:$H321,MATCH(TRUE,INDEX(T!$H308:$H321&gt;=I29,0),)),IF(AND(I51="4H1",I53=9),INDEX(T!$I305:$I321,MATCH(TRUE,INDEX(T!$I308:$I321&gt;=I29,0),)),IF(AND(I51="4H1",I53=10),INDEX(T!$J308:$J321,MATCH(TRUE,INDEX(T!$J308:$J321&gt;=I29,0),)),IF(AND(I51="4H1",I53=11),INDEX(T!$K308:$K321,MATCH(TRUE,INDEX(T!$K308:$K321&gt;=I29,0),)),IF(AND(I51="4H1",I53=12),INDEX(T!$L$308:$L321,MATCH(TRUE,INDEX(T!$L$308:$L321&gt;=I29,0),)),IF(AND(I51="4H2",I53=2),INDEX(T!$B327:$B332,MATCH(TRUE,INDEX(T!$B327:$B332&gt;=I29,0),)),IF(AND(I51="4H2",I53=3),INDEX(T!$C$327:$C337,MATCH(TRUE,INDEX(T!$C$327:$C337&gt;=I29,0),)),IF(AND(I51="4H2",I53=4),INDEX(T!$D327:$D332,MATCH(TRUE,INDEX(T!$D327:$D332&gt;=I29,0),)),IF(AND(I51="4H2",I53=5),INDEX(T!$E327:$E337,MATCH(TRUE,INDEX(T!$E327:$E337&gt;=I29,0),)),IF(AND(I51="4H2",I53=6),INDEX(T!$F327:$F332,MATCH(TRUE,INDEX(T!$F327:$F332&gt;=I29,0),)),IF(AND(I51="4H2",I53=7),INDEX(T!$G327:$G337,MATCH(TRUE,INDEX(T!$G327:$G337&gt;=I29,0),)),IF(AND(I51="4H2",I53=8),INDEX(T!$H327:$H332,MATCH(TRUE,INDEX(T!$H327:$H332&gt;=I29,0),)),IF(AND(I51="4H2",I53=9),INDEX(T!$I327:$I337,MATCH(TRUE,INDEX(T!$I327:$I337&gt;=I29,0),)),IF(AND(I51="4H3",I53=2),INDEX(T!$B343:$B356,MATCH(TRUE,INDEX(T!$B343:$B356&gt;=I29,0),)),IF(AND(I51="4H3",I53=3),INDEX(T!$C$343:$C356,MATCH(TRUE,INDEX(T!$C$343:$C356&gt;=I29,0),)),IF(AND(I51="4H3",I53=4),INDEX(T!$D343:$D356,MATCH(TRUE,INDEX(T!$D343:$D356&gt;=I29,0),)),IF(AND(I51="4H3",I53=5),(INDEX(T!$E343:$E356,MATCH(TRUE,INDEX(T!$E343:$E356&gt;=I29,0),)),IF(AND(I51="4H3",I53=6),INDEX(T!$F343:$F356,MATCH(TRUE,INDEX(T!$F343:$F356&gt;=I29,0),)),IF(AND(I51="4H3",I53=7),INDEX(T!$G343:$G356,MATCH(TRUE,INDEX(T!$G343:$G356&gt;=I29,0),)),IF(AND(I51="4H3",I53=8),INDEX(T!$H343:$H356,MATCH(TRUE,INDEX(T!$H343:$H356&gt;=I29,0),)),IF(AND(I51="4H3",I53=9),INDEX(T!$I343:$I356,MATCH(TRUE,INDEX(T!$I343:$I356&gt;=I29,0),)),IF(AND(I51="4H3",I53=10),INDEX(T!$J343:$J356,MATCH(TRUE,INDEX(T!$J343:$J356&gt;=I29,0),)),IF(AND(I51="4H3",I53=11),INDEX(T!$K343:$K356,MATCH(TRUE,INDEX(T!$K343:$K356&gt;=I29,0),)),IF(AND(I51="4H3",I53=12),INDEX(T!$L$343:$L356,MATCH(TRUE,INDEX(T!$L$343:$L356&gt;=I29,0),)),IF(AND(I51="4H4",I53=2),INDEX(T!$B362:$B367,MATCH(TRUE,INDEX(T!$B362:$B367&gt;=I29,0),)),IF(AND(I51="4H4",I53=3),INDEX(T!$C$362:$C372,MATCH(TRUE,INDEX(T!$C$362:$C372&gt;=I29,0),)),IF(AND(I51="4H4",I53=4),INDEX(T!$D362:$D367,MATCH(TRUE,INDEX(T!$D362:$D367&gt;=I29,0),)),IF(AND(I51="4H4",I53=5),INDEX(T!$E362:$E372,MATCH(TRUE,INDEX(T!$E362:$E372&gt;=I29,0),)),IF(AND(I51="4H4",I53=6),INDEX(T!$F363:$F367,MATCH(TRUE,INDEX(T!$F363:$F367&gt;=I29,0),)),IF(AND(I51="4H4",I53=7),INDEX(T!$G363:$G372,MATCH(TRUE,INDEX(T!$G363:$G372&gt;=I29,0),))))))))))))))))))))))))))))))))))))))),IF(OR(I51="4J1",I51="4J2",I51="4J3",I51="4J4"),IF(AND(I51="4J1",I53=2),INDEX(T!$B378:$B385,MATCH(TRUE,INDEX(T!$B378:$B385&gt;=I29,0),)),IF(AND(I51="4J1",I53=3),INDEX(T!$C$378:$C385,MATCH(TRUE,INDEX(T!$C$378:$C385&gt;=I29,0),)),IF(AND(I51="4J1",I53=4),INDEX(T!$D378:$D385,MATCH(TRUE,INDEX(T!$D378:$D385&gt;=I29,0),)),IF(AND(I51="4J1",I53=5),INDEX(T!$E378:$E385,MATCH(TRUE,INDEX(T!$E378:$E385&gt;=I29,0),)),IF(AND(I51="4J1",I53=6),INDEX(T!$F378:$F391,MATCH(TRUE,INDEX(T!$F378:$F391&gt;=I29,0),)),IF(AND(I51="4J1",I53=7),INDEX(T!$G378:$G391,MATCH(TRUE,INDEX(T!$G378:$G391&gt;=I29,0),)),IF(AND(I51="4J1",I53=8),INDEX(T!$H378:$H391,MATCH(TRUE,INDEX(T!$H378:$H391&gt;=I29,0),)),IF(AND(I51="4J1",I53=9),INDEX(T!$I378:$I391,MATCH(TRUE,INDEX(T!$I378:$I391&gt;=I29,0),)),IF(AND(I51="4J1",I53=10),INDEX(T!$J378:$J391,MATCH(TRUE,INDEX(T!$J378:$J391&gt;=I29,0),)),IF(AND(I51="4J1",I53=11),INDEX(T!$K378:$K391,MATCH(TRUE,INDEX(T!$K378:$K391&gt;=I29,0),)),IF(AND(I51="4J1",I53=12),INDEX(T!$L$378:$L391,MATCH(TRUE,INDEX(T!$L$378:$L391&gt;=I29,0),)),IF(AND(I51="4J2",I53=2),INDEX(T!$B397:$B402,MATCH(TRUE,INDEX(T!$B397:$B402&gt;=I29,0),)),IF(AND(I51="4J2",I53=3),INDEX(T!$C$397:$C407,MATCH(TRUE,INDEX(T!$C$397:$C407&gt;=I29,0),)),IF(AND(I51="4J2",I53=4),INDEX(T!$D397:$D$402,MATCH(TRUE,INDEX(T!$D397:$D$402&gt;=I29,0),)),IF(AND(I51="4J2",I53=5),INDEX(T!$E397:$E407,MATCH(TRUE,INDEX(T!$E397:$E407&gt;=I29,0),)),IF(AND(I51="4J2",I53=6),INDEX(T!$F397:$F402,MATCH(TRUE,INDEX(T!$F397:$F402&gt;=I29,0),)),IF(AND(I51="4J2",I53=7),INDEX(T!$G397:$G407,MATCH(TRUE,INDEX(T!$G397:$G407&gt;=I29,0),)),IF(AND(I51="4J2",I53=8),INDEX(T!$H397:$H402,MATCH(TRUE,INDEX(T!$H397:$H402&gt;=I29,0),)),IF(AND(I51="4J2",I53=9),INDEX(T!$I397:$I407,MATCH(TRUE,INDEX(T!$I397:$I407&gt;=I29,0),)),IF(AND(I51="4J3",I53=2),INDEX(T!$B413:$B426,MATCH(TRUE,INDEX(T!$B413:$B426&gt;=I29,0),)),IF(AND(I51="4J3",I53=3),INDEX(T!$C$413:$C426,MATCH(TRUE,INDEX(T!$C$413:$C426&gt;=I29,0),)),IF(AND(I51="4J3",I53=4),INDEX(T!$D413:$D426,MATCH(TRUE,INDEX(T!$D413:$D426&gt;=I29,0),)),IF(AND(I51="4J3",I53=5),INDEX(T!$E413:$E426,MATCH(TRUE,INDEX(T!$E413:$E426&gt;=I29,0),)),IF(AND(I51="4J3",I53=6),INDEX(T!$F413:$F426,MATCH(TRUE,INDEX(T!$F413:$F426&gt;=I29,0),)),IF(AND(I51="4J3",I53=7),INDEX(T!$G413:$G426,MATCH(TRUE,INDEX(T!$G413:$G426&gt;=I29,0),)),IF(AND(I51="4J3",I53=8),INDEX(T!$H413:$H426,MATCH(TRUE,INDEX(T!$H413:$H426&gt;=I29,0),)),IF(AND(I51="4J3",I53=9),INDEX(T!$I413:$I426,MATCH(TRUE,INDEX(T!$I413:$I426&gt;=I29,0),)),IF(AND(I51="4J3",I53=10),INDEX(T!$J413:$J426,MATCH(TRUE,INDEX(T!$J413:$J426&gt;=I29,0),)),IF(AND(I51="4J3",I53=11),INDEX(T!$K413:$K426,MATCH(TRUE,INDEX(T!$K413:$K426&gt;=I29,0),)),IF(AND(I51="4J3",I53=12),INDEX(T!$L$413:$L426,MATCH(TRUE,INDEX(T!$L$413:$L426&gt;=I29,0),)),IF(AND(I51="4J4",I53=2),INDEX(T!$B432:$B437,MATCH(TRUE,INDEX(T!$B432:$B437&gt;=I29,0),)),IF(AND(I51="4J4",I53=3),INDEX(T!$C$432:$C442,MATCH(TRUE,INDEX(T!$C$432:$C442&gt;=I29,0),)),IF(AND(I51="4J4",I53=4),INDEX(T!$D872:$D877,MATCH(TRUE,INDEX(T!$D872:$D877&gt;=I29,0),)),IF(AND(I51="4J4",I53=5),INDEX(T!$E432:$E442,MATCH(TRUE,INDEX(T!$E432:$E442&gt;=I29,0),)),IF(AND(I51="4J4",I53=6),INDEX(T!$F432:$F437,MATCH(TRUE,INDEX(T!$F432:$F437&gt;=I29,0),)),IF(AND(I51="4J4",I53=7),INDEX(T!$G432:$G442,MATCH(TRUE,INDEX(T!$G432:$G442&gt;=I29,0),)))))))))))))))))))))))))))))))))))))),"")))</f>
        <v/>
      </c>
      <c r="J77" s="141" t="str" cm="1">
        <f t="array" ref="J77">IF(J27="","",IF(OR(J51="4H1",J51="4H2",J51="4H3",J51="4H4"),IF(AND(J51="4H1",J53=2),INDEX(T!$B308:$B315,MATCH(TRUE,INDEX(T!$B308:$B315&gt;=J29,0),)),IF(AND(J51="4H1",J53=3),INDEX(T!$C$308:$C315,MATCH(TRUE,INDEX(T!$C$308:$C315&gt;=J29,0),)),IF(AND(J51="4H1",J53=4),INDEX(T!$D308:$D318,MATCH(TRUE,INDEX(T!$D308:$D318&gt;=J29,0),)),IF(AND(J51="4H1",J53=5),INDEX(T!$E308:$E318,MATCH(TRUE,INDEX(T!$E308:$E318&gt;=J29,0),)),IF(AND(J51="4H1",J53=6),INDEX(T!$F308:$F321,MATCH(TRUE,INDEX(T!$F308:$F321&gt;=J29,0),)),IF(AND(J51="4H1",J53=7),INDEX(T!$G308:$G321,MATCH(TRUE,INDEX(T!$G308:$G321&gt;=J29,0),)),IF(AND(J51="4H1",J53=8),INDEX(T!$H308:$H321,MATCH(TRUE,INDEX(T!$H308:$H321&gt;=J29,0),)),IF(AND(J51="4H1",J53=9),INDEX(T!$I305:$I321,MATCH(TRUE,INDEX(T!$I308:$I321&gt;=J29,0),)),IF(AND(J51="4H1",J53=10),INDEX(T!$J308:$J321,MATCH(TRUE,INDEX(T!$J308:$J321&gt;=J29,0),)),IF(AND(J51="4H1",J53=11),INDEX(T!$K308:$K321,MATCH(TRUE,INDEX(T!$K308:$K321&gt;=J29,0),)),IF(AND(J51="4H1",J53=12),INDEX(T!$L$308:$L321,MATCH(TRUE,INDEX(T!$L$308:$L321&gt;=J29,0),)),IF(AND(J51="4H2",J53=2),INDEX(T!$B327:$B332,MATCH(TRUE,INDEX(T!$B327:$B332&gt;=J29,0),)),IF(AND(J51="4H2",J53=3),INDEX(T!$C$327:$C337,MATCH(TRUE,INDEX(T!$C$327:$C337&gt;=J29,0),)),IF(AND(J51="4H2",J53=4),INDEX(T!$D327:$D332,MATCH(TRUE,INDEX(T!$D327:$D332&gt;=J29,0),)),IF(AND(J51="4H2",J53=5),INDEX(T!$E327:$E337,MATCH(TRUE,INDEX(T!$E327:$E337&gt;=J29,0),)),IF(AND(J51="4H2",J53=6),INDEX(T!$F327:$F332,MATCH(TRUE,INDEX(T!$F327:$F332&gt;=J29,0),)),IF(AND(J51="4H2",J53=7),INDEX(T!$G327:$G337,MATCH(TRUE,INDEX(T!$G327:$G337&gt;=J29,0),)),IF(AND(J51="4H2",J53=8),INDEX(T!$H327:$H332,MATCH(TRUE,INDEX(T!$H327:$H332&gt;=J29,0),)),IF(AND(J51="4H2",J53=9),INDEX(T!$I327:$I337,MATCH(TRUE,INDEX(T!$I327:$I337&gt;=J29,0),)),IF(AND(J51="4H3",J53=2),INDEX(T!$B343:$B356,MATCH(TRUE,INDEX(T!$B343:$B356&gt;=J29,0),)),IF(AND(J51="4H3",J53=3),INDEX(T!$C$343:$C356,MATCH(TRUE,INDEX(T!$C$343:$C356&gt;=J29,0),)),IF(AND(J51="4H3",J53=4),INDEX(T!$D343:$D356,MATCH(TRUE,INDEX(T!$D343:$D356&gt;=J29,0),)),IF(AND(J51="4H3",J53=5),(INDEX(T!$E343:$E356,MATCH(TRUE,INDEX(T!$E343:$E356&gt;=J29,0),)),IF(AND(J51="4H3",J53=6),INDEX(T!$F343:$F356,MATCH(TRUE,INDEX(T!$F343:$F356&gt;=J29,0),)),IF(AND(J51="4H3",J53=7),INDEX(T!$G343:$G356,MATCH(TRUE,INDEX(T!$G343:$G356&gt;=J29,0),)),IF(AND(J51="4H3",J53=8),INDEX(T!$H343:$H356,MATCH(TRUE,INDEX(T!$H343:$H356&gt;=J29,0),)),IF(AND(J51="4H3",J53=9),INDEX(T!$I343:$I356,MATCH(TRUE,INDEX(T!$I343:$I356&gt;=J29,0),)),IF(AND(J51="4H3",J53=10),INDEX(T!$J343:$J356,MATCH(TRUE,INDEX(T!$J343:$J356&gt;=J29,0),)),IF(AND(J51="4H3",J53=11),INDEX(T!$K343:$K356,MATCH(TRUE,INDEX(T!$K343:$K356&gt;=J29,0),)),IF(AND(J51="4H3",J53=12),INDEX(T!$L$343:$L356,MATCH(TRUE,INDEX(T!$L$343:$L356&gt;=J29,0),)),IF(AND(J51="4H4",J53=2),INDEX(T!$B362:$B367,MATCH(TRUE,INDEX(T!$B362:$B367&gt;=J29,0),)),IF(AND(J51="4H4",J53=3),INDEX(T!$C$362:$C372,MATCH(TRUE,INDEX(T!$C$362:$C372&gt;=J29,0),)),IF(AND(J51="4H4",J53=4),INDEX(T!$D362:$D367,MATCH(TRUE,INDEX(T!$D362:$D367&gt;=J29,0),)),IF(AND(J51="4H4",J53=5),INDEX(T!$E362:$E372,MATCH(TRUE,INDEX(T!$E362:$E372&gt;=J29,0),)),IF(AND(J51="4H4",J53=6),INDEX(T!$F363:$F367,MATCH(TRUE,INDEX(T!$F363:$F367&gt;=J29,0),)),IF(AND(J51="4H4",J53=7),INDEX(T!$G363:$G372,MATCH(TRUE,INDEX(T!$G363:$G372&gt;=J29,0),))))))))))))))))))))))))))))))))))))))),IF(OR(J51="4J1",J51="4J2",J51="4J3",J51="4J4"),IF(AND(J51="4J1",J53=2),INDEX(T!$B378:$B385,MATCH(TRUE,INDEX(T!$B378:$B385&gt;=J29,0),)),IF(AND(J51="4J1",J53=3),INDEX(T!$C$378:$C385,MATCH(TRUE,INDEX(T!$C$378:$C385&gt;=J29,0),)),IF(AND(J51="4J1",J53=4),INDEX(T!$D378:$D385,MATCH(TRUE,INDEX(T!$D378:$D385&gt;=J29,0),)),IF(AND(J51="4J1",J53=5),INDEX(T!$E378:$E385,MATCH(TRUE,INDEX(T!$E378:$E385&gt;=J29,0),)),IF(AND(J51="4J1",J53=6),INDEX(T!$F378:$F391,MATCH(TRUE,INDEX(T!$F378:$F391&gt;=J29,0),)),IF(AND(J51="4J1",J53=7),INDEX(T!$G378:$G391,MATCH(TRUE,INDEX(T!$G378:$G391&gt;=J29,0),)),IF(AND(J51="4J1",J53=8),INDEX(T!$H378:$H391,MATCH(TRUE,INDEX(T!$H378:$H391&gt;=J29,0),)),IF(AND(J51="4J1",J53=9),INDEX(T!$I378:$I391,MATCH(TRUE,INDEX(T!$I378:$I391&gt;=J29,0),)),IF(AND(J51="4J1",J53=10),INDEX(T!$J378:$J391,MATCH(TRUE,INDEX(T!$J378:$J391&gt;=J29,0),)),IF(AND(J51="4J1",J53=11),INDEX(T!$K378:$K391,MATCH(TRUE,INDEX(T!$K378:$K391&gt;=J29,0),)),IF(AND(J51="4J1",J53=12),INDEX(T!$L$378:$L391,MATCH(TRUE,INDEX(T!$L$378:$L391&gt;=J29,0),)),IF(AND(J51="4J2",J53=2),INDEX(T!$B397:$B402,MATCH(TRUE,INDEX(T!$B397:$B402&gt;=J29,0),)),IF(AND(J51="4J2",J53=3),INDEX(T!$C$397:$C407,MATCH(TRUE,INDEX(T!$C$397:$C407&gt;=J29,0),)),IF(AND(J51="4J2",J53=4),INDEX(T!$D397:$D$402,MATCH(TRUE,INDEX(T!$D397:$D$402&gt;=J29,0),)),IF(AND(J51="4J2",J53=5),INDEX(T!$E397:$E407,MATCH(TRUE,INDEX(T!$E397:$E407&gt;=J29,0),)),IF(AND(J51="4J2",J53=6),INDEX(T!$F397:$F402,MATCH(TRUE,INDEX(T!$F397:$F402&gt;=J29,0),)),IF(AND(J51="4J2",J53=7),INDEX(T!$G397:$G407,MATCH(TRUE,INDEX(T!$G397:$G407&gt;=J29,0),)),IF(AND(J51="4J2",J53=8),INDEX(T!$H397:$H402,MATCH(TRUE,INDEX(T!$H397:$H402&gt;=J29,0),)),IF(AND(J51="4J2",J53=9),INDEX(T!$I397:$I407,MATCH(TRUE,INDEX(T!$I397:$I407&gt;=J29,0),)),IF(AND(J51="4J3",J53=2),INDEX(T!$B413:$B426,MATCH(TRUE,INDEX(T!$B413:$B426&gt;=J29,0),)),IF(AND(J51="4J3",J53=3),INDEX(T!$C$413:$C426,MATCH(TRUE,INDEX(T!$C$413:$C426&gt;=J29,0),)),IF(AND(J51="4J3",J53=4),INDEX(T!$D413:$D426,MATCH(TRUE,INDEX(T!$D413:$D426&gt;=J29,0),)),IF(AND(J51="4J3",J53=5),INDEX(T!$E413:$E426,MATCH(TRUE,INDEX(T!$E413:$E426&gt;=J29,0),)),IF(AND(J51="4J3",J53=6),INDEX(T!$F413:$F426,MATCH(TRUE,INDEX(T!$F413:$F426&gt;=J29,0),)),IF(AND(J51="4J3",J53=7),INDEX(T!$G413:$G426,MATCH(TRUE,INDEX(T!$G413:$G426&gt;=J29,0),)),IF(AND(J51="4J3",J53=8),INDEX(T!$H413:$H426,MATCH(TRUE,INDEX(T!$H413:$H426&gt;=J29,0),)),IF(AND(J51="4J3",J53=9),INDEX(T!$I413:$I426,MATCH(TRUE,INDEX(T!$I413:$I426&gt;=J29,0),)),IF(AND(J51="4J3",J53=10),INDEX(T!$J413:$J426,MATCH(TRUE,INDEX(T!$J413:$J426&gt;=J29,0),)),IF(AND(J51="4J3",J53=11),INDEX(T!$K413:$K426,MATCH(TRUE,INDEX(T!$K413:$K426&gt;=J29,0),)),IF(AND(J51="4J3",J53=12),INDEX(T!$L$413:$L426,MATCH(TRUE,INDEX(T!$L$413:$L426&gt;=J29,0),)),IF(AND(J51="4J4",J53=2),INDEX(T!$B432:$B437,MATCH(TRUE,INDEX(T!$B432:$B437&gt;=J29,0),)),IF(AND(J51="4J4",J53=3),INDEX(T!$C$432:$C442,MATCH(TRUE,INDEX(T!$C$432:$C442&gt;=J29,0),)),IF(AND(J51="4J4",J53=4),INDEX(T!$D872:$D877,MATCH(TRUE,INDEX(T!$D872:$D877&gt;=J29,0),)),IF(AND(J51="4J4",J53=5),INDEX(T!$E432:$E442,MATCH(TRUE,INDEX(T!$E432:$E442&gt;=J29,0),)),IF(AND(J51="4J4",J53=6),INDEX(T!$F432:$F437,MATCH(TRUE,INDEX(T!$F432:$F437&gt;=J29,0),)),IF(AND(J51="4J4",J53=7),INDEX(T!$G432:$G442,MATCH(TRUE,INDEX(T!$G432:$G442&gt;=J29,0),)))))))))))))))))))))))))))))))))))))),"")))</f>
        <v/>
      </c>
      <c r="K77" s="141" t="str" cm="1">
        <f t="array" ref="K77">IF(K27="","",IF(OR(K51="4H1",K51="4H2",K51="4H3",K51="4H4"),IF(AND(K51="4H1",K53=2),INDEX(T!$B308:$B315,MATCH(TRUE,INDEX(T!$B308:$B315&gt;=K29,0),)),IF(AND(K51="4H1",K53=3),INDEX(T!$C$308:$C315,MATCH(TRUE,INDEX(T!$C$308:$C315&gt;=K29,0),)),IF(AND(K51="4H1",K53=4),INDEX(T!$D308:$D318,MATCH(TRUE,INDEX(T!$D308:$D318&gt;=K29,0),)),IF(AND(K51="4H1",K53=5),INDEX(T!$E308:$E318,MATCH(TRUE,INDEX(T!$E308:$E318&gt;=K29,0),)),IF(AND(K51="4H1",K53=6),INDEX(T!$F308:$F321,MATCH(TRUE,INDEX(T!$F308:$F321&gt;=K29,0),)),IF(AND(K51="4H1",K53=7),INDEX(T!$G308:$G321,MATCH(TRUE,INDEX(T!$G308:$G321&gt;=K29,0),)),IF(AND(K51="4H1",K53=8),INDEX(T!$H308:$H321,MATCH(TRUE,INDEX(T!$H308:$H321&gt;=K29,0),)),IF(AND(K51="4H1",K53=9),INDEX(T!$I305:$I321,MATCH(TRUE,INDEX(T!$I308:$I321&gt;=K29,0),)),IF(AND(K51="4H1",K53=10),INDEX(T!$J308:$J321,MATCH(TRUE,INDEX(T!$J308:$J321&gt;=K29,0),)),IF(AND(K51="4H1",K53=11),INDEX(T!$K308:$K321,MATCH(TRUE,INDEX(T!$K308:$K321&gt;=K29,0),)),IF(AND(K51="4H1",K53=12),INDEX(T!$L$308:$L321,MATCH(TRUE,INDEX(T!$L$308:$L321&gt;=K29,0),)),IF(AND(K51="4H2",K53=2),INDEX(T!$B327:$B332,MATCH(TRUE,INDEX(T!$B327:$B332&gt;=K29,0),)),IF(AND(K51="4H2",K53=3),INDEX(T!$C$327:$C337,MATCH(TRUE,INDEX(T!$C$327:$C337&gt;=K29,0),)),IF(AND(K51="4H2",K53=4),INDEX(T!$D327:$D332,MATCH(TRUE,INDEX(T!$D327:$D332&gt;=K29,0),)),IF(AND(K51="4H2",K53=5),INDEX(T!$E327:$E337,MATCH(TRUE,INDEX(T!$E327:$E337&gt;=K29,0),)),IF(AND(K51="4H2",K53=6),INDEX(T!$F327:$F332,MATCH(TRUE,INDEX(T!$F327:$F332&gt;=K29,0),)),IF(AND(K51="4H2",K53=7),INDEX(T!$G327:$G337,MATCH(TRUE,INDEX(T!$G327:$G337&gt;=K29,0),)),IF(AND(K51="4H2",K53=8),INDEX(T!$H327:$H332,MATCH(TRUE,INDEX(T!$H327:$H332&gt;=K29,0),)),IF(AND(K51="4H2",K53=9),INDEX(T!$I327:$I337,MATCH(TRUE,INDEX(T!$I327:$I337&gt;=K29,0),)),IF(AND(K51="4H3",K53=2),INDEX(T!$B343:$B356,MATCH(TRUE,INDEX(T!$B343:$B356&gt;=K29,0),)),IF(AND(K51="4H3",K53=3),INDEX(T!$C$343:$C356,MATCH(TRUE,INDEX(T!$C$343:$C356&gt;=K29,0),)),IF(AND(K51="4H3",K53=4),INDEX(T!$D343:$D356,MATCH(TRUE,INDEX(T!$D343:$D356&gt;=K29,0),)),IF(AND(K51="4H3",K53=5),(INDEX(T!$E343:$E356,MATCH(TRUE,INDEX(T!$E343:$E356&gt;=K29,0),)),IF(AND(K51="4H3",K53=6),INDEX(T!$F343:$F356,MATCH(TRUE,INDEX(T!$F343:$F356&gt;=K29,0),)),IF(AND(K51="4H3",K53=7),INDEX(T!$G343:$G356,MATCH(TRUE,INDEX(T!$G343:$G356&gt;=K29,0),)),IF(AND(K51="4H3",K53=8),INDEX(T!$H343:$H356,MATCH(TRUE,INDEX(T!$H343:$H356&gt;=K29,0),)),IF(AND(K51="4H3",K53=9),INDEX(T!$I343:$I356,MATCH(TRUE,INDEX(T!$I343:$I356&gt;=K29,0),)),IF(AND(K51="4H3",K53=10),INDEX(T!$J343:$J356,MATCH(TRUE,INDEX(T!$J343:$J356&gt;=K29,0),)),IF(AND(K51="4H3",K53=11),INDEX(T!$K343:$K356,MATCH(TRUE,INDEX(T!$K343:$K356&gt;=K29,0),)),IF(AND(K51="4H3",K53=12),INDEX(T!$L$343:$L356,MATCH(TRUE,INDEX(T!$L$343:$L356&gt;=K29,0),)),IF(AND(K51="4H4",K53=2),INDEX(T!$B362:$B367,MATCH(TRUE,INDEX(T!$B362:$B367&gt;=K29,0),)),IF(AND(K51="4H4",K53=3),INDEX(T!$C$362:$C372,MATCH(TRUE,INDEX(T!$C$362:$C372&gt;=K29,0),)),IF(AND(K51="4H4",K53=4),INDEX(T!$D362:$D367,MATCH(TRUE,INDEX(T!$D362:$D367&gt;=K29,0),)),IF(AND(K51="4H4",K53=5),INDEX(T!$E362:$E372,MATCH(TRUE,INDEX(T!$E362:$E372&gt;=K29,0),)),IF(AND(K51="4H4",K53=6),INDEX(T!$F363:$F367,MATCH(TRUE,INDEX(T!$F363:$F367&gt;=K29,0),)),IF(AND(K51="4H4",K53=7),INDEX(T!$G363:$G372,MATCH(TRUE,INDEX(T!$G363:$G372&gt;=K29,0),))))))))))))))))))))))))))))))))))))))),IF(OR(K51="4J1",K51="4J2",K51="4J3",K51="4J4"),IF(AND(K51="4J1",K53=2),INDEX(T!$B378:$B385,MATCH(TRUE,INDEX(T!$B378:$B385&gt;=K29,0),)),IF(AND(K51="4J1",K53=3),INDEX(T!$C$378:$C385,MATCH(TRUE,INDEX(T!$C$378:$C385&gt;=K29,0),)),IF(AND(K51="4J1",K53=4),INDEX(T!$D378:$D385,MATCH(TRUE,INDEX(T!$D378:$D385&gt;=K29,0),)),IF(AND(K51="4J1",K53=5),INDEX(T!$E378:$E385,MATCH(TRUE,INDEX(T!$E378:$E385&gt;=K29,0),)),IF(AND(K51="4J1",K53=6),INDEX(T!$F378:$F391,MATCH(TRUE,INDEX(T!$F378:$F391&gt;=K29,0),)),IF(AND(K51="4J1",K53=7),INDEX(T!$G378:$G391,MATCH(TRUE,INDEX(T!$G378:$G391&gt;=K29,0),)),IF(AND(K51="4J1",K53=8),INDEX(T!$H378:$H391,MATCH(TRUE,INDEX(T!$H378:$H391&gt;=K29,0),)),IF(AND(K51="4J1",K53=9),INDEX(T!$I378:$I391,MATCH(TRUE,INDEX(T!$I378:$I391&gt;=K29,0),)),IF(AND(K51="4J1",K53=10),INDEX(T!$J378:$J391,MATCH(TRUE,INDEX(T!$J378:$J391&gt;=K29,0),)),IF(AND(K51="4J1",K53=11),INDEX(T!$K378:$K391,MATCH(TRUE,INDEX(T!$K378:$K391&gt;=K29,0),)),IF(AND(K51="4J1",K53=12),INDEX(T!$L$378:$L391,MATCH(TRUE,INDEX(T!$L$378:$L391&gt;=K29,0),)),IF(AND(K51="4J2",K53=2),INDEX(T!$B397:$B402,MATCH(TRUE,INDEX(T!$B397:$B402&gt;=K29,0),)),IF(AND(K51="4J2",K53=3),INDEX(T!$C$397:$C407,MATCH(TRUE,INDEX(T!$C$397:$C407&gt;=K29,0),)),IF(AND(K51="4J2",K53=4),INDEX(T!$D397:$D$402,MATCH(TRUE,INDEX(T!$D397:$D$402&gt;=K29,0),)),IF(AND(K51="4J2",K53=5),INDEX(T!$E397:$E407,MATCH(TRUE,INDEX(T!$E397:$E407&gt;=K29,0),)),IF(AND(K51="4J2",K53=6),INDEX(T!$F397:$F402,MATCH(TRUE,INDEX(T!$F397:$F402&gt;=K29,0),)),IF(AND(K51="4J2",K53=7),INDEX(T!$G397:$G407,MATCH(TRUE,INDEX(T!$G397:$G407&gt;=K29,0),)),IF(AND(K51="4J2",K53=8),INDEX(T!$H397:$H402,MATCH(TRUE,INDEX(T!$H397:$H402&gt;=K29,0),)),IF(AND(K51="4J2",K53=9),INDEX(T!$I397:$I407,MATCH(TRUE,INDEX(T!$I397:$I407&gt;=K29,0),)),IF(AND(K51="4J3",K53=2),INDEX(T!$B413:$B426,MATCH(TRUE,INDEX(T!$B413:$B426&gt;=K29,0),)),IF(AND(K51="4J3",K53=3),INDEX(T!$C$413:$C426,MATCH(TRUE,INDEX(T!$C$413:$C426&gt;=K29,0),)),IF(AND(K51="4J3",K53=4),INDEX(T!$D413:$D426,MATCH(TRUE,INDEX(T!$D413:$D426&gt;=K29,0),)),IF(AND(K51="4J3",K53=5),INDEX(T!$E413:$E426,MATCH(TRUE,INDEX(T!$E413:$E426&gt;=K29,0),)),IF(AND(K51="4J3",K53=6),INDEX(T!$F413:$F426,MATCH(TRUE,INDEX(T!$F413:$F426&gt;=K29,0),)),IF(AND(K51="4J3",K53=7),INDEX(T!$G413:$G426,MATCH(TRUE,INDEX(T!$G413:$G426&gt;=K29,0),)),IF(AND(K51="4J3",K53=8),INDEX(T!$H413:$H426,MATCH(TRUE,INDEX(T!$H413:$H426&gt;=K29,0),)),IF(AND(K51="4J3",K53=9),INDEX(T!$I413:$I426,MATCH(TRUE,INDEX(T!$I413:$I426&gt;=K29,0),)),IF(AND(K51="4J3",K53=10),INDEX(T!$J413:$J426,MATCH(TRUE,INDEX(T!$J413:$J426&gt;=K29,0),)),IF(AND(K51="4J3",K53=11),INDEX(T!$K413:$K426,MATCH(TRUE,INDEX(T!$K413:$K426&gt;=K29,0),)),IF(AND(K51="4J3",K53=12),INDEX(T!$L$413:$L426,MATCH(TRUE,INDEX(T!$L$413:$L426&gt;=K29,0),)),IF(AND(K51="4J4",K53=2),INDEX(T!$B432:$B437,MATCH(TRUE,INDEX(T!$B432:$B437&gt;=K29,0),)),IF(AND(K51="4J4",K53=3),INDEX(T!$C$432:$C442,MATCH(TRUE,INDEX(T!$C$432:$C442&gt;=K29,0),)),IF(AND(K51="4J4",K53=4),INDEX(T!$D872:$D877,MATCH(TRUE,INDEX(T!$D872:$D877&gt;=K29,0),)),IF(AND(K51="4J4",K53=5),INDEX(T!$E432:$E442,MATCH(TRUE,INDEX(T!$E432:$E442&gt;=K29,0),)),IF(AND(K51="4J4",K53=6),INDEX(T!$F432:$F437,MATCH(TRUE,INDEX(T!$F432:$F437&gt;=K29,0),)),IF(AND(K51="4J4",K53=7),INDEX(T!$G432:$G442,MATCH(TRUE,INDEX(T!$G432:$G442&gt;=K29,0),)))))))))))))))))))))))))))))))))))))),"")))</f>
        <v/>
      </c>
      <c r="L77" s="141" t="str" cm="1">
        <f t="array" ref="L77">IF(L27="","",IF(OR(L51="4H1",L51="4H2",L51="4H3",L51="4H4"),IF(AND(L51="4H1",L53=2),INDEX(T!$B308:$B315,MATCH(TRUE,INDEX(T!$B308:$B315&gt;=L29,0),)),IF(AND(L51="4H1",L53=3),INDEX(T!$C$308:$C315,MATCH(TRUE,INDEX(T!$C$308:$C315&gt;=L29,0),)),IF(AND(L51="4H1",L53=4),INDEX(T!$D308:$D318,MATCH(TRUE,INDEX(T!$D308:$D318&gt;=L29,0),)),IF(AND(L51="4H1",L53=5),INDEX(T!$E308:$E318,MATCH(TRUE,INDEX(T!$E308:$E318&gt;=L29,0),)),IF(AND(L51="4H1",L53=6),INDEX(T!$F308:$F321,MATCH(TRUE,INDEX(T!$F308:$F321&gt;=L29,0),)),IF(AND(L51="4H1",L53=7),INDEX(T!$G308:$G321,MATCH(TRUE,INDEX(T!$G308:$G321&gt;=L29,0),)),IF(AND(L51="4H1",L53=8),INDEX(T!$H308:$H321,MATCH(TRUE,INDEX(T!$H308:$H321&gt;=L29,0),)),IF(AND(L51="4H1",L53=9),INDEX(T!$I305:$I321,MATCH(TRUE,INDEX(T!$I308:$I321&gt;=L29,0),)),IF(AND(L51="4H1",L53=10),INDEX(T!$J308:$J321,MATCH(TRUE,INDEX(T!$J308:$J321&gt;=L29,0),)),IF(AND(L51="4H1",L53=11),INDEX(T!$K308:$K321,MATCH(TRUE,INDEX(T!$K308:$K321&gt;=L29,0),)),IF(AND(L51="4H1",L53=12),INDEX(T!$L$308:$L321,MATCH(TRUE,INDEX(T!$L$308:$L321&gt;=L29,0),)),IF(AND(L51="4H2",L53=2),INDEX(T!$B327:$B332,MATCH(TRUE,INDEX(T!$B327:$B332&gt;=L29,0),)),IF(AND(L51="4H2",L53=3),INDEX(T!$C$327:$C337,MATCH(TRUE,INDEX(T!$C$327:$C337&gt;=L29,0),)),IF(AND(L51="4H2",L53=4),INDEX(T!$D327:$D332,MATCH(TRUE,INDEX(T!$D327:$D332&gt;=L29,0),)),IF(AND(L51="4H2",L53=5),INDEX(T!$E327:$E337,MATCH(TRUE,INDEX(T!$E327:$E337&gt;=L29,0),)),IF(AND(L51="4H2",L53=6),INDEX(T!$F327:$F332,MATCH(TRUE,INDEX(T!$F327:$F332&gt;=L29,0),)),IF(AND(L51="4H2",L53=7),INDEX(T!$G327:$G337,MATCH(TRUE,INDEX(T!$G327:$G337&gt;=L29,0),)),IF(AND(L51="4H2",L53=8),INDEX(T!$H327:$H332,MATCH(TRUE,INDEX(T!$H327:$H332&gt;=L29,0),)),IF(AND(L51="4H2",L53=9),INDEX(T!$I327:$I337,MATCH(TRUE,INDEX(T!$I327:$I337&gt;=L29,0),)),IF(AND(L51="4H3",L53=2),INDEX(T!$B343:$B356,MATCH(TRUE,INDEX(T!$B343:$B356&gt;=L29,0),)),IF(AND(L51="4H3",L53=3),INDEX(T!$C$343:$C356,MATCH(TRUE,INDEX(T!$C$343:$C356&gt;=L29,0),)),IF(AND(L51="4H3",L53=4),INDEX(T!$D343:$D356,MATCH(TRUE,INDEX(T!$D343:$D356&gt;=L29,0),)),IF(AND(L51="4H3",L53=5),(INDEX(T!$E343:$E356,MATCH(TRUE,INDEX(T!$E343:$E356&gt;=L29,0),)),IF(AND(L51="4H3",L53=6),INDEX(T!$F343:$F356,MATCH(TRUE,INDEX(T!$F343:$F356&gt;=L29,0),)),IF(AND(L51="4H3",L53=7),INDEX(T!$G343:$G356,MATCH(TRUE,INDEX(T!$G343:$G356&gt;=L29,0),)),IF(AND(L51="4H3",L53=8),INDEX(T!$H343:$H356,MATCH(TRUE,INDEX(T!$H343:$H356&gt;=L29,0),)),IF(AND(L51="4H3",L53=9),INDEX(T!$I343:$I356,MATCH(TRUE,INDEX(T!$I343:$I356&gt;=L29,0),)),IF(AND(L51="4H3",L53=10),INDEX(T!$J343:$J356,MATCH(TRUE,INDEX(T!$J343:$J356&gt;=L29,0),)),IF(AND(L51="4H3",L53=11),INDEX(T!$K343:$K356,MATCH(TRUE,INDEX(T!$K343:$K356&gt;=L29,0),)),IF(AND(L51="4H3",L53=12),INDEX(T!$L$343:$L356,MATCH(TRUE,INDEX(T!$L$343:$L356&gt;=L29,0),)),IF(AND(L51="4H4",L53=2),INDEX(T!$B362:$B367,MATCH(TRUE,INDEX(T!$B362:$B367&gt;=L29,0),)),IF(AND(L51="4H4",L53=3),INDEX(T!$C$362:$C372,MATCH(TRUE,INDEX(T!$C$362:$C372&gt;=L29,0),)),IF(AND(L51="4H4",L53=4),INDEX(T!$D362:$D367,MATCH(TRUE,INDEX(T!$D362:$D367&gt;=L29,0),)),IF(AND(L51="4H4",L53=5),INDEX(T!$E362:$E372,MATCH(TRUE,INDEX(T!$E362:$E372&gt;=L29,0),)),IF(AND(L51="4H4",L53=6),INDEX(T!$F363:$F367,MATCH(TRUE,INDEX(T!$F363:$F367&gt;=L29,0),)),IF(AND(L51="4H4",L53=7),INDEX(T!$G363:$G372,MATCH(TRUE,INDEX(T!$G363:$G372&gt;=L29,0),))))))))))))))))))))))))))))))))))))))),IF(OR(L51="4J1",L51="4J2",L51="4J3",L51="4J4"),IF(AND(L51="4J1",L53=2),INDEX(T!$B378:$B385,MATCH(TRUE,INDEX(T!$B378:$B385&gt;=L29,0),)),IF(AND(L51="4J1",L53=3),INDEX(T!$C$378:$C385,MATCH(TRUE,INDEX(T!$C$378:$C385&gt;=L29,0),)),IF(AND(L51="4J1",L53=4),INDEX(T!$D378:$D385,MATCH(TRUE,INDEX(T!$D378:$D385&gt;=L29,0),)),IF(AND(L51="4J1",L53=5),INDEX(T!$E378:$E385,MATCH(TRUE,INDEX(T!$E378:$E385&gt;=L29,0),)),IF(AND(L51="4J1",L53=6),INDEX(T!$F378:$F391,MATCH(TRUE,INDEX(T!$F378:$F391&gt;=L29,0),)),IF(AND(L51="4J1",L53=7),INDEX(T!$G378:$G391,MATCH(TRUE,INDEX(T!$G378:$G391&gt;=L29,0),)),IF(AND(L51="4J1",L53=8),INDEX(T!$H378:$H391,MATCH(TRUE,INDEX(T!$H378:$H391&gt;=L29,0),)),IF(AND(L51="4J1",L53=9),INDEX(T!$I378:$I391,MATCH(TRUE,INDEX(T!$I378:$I391&gt;=L29,0),)),IF(AND(L51="4J1",L53=10),INDEX(T!$J378:$J391,MATCH(TRUE,INDEX(T!$J378:$J391&gt;=L29,0),)),IF(AND(L51="4J1",L53=11),INDEX(T!$K378:$K391,MATCH(TRUE,INDEX(T!$K378:$K391&gt;=L29,0),)),IF(AND(L51="4J1",L53=12),INDEX(T!$L$378:$L391,MATCH(TRUE,INDEX(T!$L$378:$L391&gt;=L29,0),)),IF(AND(L51="4J2",L53=2),INDEX(T!$B397:$B402,MATCH(TRUE,INDEX(T!$B397:$B402&gt;=L29,0),)),IF(AND(L51="4J2",L53=3),INDEX(T!$C$397:$C407,MATCH(TRUE,INDEX(T!$C$397:$C407&gt;=L29,0),)),IF(AND(L51="4J2",L53=4),INDEX(T!$D397:$D$402,MATCH(TRUE,INDEX(T!$D397:$D$402&gt;=L29,0),)),IF(AND(L51="4J2",L53=5),INDEX(T!$E397:$E407,MATCH(TRUE,INDEX(T!$E397:$E407&gt;=L29,0),)),IF(AND(L51="4J2",L53=6),INDEX(T!$F397:$F402,MATCH(TRUE,INDEX(T!$F397:$F402&gt;=L29,0),)),IF(AND(L51="4J2",L53=7),INDEX(T!$G397:$G407,MATCH(TRUE,INDEX(T!$G397:$G407&gt;=L29,0),)),IF(AND(L51="4J2",L53=8),INDEX(T!$H397:$H402,MATCH(TRUE,INDEX(T!$H397:$H402&gt;=L29,0),)),IF(AND(L51="4J2",L53=9),INDEX(T!$I397:$I407,MATCH(TRUE,INDEX(T!$I397:$I407&gt;=L29,0),)),IF(AND(L51="4J3",L53=2),INDEX(T!$B413:$B426,MATCH(TRUE,INDEX(T!$B413:$B426&gt;=L29,0),)),IF(AND(L51="4J3",L53=3),INDEX(T!$C$413:$C426,MATCH(TRUE,INDEX(T!$C$413:$C426&gt;=L29,0),)),IF(AND(L51="4J3",L53=4),INDEX(T!$D413:$D426,MATCH(TRUE,INDEX(T!$D413:$D426&gt;=L29,0),)),IF(AND(L51="4J3",L53=5),INDEX(T!$E413:$E426,MATCH(TRUE,INDEX(T!$E413:$E426&gt;=L29,0),)),IF(AND(L51="4J3",L53=6),INDEX(T!$F413:$F426,MATCH(TRUE,INDEX(T!$F413:$F426&gt;=L29,0),)),IF(AND(L51="4J3",L53=7),INDEX(T!$G413:$G426,MATCH(TRUE,INDEX(T!$G413:$G426&gt;=L29,0),)),IF(AND(L51="4J3",L53=8),INDEX(T!$H413:$H426,MATCH(TRUE,INDEX(T!$H413:$H426&gt;=L29,0),)),IF(AND(L51="4J3",L53=9),INDEX(T!$I413:$I426,MATCH(TRUE,INDEX(T!$I413:$I426&gt;=L29,0),)),IF(AND(L51="4J3",L53=10),INDEX(T!$J413:$J426,MATCH(TRUE,INDEX(T!$J413:$J426&gt;=L29,0),)),IF(AND(L51="4J3",L53=11),INDEX(T!$K413:$K426,MATCH(TRUE,INDEX(T!$K413:$K426&gt;=L29,0),)),IF(AND(L51="4J3",L53=12),INDEX(T!$L$413:$L426,MATCH(TRUE,INDEX(T!$L$413:$L426&gt;=L29,0),)),IF(AND(L51="4J4",L53=2),INDEX(T!$B432:$B437,MATCH(TRUE,INDEX(T!$B432:$B437&gt;=L29,0),)),IF(AND(L51="4J4",L53=3),INDEX(T!$C$432:$C442,MATCH(TRUE,INDEX(T!$C$432:$C442&gt;=L29,0),)),IF(AND(L51="4J4",L53=4),INDEX(T!$D872:$D877,MATCH(TRUE,INDEX(T!$D872:$D877&gt;=L29,0),)),IF(AND(L51="4J4",L53=5),INDEX(T!$E432:$E442,MATCH(TRUE,INDEX(T!$E432:$E442&gt;=L29,0),)),IF(AND(L51="4J4",L53=6),INDEX(T!$F432:$F437,MATCH(TRUE,INDEX(T!$F432:$F437&gt;=L29,0),)),IF(AND(L51="4J4",L53=7),INDEX(T!$G432:$G442,MATCH(TRUE,INDEX(T!$G432:$G442&gt;=L29,0),)))))))))))))))))))))))))))))))))))))),"")))</f>
        <v/>
      </c>
      <c r="M77" s="141" t="str" cm="1">
        <f t="array" ref="M77">IF(M27="","",IF(OR(M51="4H1",M51="4H2",M51="4H3",M51="4H4"),IF(AND(M51="4H1",M53=2),INDEX(T!$B308:$B315,MATCH(TRUE,INDEX(T!$B308:$B315&gt;=M29,0),)),IF(AND(M51="4H1",M53=3),INDEX(T!$C$308:$C315,MATCH(TRUE,INDEX(T!$C$308:$C315&gt;=M29,0),)),IF(AND(M51="4H1",M53=4),INDEX(T!$D308:$D318,MATCH(TRUE,INDEX(T!$D308:$D318&gt;=M29,0),)),IF(AND(M51="4H1",M53=5),INDEX(T!$E308:$E318,MATCH(TRUE,INDEX(T!$E308:$E318&gt;=M29,0),)),IF(AND(M51="4H1",M53=6),INDEX(T!$F308:$F321,MATCH(TRUE,INDEX(T!$F308:$F321&gt;=M29,0),)),IF(AND(M51="4H1",M53=7),INDEX(T!$G308:$G321,MATCH(TRUE,INDEX(T!$G308:$G321&gt;=M29,0),)),IF(AND(M51="4H1",M53=8),INDEX(T!$H308:$H321,MATCH(TRUE,INDEX(T!$H308:$H321&gt;=M29,0),)),IF(AND(M51="4H1",M53=9),INDEX(T!$I305:$I321,MATCH(TRUE,INDEX(T!$I308:$I321&gt;=M29,0),)),IF(AND(M51="4H1",M53=10),INDEX(T!$J308:$J321,MATCH(TRUE,INDEX(T!$J308:$J321&gt;=M29,0),)),IF(AND(M51="4H1",M53=11),INDEX(T!$K308:$K321,MATCH(TRUE,INDEX(T!$K308:$K321&gt;=M29,0),)),IF(AND(M51="4H1",M53=12),INDEX(T!$L$308:$L321,MATCH(TRUE,INDEX(T!$L$308:$L321&gt;=M29,0),)),IF(AND(M51="4H2",M53=2),INDEX(T!$B327:$B332,MATCH(TRUE,INDEX(T!$B327:$B332&gt;=M29,0),)),IF(AND(M51="4H2",M53=3),INDEX(T!$C$327:$C337,MATCH(TRUE,INDEX(T!$C$327:$C337&gt;=M29,0),)),IF(AND(M51="4H2",M53=4),INDEX(T!$D327:$D332,MATCH(TRUE,INDEX(T!$D327:$D332&gt;=M29,0),)),IF(AND(M51="4H2",M53=5),INDEX(T!$E327:$E337,MATCH(TRUE,INDEX(T!$E327:$E337&gt;=M29,0),)),IF(AND(M51="4H2",M53=6),INDEX(T!$F327:$F332,MATCH(TRUE,INDEX(T!$F327:$F332&gt;=M29,0),)),IF(AND(M51="4H2",M53=7),INDEX(T!$G327:$G337,MATCH(TRUE,INDEX(T!$G327:$G337&gt;=M29,0),)),IF(AND(M51="4H2",M53=8),INDEX(T!$H327:$H332,MATCH(TRUE,INDEX(T!$H327:$H332&gt;=M29,0),)),IF(AND(M51="4H2",M53=9),INDEX(T!$I327:$I337,MATCH(TRUE,INDEX(T!$I327:$I337&gt;=M29,0),)),IF(AND(M51="4H3",M53=2),INDEX(T!$B343:$B356,MATCH(TRUE,INDEX(T!$B343:$B356&gt;=M29,0),)),IF(AND(M51="4H3",M53=3),INDEX(T!$C$343:$C356,MATCH(TRUE,INDEX(T!$C$343:$C356&gt;=M29,0),)),IF(AND(M51="4H3",M53=4),INDEX(T!$D343:$D356,MATCH(TRUE,INDEX(T!$D343:$D356&gt;=M29,0),)),IF(AND(M51="4H3",M53=5),(INDEX(T!$E343:$E356,MATCH(TRUE,INDEX(T!$E343:$E356&gt;=M29,0),)),IF(AND(M51="4H3",M53=6),INDEX(T!$F343:$F356,MATCH(TRUE,INDEX(T!$F343:$F356&gt;=M29,0),)),IF(AND(M51="4H3",M53=7),INDEX(T!$G343:$G356,MATCH(TRUE,INDEX(T!$G343:$G356&gt;=M29,0),)),IF(AND(M51="4H3",M53=8),INDEX(T!$H343:$H356,MATCH(TRUE,INDEX(T!$H343:$H356&gt;=M29,0),)),IF(AND(M51="4H3",M53=9),INDEX(T!$I343:$I356,MATCH(TRUE,INDEX(T!$I343:$I356&gt;=M29,0),)),IF(AND(M51="4H3",M53=10),INDEX(T!$J343:$J356,MATCH(TRUE,INDEX(T!$J343:$J356&gt;=M29,0),)),IF(AND(M51="4H3",M53=11),INDEX(T!$K343:$K356,MATCH(TRUE,INDEX(T!$K343:$K356&gt;=M29,0),)),IF(AND(M51="4H3",M53=12),INDEX(T!$L$343:$L356,MATCH(TRUE,INDEX(T!$L$343:$L356&gt;=M29,0),)),IF(AND(M51="4H4",M53=2),INDEX(T!$B362:$B367,MATCH(TRUE,INDEX(T!$B362:$B367&gt;=M29,0),)),IF(AND(M51="4H4",M53=3),INDEX(T!$C$362:$C372,MATCH(TRUE,INDEX(T!$C$362:$C372&gt;=M29,0),)),IF(AND(M51="4H4",M53=4),INDEX(T!$D362:$D367,MATCH(TRUE,INDEX(T!$D362:$D367&gt;=M29,0),)),IF(AND(M51="4H4",M53=5),INDEX(T!$E362:$E372,MATCH(TRUE,INDEX(T!$E362:$E372&gt;=M29,0),)),IF(AND(M51="4H4",M53=6),INDEX(T!$F363:$F367,MATCH(TRUE,INDEX(T!$F363:$F367&gt;=M29,0),)),IF(AND(M51="4H4",M53=7),INDEX(T!$G363:$G372,MATCH(TRUE,INDEX(T!$G363:$G372&gt;=M29,0),))))))))))))))))))))))))))))))))))))))),IF(OR(M51="4J1",M51="4J2",M51="4J3",M51="4J4"),IF(AND(M51="4J1",M53=2),INDEX(T!$B378:$B385,MATCH(TRUE,INDEX(T!$B378:$B385&gt;=M29,0),)),IF(AND(M51="4J1",M53=3),INDEX(T!$C$378:$C385,MATCH(TRUE,INDEX(T!$C$378:$C385&gt;=M29,0),)),IF(AND(M51="4J1",M53=4),INDEX(T!$D378:$D385,MATCH(TRUE,INDEX(T!$D378:$D385&gt;=M29,0),)),IF(AND(M51="4J1",M53=5),INDEX(T!$E378:$E385,MATCH(TRUE,INDEX(T!$E378:$E385&gt;=M29,0),)),IF(AND(M51="4J1",M53=6),INDEX(T!$F378:$F391,MATCH(TRUE,INDEX(T!$F378:$F391&gt;=M29,0),)),IF(AND(M51="4J1",M53=7),INDEX(T!$G378:$G391,MATCH(TRUE,INDEX(T!$G378:$G391&gt;=M29,0),)),IF(AND(M51="4J1",M53=8),INDEX(T!$H378:$H391,MATCH(TRUE,INDEX(T!$H378:$H391&gt;=M29,0),)),IF(AND(M51="4J1",M53=9),INDEX(T!$I378:$I391,MATCH(TRUE,INDEX(T!$I378:$I391&gt;=M29,0),)),IF(AND(M51="4J1",M53=10),INDEX(T!$J378:$J391,MATCH(TRUE,INDEX(T!$J378:$J391&gt;=M29,0),)),IF(AND(M51="4J1",M53=11),INDEX(T!$K378:$K391,MATCH(TRUE,INDEX(T!$K378:$K391&gt;=M29,0),)),IF(AND(M51="4J1",M53=12),INDEX(T!$L$378:$L391,MATCH(TRUE,INDEX(T!$L$378:$L391&gt;=M29,0),)),IF(AND(M51="4J2",M53=2),INDEX(T!$B397:$B402,MATCH(TRUE,INDEX(T!$B397:$B402&gt;=M29,0),)),IF(AND(M51="4J2",M53=3),INDEX(T!$C$397:$C407,MATCH(TRUE,INDEX(T!$C$397:$C407&gt;=M29,0),)),IF(AND(M51="4J2",M53=4),INDEX(T!$D397:$D$402,MATCH(TRUE,INDEX(T!$D397:$D$402&gt;=M29,0),)),IF(AND(M51="4J2",M53=5),INDEX(T!$E397:$E407,MATCH(TRUE,INDEX(T!$E397:$E407&gt;=M29,0),)),IF(AND(M51="4J2",M53=6),INDEX(T!$F397:$F402,MATCH(TRUE,INDEX(T!$F397:$F402&gt;=M29,0),)),IF(AND(M51="4J2",M53=7),INDEX(T!$G397:$G407,MATCH(TRUE,INDEX(T!$G397:$G407&gt;=M29,0),)),IF(AND(M51="4J2",M53=8),INDEX(T!$H397:$H402,MATCH(TRUE,INDEX(T!$H397:$H402&gt;=M29,0),)),IF(AND(M51="4J2",M53=9),INDEX(T!$I397:$I407,MATCH(TRUE,INDEX(T!$I397:$I407&gt;=M29,0),)),IF(AND(M51="4J3",M53=2),INDEX(T!$B413:$B426,MATCH(TRUE,INDEX(T!$B413:$B426&gt;=M29,0),)),IF(AND(M51="4J3",M53=3),INDEX(T!$C$413:$C426,MATCH(TRUE,INDEX(T!$C$413:$C426&gt;=M29,0),)),IF(AND(M51="4J3",M53=4),INDEX(T!$D413:$D426,MATCH(TRUE,INDEX(T!$D413:$D426&gt;=M29,0),)),IF(AND(M51="4J3",M53=5),INDEX(T!$E413:$E426,MATCH(TRUE,INDEX(T!$E413:$E426&gt;=M29,0),)),IF(AND(M51="4J3",M53=6),INDEX(T!$F413:$F426,MATCH(TRUE,INDEX(T!$F413:$F426&gt;=M29,0),)),IF(AND(M51="4J3",M53=7),INDEX(T!$G413:$G426,MATCH(TRUE,INDEX(T!$G413:$G426&gt;=M29,0),)),IF(AND(M51="4J3",M53=8),INDEX(T!$H413:$H426,MATCH(TRUE,INDEX(T!$H413:$H426&gt;=M29,0),)),IF(AND(M51="4J3",M53=9),INDEX(T!$I413:$I426,MATCH(TRUE,INDEX(T!$I413:$I426&gt;=M29,0),)),IF(AND(M51="4J3",M53=10),INDEX(T!$J413:$J426,MATCH(TRUE,INDEX(T!$J413:$J426&gt;=M29,0),)),IF(AND(M51="4J3",M53=11),INDEX(T!$K413:$K426,MATCH(TRUE,INDEX(T!$K413:$K426&gt;=M29,0),)),IF(AND(M51="4J3",M53=12),INDEX(T!$L$413:$L426,MATCH(TRUE,INDEX(T!$L$413:$L426&gt;=M29,0),)),IF(AND(M51="4J4",M53=2),INDEX(T!$B432:$B437,MATCH(TRUE,INDEX(T!$B432:$B437&gt;=M29,0),)),IF(AND(M51="4J4",M53=3),INDEX(T!$C$432:$C442,MATCH(TRUE,INDEX(T!$C$432:$C442&gt;=M29,0),)),IF(AND(M51="4J4",M53=4),INDEX(T!$D872:$D877,MATCH(TRUE,INDEX(T!$D872:$D877&gt;=M29,0),)),IF(AND(M51="4J4",M53=5),INDEX(T!$E432:$E442,MATCH(TRUE,INDEX(T!$E432:$E442&gt;=M29,0),)),IF(AND(M51="4J4",M53=6),INDEX(T!$F432:$F437,MATCH(TRUE,INDEX(T!$F432:$F437&gt;=M29,0),)),IF(AND(M51="4J4",M53=7),INDEX(T!$G432:$G442,MATCH(TRUE,INDEX(T!$G432:$G442&gt;=M29,0),)))))))))))))))))))))))))))))))))))))),"")))</f>
        <v/>
      </c>
      <c r="N77" s="141" t="str" cm="1">
        <f t="array" ref="N77">IF(N27="","",IF(OR(N51="4H1",N51="4H2",N51="4H3",N51="4H4"),IF(AND(N51="4H1",N53=2),INDEX(T!$B308:$B315,MATCH(TRUE,INDEX(T!$B308:$B315&gt;=N29,0),)),IF(AND(N51="4H1",N53=3),INDEX(T!$C$308:$C315,MATCH(TRUE,INDEX(T!$C$308:$C315&gt;=N29,0),)),IF(AND(N51="4H1",N53=4),INDEX(T!$D308:$D318,MATCH(TRUE,INDEX(T!$D308:$D318&gt;=N29,0),)),IF(AND(N51="4H1",N53=5),INDEX(T!$E308:$E318,MATCH(TRUE,INDEX(T!$E308:$E318&gt;=N29,0),)),IF(AND(N51="4H1",N53=6),INDEX(T!$F308:$F321,MATCH(TRUE,INDEX(T!$F308:$F321&gt;=N29,0),)),IF(AND(N51="4H1",N53=7),INDEX(T!$G308:$G321,MATCH(TRUE,INDEX(T!$G308:$G321&gt;=N29,0),)),IF(AND(N51="4H1",N53=8),INDEX(T!$H308:$H321,MATCH(TRUE,INDEX(T!$H308:$H321&gt;=N29,0),)),IF(AND(N51="4H1",N53=9),INDEX(T!$I305:$I321,MATCH(TRUE,INDEX(T!$I308:$I321&gt;=N29,0),)),IF(AND(N51="4H1",N53=10),INDEX(T!$J308:$J321,MATCH(TRUE,INDEX(T!$J308:$J321&gt;=N29,0),)),IF(AND(N51="4H1",N53=11),INDEX(T!$K308:$K321,MATCH(TRUE,INDEX(T!$K308:$K321&gt;=N29,0),)),IF(AND(N51="4H1",N53=12),INDEX(T!$L$308:$L321,MATCH(TRUE,INDEX(T!$L$308:$L321&gt;=N29,0),)),IF(AND(N51="4H2",N53=2),INDEX(T!$B327:$B332,MATCH(TRUE,INDEX(T!$B327:$B332&gt;=N29,0),)),IF(AND(N51="4H2",N53=3),INDEX(T!$C$327:$C337,MATCH(TRUE,INDEX(T!$C$327:$C337&gt;=N29,0),)),IF(AND(N51="4H2",N53=4),INDEX(T!$D327:$D332,MATCH(TRUE,INDEX(T!$D327:$D332&gt;=N29,0),)),IF(AND(N51="4H2",N53=5),INDEX(T!$E327:$E337,MATCH(TRUE,INDEX(T!$E327:$E337&gt;=N29,0),)),IF(AND(N51="4H2",N53=6),INDEX(T!$F327:$F332,MATCH(TRUE,INDEX(T!$F327:$F332&gt;=N29,0),)),IF(AND(N51="4H2",N53=7),INDEX(T!$G327:$G337,MATCH(TRUE,INDEX(T!$G327:$G337&gt;=N29,0),)),IF(AND(N51="4H2",N53=8),INDEX(T!$H327:$H332,MATCH(TRUE,INDEX(T!$H327:$H332&gt;=N29,0),)),IF(AND(N51="4H2",N53=9),INDEX(T!$I327:$I337,MATCH(TRUE,INDEX(T!$I327:$I337&gt;=N29,0),)),IF(AND(N51="4H3",N53=2),INDEX(T!$B343:$B356,MATCH(TRUE,INDEX(T!$B343:$B356&gt;=N29,0),)),IF(AND(N51="4H3",N53=3),INDEX(T!$C$343:$C356,MATCH(TRUE,INDEX(T!$C$343:$C356&gt;=N29,0),)),IF(AND(N51="4H3",N53=4),INDEX(T!$D343:$D356,MATCH(TRUE,INDEX(T!$D343:$D356&gt;=N29,0),)),IF(AND(N51="4H3",N53=5),(INDEX(T!$E343:$E356,MATCH(TRUE,INDEX(T!$E343:$E356&gt;=N29,0),)),IF(AND(N51="4H3",N53=6),INDEX(T!$F343:$F356,MATCH(TRUE,INDEX(T!$F343:$F356&gt;=N29,0),)),IF(AND(N51="4H3",N53=7),INDEX(T!$G343:$G356,MATCH(TRUE,INDEX(T!$G343:$G356&gt;=N29,0),)),IF(AND(N51="4H3",N53=8),INDEX(T!$H343:$H356,MATCH(TRUE,INDEX(T!$H343:$H356&gt;=N29,0),)),IF(AND(N51="4H3",N53=9),INDEX(T!$I343:$I356,MATCH(TRUE,INDEX(T!$I343:$I356&gt;=N29,0),)),IF(AND(N51="4H3",N53=10),INDEX(T!$J343:$J356,MATCH(TRUE,INDEX(T!$J343:$J356&gt;=N29,0),)),IF(AND(N51="4H3",N53=11),INDEX(T!$K343:$K356,MATCH(TRUE,INDEX(T!$K343:$K356&gt;=N29,0),)),IF(AND(N51="4H3",N53=12),INDEX(T!$L$343:$L356,MATCH(TRUE,INDEX(T!$L$343:$L356&gt;=N29,0),)),IF(AND(N51="4H4",N53=2),INDEX(T!$B362:$B367,MATCH(TRUE,INDEX(T!$B362:$B367&gt;=N29,0),)),IF(AND(N51="4H4",N53=3),INDEX(T!$C$362:$C372,MATCH(TRUE,INDEX(T!$C$362:$C372&gt;=N29,0),)),IF(AND(N51="4H4",N53=4),INDEX(T!$D362:$D367,MATCH(TRUE,INDEX(T!$D362:$D367&gt;=N29,0),)),IF(AND(N51="4H4",N53=5),INDEX(T!$E362:$E372,MATCH(TRUE,INDEX(T!$E362:$E372&gt;=N29,0),)),IF(AND(N51="4H4",N53=6),INDEX(T!$F363:$F367,MATCH(TRUE,INDEX(T!$F363:$F367&gt;=N29,0),)),IF(AND(N51="4H4",N53=7),INDEX(T!$G363:$G372,MATCH(TRUE,INDEX(T!$G363:$G372&gt;=N29,0),))))))))))))))))))))))))))))))))))))))),IF(OR(N51="4J1",N51="4J2",N51="4J3",N51="4J4"),IF(AND(N51="4J1",N53=2),INDEX(T!$B378:$B385,MATCH(TRUE,INDEX(T!$B378:$B385&gt;=N29,0),)),IF(AND(N51="4J1",N53=3),INDEX(T!$C$378:$C385,MATCH(TRUE,INDEX(T!$C$378:$C385&gt;=N29,0),)),IF(AND(N51="4J1",N53=4),INDEX(T!$D378:$D385,MATCH(TRUE,INDEX(T!$D378:$D385&gt;=N29,0),)),IF(AND(N51="4J1",N53=5),INDEX(T!$E378:$E385,MATCH(TRUE,INDEX(T!$E378:$E385&gt;=N29,0),)),IF(AND(N51="4J1",N53=6),INDEX(T!$F378:$F391,MATCH(TRUE,INDEX(T!$F378:$F391&gt;=N29,0),)),IF(AND(N51="4J1",N53=7),INDEX(T!$G378:$G391,MATCH(TRUE,INDEX(T!$G378:$G391&gt;=N29,0),)),IF(AND(N51="4J1",N53=8),INDEX(T!$H378:$H391,MATCH(TRUE,INDEX(T!$H378:$H391&gt;=N29,0),)),IF(AND(N51="4J1",N53=9),INDEX(T!$I378:$I391,MATCH(TRUE,INDEX(T!$I378:$I391&gt;=N29,0),)),IF(AND(N51="4J1",N53=10),INDEX(T!$J378:$J391,MATCH(TRUE,INDEX(T!$J378:$J391&gt;=N29,0),)),IF(AND(N51="4J1",N53=11),INDEX(T!$K378:$K391,MATCH(TRUE,INDEX(T!$K378:$K391&gt;=N29,0),)),IF(AND(N51="4J1",N53=12),INDEX(T!$L$378:$L391,MATCH(TRUE,INDEX(T!$L$378:$L391&gt;=N29,0),)),IF(AND(N51="4J2",N53=2),INDEX(T!$B397:$B402,MATCH(TRUE,INDEX(T!$B397:$B402&gt;=N29,0),)),IF(AND(N51="4J2",N53=3),INDEX(T!$C$397:$C407,MATCH(TRUE,INDEX(T!$C$397:$C407&gt;=N29,0),)),IF(AND(N51="4J2",N53=4),INDEX(T!$D397:$D$402,MATCH(TRUE,INDEX(T!$D397:$D$402&gt;=N29,0),)),IF(AND(N51="4J2",N53=5),INDEX(T!$E397:$E407,MATCH(TRUE,INDEX(T!$E397:$E407&gt;=N29,0),)),IF(AND(N51="4J2",N53=6),INDEX(T!$F397:$F402,MATCH(TRUE,INDEX(T!$F397:$F402&gt;=N29,0),)),IF(AND(N51="4J2",N53=7),INDEX(T!$G397:$G407,MATCH(TRUE,INDEX(T!$G397:$G407&gt;=N29,0),)),IF(AND(N51="4J2",N53=8),INDEX(T!$H397:$H402,MATCH(TRUE,INDEX(T!$H397:$H402&gt;=N29,0),)),IF(AND(N51="4J2",N53=9),INDEX(T!$I397:$I407,MATCH(TRUE,INDEX(T!$I397:$I407&gt;=N29,0),)),IF(AND(N51="4J3",N53=2),INDEX(T!$B413:$B426,MATCH(TRUE,INDEX(T!$B413:$B426&gt;=N29,0),)),IF(AND(N51="4J3",N53=3),INDEX(T!$C$413:$C426,MATCH(TRUE,INDEX(T!$C$413:$C426&gt;=N29,0),)),IF(AND(N51="4J3",N53=4),INDEX(T!$D413:$D426,MATCH(TRUE,INDEX(T!$D413:$D426&gt;=N29,0),)),IF(AND(N51="4J3",N53=5),INDEX(T!$E413:$E426,MATCH(TRUE,INDEX(T!$E413:$E426&gt;=N29,0),)),IF(AND(N51="4J3",N53=6),INDEX(T!$F413:$F426,MATCH(TRUE,INDEX(T!$F413:$F426&gt;=N29,0),)),IF(AND(N51="4J3",N53=7),INDEX(T!$G413:$G426,MATCH(TRUE,INDEX(T!$G413:$G426&gt;=N29,0),)),IF(AND(N51="4J3",N53=8),INDEX(T!$H413:$H426,MATCH(TRUE,INDEX(T!$H413:$H426&gt;=N29,0),)),IF(AND(N51="4J3",N53=9),INDEX(T!$I413:$I426,MATCH(TRUE,INDEX(T!$I413:$I426&gt;=N29,0),)),IF(AND(N51="4J3",N53=10),INDEX(T!$J413:$J426,MATCH(TRUE,INDEX(T!$J413:$J426&gt;=N29,0),)),IF(AND(N51="4J3",N53=11),INDEX(T!$K413:$K426,MATCH(TRUE,INDEX(T!$K413:$K426&gt;=N29,0),)),IF(AND(N51="4J3",N53=12),INDEX(T!$L$413:$L426,MATCH(TRUE,INDEX(T!$L$413:$L426&gt;=N29,0),)),IF(AND(N51="4J4",N53=2),INDEX(T!$B432:$B437,MATCH(TRUE,INDEX(T!$B432:$B437&gt;=N29,0),)),IF(AND(N51="4J4",N53=3),INDEX(T!$C$432:$C442,MATCH(TRUE,INDEX(T!$C$432:$C442&gt;=N29,0),)),IF(AND(N51="4J4",N53=4),INDEX(T!$D872:$D877,MATCH(TRUE,INDEX(T!$D872:$D877&gt;=N29,0),)),IF(AND(N51="4J4",N53=5),INDEX(T!$E432:$E442,MATCH(TRUE,INDEX(T!$E432:$E442&gt;=N29,0),)),IF(AND(N51="4J4",N53=6),INDEX(T!$F432:$F437,MATCH(TRUE,INDEX(T!$F432:$F437&gt;=N29,0),)),IF(AND(N51="4J4",N53=7),INDEX(T!$G432:$G442,MATCH(TRUE,INDEX(T!$G432:$G442&gt;=N29,0),)))))))))))))))))))))))))))))))))))))),"")))</f>
        <v/>
      </c>
      <c r="O77" s="140" t="str">
        <f>IF(N77&lt;&gt;"","A","")</f>
        <v/>
      </c>
    </row>
    <row r="78" spans="1:43" s="128" customFormat="1" ht="16">
      <c r="A78" s="134"/>
      <c r="B78" s="181" t="s">
        <v>2126</v>
      </c>
      <c r="C78" s="134"/>
      <c r="D78" s="134">
        <f>IF(D29="","",IF(ISNUMBER(SEARCH("4D",D51)),IF(AND(D51="4D1",D53=2),LOOKUP(D75,T!$B6:$B22,T!$M6:$M27),IF(AND(D51="4D1",D53=3),LOOKUP(D75,T!$C6:$C22,T!$M6:$M27),IF(AND(D51="4D1",D53=4),LOOKUP(D75,T!$D6:$D25,T!$M6:$M27),IF(AND(D51="4D1",D53=5),LOOKUP(D75,T!$E6:$E25,T!$M6:$M27),IF(AND(D51="4D1",D53=6),LOOKUP(D75,T!$F6:$F27,T!$M6:$M27),IF(AND(D51="4D1",D53=7),LOOKUP(D75,T!$G6:$G27,T!$M6:$M27),IF(AND(D51="4D1",D53=8),LOOKUP(D75,T!$H13:$H27,T!$M13:$M27),IF(AND(D51="4D1",D53=9),LOOKUP(D75,T!$I13:$I27,T!$M13:$M27),IF(AND(D51="4D1",D53=10),LOOKUP(D75,T!$J13:$J27,T!$M13:$M27),IF(AND(D51="4D1",D53=11),LOOKUP(D75,T!$K13:$K27,T!$M13:$M27),IF(AND(D51="4D1",D53=12),LOOKUP(D75,T!$L13:$L27,T!$M13:$M27),IF(AND(D51="4D2",D53=2),LOOKUP(D75,T!$B33:$B49,T!$J33:$J50),IF(AND(D51="4D2",D53=3),LOOKUP(D75,T!$C33:$C49,T!$J33:$J50),IF(AND(D51="4D2",D53=4),LOOKUP(D75,T!$D33:$D50,T!$J33:$J50),IF(AND(D51="4D2",D53=5),LOOKUP(D75,T!$E33:$E50,T!$J33:$J50),IF(AND(D51="4D2",D53=6),LOOKUP(D75,T!$F33:$F50,T!$J33:$J50),IF(AND(D51="4D2",D53=7),LOOKUP(D75,T!$G33:$G50,T!$J33:$J50),IF(AND(D51="4D2",D53=8),LOOKUP(D75,T!$H33:$H50,T!$J33:$J50),IF(AND(D51="4D2",D53=9),LOOKUP(D75,T!$I33:$I50,T!$J33:$J50),IF(AND(D51="4D3",D53=2),LOOKUP(D75,T!$B56:$B68,T!$M56:$M68),IF(AND(D51="4D3",D53=3),LOOKUP(D75,T!$C56:$C68,T!$M56:$M68),IF(AND(D51="4D3",D53=4),LOOKUP(D75,T!$D56:$D$68,T!$M56:$M68),IF(AND(D51="4D3",D53=5),LOOKUP(D75,T!$E56:$E68,T!$M56:$M68),IF(AND(D51="4D3",D53=6),LOOKUP(D75,T!$F56:$F68,T!$M56:$M68),IF(AND(D51="4D3",D53=7),LOOKUP(D75,T!$G56:$G68,T!$M56:$M68),IF(AND(D51="4D3",D53=8),LOOKUP(D75,T!$H56:$H68,T!$M56:$M68),IF(AND(D51="4D3",D53=9),LOOKUP(D75,T!$I56:$I68,T!$M56:$M68),IF(AND(D51="4D3",D53=10),LOOKUP(D75,T!$J56:$J68,T!$M56:$M68),IF(AND(D51="4D3",D53=11),LOOKUP(D75,T!$K56:$K68,T!$M56:$M68),IF(AND(D51="4D3",D53=12),LOOKUP(D75,T!$L56:$L68,T!$M56:$M68),IF(AND(D51="4D4",D53=2),LOOKUP(D75,T!$B74:$B90,T!$H74:$H90),IF(AND(D51="4D4",D53=3),LOOKUP(D75,T!$C74:$C90,T!$H74:$H90),IF(AND(D51="4D4",D53=4),LOOKUP(D75,T!$D74:$D90,T!$H74:$H90),IF(AND(D51="4D4",D53=5),LOOKUP(D75,T!$E74:$E90,T!$H74:$H90),IF(AND(D51="4D4",D53=6),LOOKUP(D75,T!$F74:$F89,T!$H74:$H90),IF(AND(D51="4D4",D53=7),LOOKUP(D75,T!$G74:$G89,T!$H74:$H90),IF(AND(D51="4D5",D53=2),LOOKUP(D75,T!$B96:$B102,T!$I96:$I102),IF(AND(D51="4D5",D53=3),LOOKUP(D75,T!$C96:$C102,T!$I96:$I102),IF(AND(D51="4D5",D53=4),LOOKUP(D75,T!$D96:$D102,T!$I96:$I102),IF(AND(D51="4D5",D53=5),LOOKUP(D75,T!$E96:$E102,T!$I96:$I102),IF(AND(D51="4D5",D53=6),LOOKUP(D75,T!$F96:$F102,T!$I96:$I102),IF(AND(D51="4D5",D53=7),LOOKUP(D75,T!$G96:$G102,T!$I96:$I102),"-")))))))))))))))))))))))))))))))))))))))))),IF(ISNUMBER(SEARCH("4E",D51)),IF(AND(D51="4E1",D53=2),LOOKUP(D75,T!$B108:$B124,T!$M108:$M129),IF(AND(D51="4E1",D53=3),LOOKUP(D75,T!$C108:$C124,T!$M108:$M129),IF(AND(D51="4E1",D53=4),LOOKUP(D75,T!$D108:$D127,T!$M108:$M129),IF(AND(D51="4E1",D53=5),LOOKUP(D75,T!$E108:$E127,T!$M108:$M129),IF(AND(D51="4E1",D53=6),LOOKUP(D75,T!$F108:$F129,T!$M108:$M129),IF(AND(D51="4E1",D53=7),LOOKUP(D75,T!$G108:$G129,T!$M108:$M129),IF(AND(D51="4E1",D53=8),LOOKUP(D75,T!$H115:$H129,T!$M115:$M129),IF(AND(D51="4E1",D53=9),LOOKUP(D75,T!$I115:$I129,T!$M115:$M129),IF(AND(D51="4E1",D53=10),LOOKUP(D75,T!$J115:$J129,T!$M115:$M129),IF(AND(D51="4E1",D53=11),LOOKUP(D75,T!$K115:$K129,T!$M115:$M129),IF(AND(D51="4E1",D53=12),LOOKUP(D75,T!$L115:$L129,T!$M115:$M129),IF(AND(D51="4E2",D53=2),LOOKUP(D75,T!$B134:$B151,T!$J134:$J152),IF(AND(D51="4E2",D53=3),LOOKUP(D75,T!$C134:$C151,T!$J134:$J152),IF(AND(D51="4E2",D53=4),LOOKUP(D75,T!$D134:$D152,T!$J134:$J152),IF(AND(D51="4E2",D53=5),LOOKUP(D75,T!$E134:$E152,T!$J134:$J152),IF(AND(D51="4E2",D53=6),LOOKUP(D75,T!$F134:$F152,T!$J134:$J152),IF(AND(D51="4E2",D53=7),LOOKUP(D75,T!$G134:$G152,T!$J134:$J152),IF(AND(D51="4E2",D53=8),LOOKUP(D75,T!$H134:$H152,T!$J134:$J152),IF(AND(D51="4E2",D53=9),LOOKUP(D75,T!$I134:$I152,T!$J134:$J152),IF(AND(D51="4E3",D53=2),LOOKUP(D75,T!$B158:$B170,T!$M158:$M170),IF(AND(D51="4E3",D53=3),LOOKUP(D75,T!$C158:$C170,T!$M158:$M170),IF(AND(D51="4E3",D53=4),LOOKUP(D75,T!$D158:$D170,T!$M158:$M170),IF(AND(D51="4E3",D53=5),LOOKUP(D75,T!$E158:$E170,T!$M158:$M170),IF(AND(D51="4E3",D53=6),LOOKUP(D75,T!$F158:$F170,T!$M158:$M170),IF(AND(D51="4E3",D53=7),LOOKUP(D75,T!$G158:$G170,T!$M158:$M170),IF(AND(D51="4E3",D53=8),LOOKUP(D75,T!$H158:$H170,T!$M158:$M170),IF(AND(D51="4E3",D53=9),LOOKUP(D75,T!$I158:$I170,T!$M158:$M170),IF(AND(D51="4E3",D53=10),LOOKUP(D75,T!$J158:$J170,T!$M158:$M170),IF(AND(D51="4E3",D53=11),LOOKUP(D75,T!$K158:$K170,T!$M158:$M170),IF(AND(D51="4E3",D53=12),LOOKUP(D75,T!$L158:$L170,T!$M158:$M170),IF(AND(D51="4E4",D53=2),LOOKUP(D75,T!$B176:$B192,T!$H176:$H192),IF(AND(D51="4E4",D53=3),LOOKUP(D75,T!$C176:$C192,T!$H176:$H192),IF(AND(D51="4E4",D53=4),LOOKUP(D75,T!$D176:$D192,T!$H176:$H192),IF(AND(D51="4E4",D53=5),LOOKUP(D75,T!$E176:$E192,T!$H176:$H192),IF(AND(D51="4E4",D53=6),LOOKUP(D75,T!$F176:$F191,T!$H176:$H192),IF(AND(D51="4E4",D53=7),LOOKUP(D75,T!$G176:$G191,T!$H176:$H192),"-")))))))))))))))))))))))))))))))))))),IF(ISNUMBER(SEARCH("4F",D51)),IF(AND(D51="4F1",D53=2),LOOKUP(D75,T!$B198:$B202,T!$E198:$E214),IF(AND(D51="4F1",D53=3),LOOKUP(D75,T!$C198:$C211,T!$E198:$E214),IF(AND(D51="4F1",D53=4),LOOKUP(D75,T!$D203:$D214,T!$E203:$E214),IF(AND(D51="4F2",D53=2),LOOKUP(D75,T!$B220:$B224,T!$E220:$E236),IF(AND(D51="4F2",D53=3),LOOKUP(D75,T!$C220:$C233,T!$E220:$E236),IF(AND(D51="4F2",D53=4),LOOKUP(D75,T!$D225:$D236,T!$E225:$E236),IF(AND(D51="4F3",D53=2),LOOKUP(D75,T!$B242:$B248,T!$E242:$E248),IF(AND(D51="4F3",D53=3),LOOKUP(D75,T!$C242:$C248,T!$E242:$E248),"-")))))))),""))))</f>
        <v>4</v>
      </c>
      <c r="E78" s="134">
        <f ca="1">IF(E29="","",IF(ISNUMBER(SEARCH("4D",E51)),IF(AND(E51="4D1",E53=2),LOOKUP(E75,T!$B6:$B22,T!$M6:$M27),IF(AND(E51="4D1",E53=3),LOOKUP(E75,T!$C6:$C22,T!$M6:$M27),IF(AND(E51="4D1",E53=4),LOOKUP(E75,T!$D6:$D25,T!$M6:$M27),IF(AND(E51="4D1",E53=5),LOOKUP(E75,T!$E6:$E25,T!$M6:$M27),IF(AND(E51="4D1",E53=6),LOOKUP(E75,T!$F6:$F27,T!$M6:$M27),IF(AND(E51="4D1",E53=7),LOOKUP(E75,T!$G6:$G27,T!$M6:$M27),IF(AND(E51="4D1",E53=8),LOOKUP(E75,T!$H13:$H27,T!$M13:$M27),IF(AND(E51="4D1",E53=9),LOOKUP(E75,T!$I13:$I27,T!$M13:$M27),IF(AND(E51="4D1",E53=10),LOOKUP(E75,T!$J13:$J27,T!$M13:$M27),IF(AND(E51="4D1",E53=11),LOOKUP(E75,T!$K13:$K27,T!$M13:$M27),IF(AND(E51="4D1",E53=12),LOOKUP(E75,T!$L13:$L27,T!$M13:$M27),IF(AND(E51="4D2",E53=2),LOOKUP(E75,T!$B33:$B49,T!$J33:$J50),IF(AND(E51="4D2",E53=3),LOOKUP(E75,T!$C33:$C49,T!$J33:$J50),IF(AND(E51="4D2",E53=4),LOOKUP(E75,T!$D33:$D50,T!$J33:$J50),IF(AND(E51="4D2",E53=5),LOOKUP(E75,T!$E33:$E50,T!$J33:$J50),IF(AND(E51="4D2",E53=6),LOOKUP(E75,T!$F33:$F50,T!$J33:$J50),IF(AND(E51="4D2",E53=7),LOOKUP(E75,T!$G33:$G50,T!$J33:$J50),IF(AND(E51="4D2",E53=8),LOOKUP(E75,T!$H33:$H50,T!$J33:$J50),IF(AND(E51="4D2",E53=9),LOOKUP(E75,T!$I33:$I50,T!$J33:$J50),IF(AND(E51="4D3",E53=2),LOOKUP(E75,T!$B56:$B68,T!$M56:$M68),IF(AND(E51="4D3",E53=3),LOOKUP(E75,T!$C56:$C68,T!$M56:$M68),IF(AND(E51="4D3",E53=4),LOOKUP(E75,T!$D56:$D$68,T!$M56:$M68),IF(AND(E51="4D3",E53=5),LOOKUP(E75,T!$E56:$E68,T!$M56:$M68),IF(AND(E51="4D3",E53=6),LOOKUP(E75,T!$F56:$F68,T!$M56:$M68),IF(AND(E51="4D3",E53=7),LOOKUP(E75,T!$G56:$G68,T!$M56:$M68),IF(AND(E51="4D3",E53=8),LOOKUP(E75,T!$H56:$H68,T!$M56:$M68),IF(AND(E51="4D3",E53=9),LOOKUP(E75,T!$I56:$I68,T!$M56:$M68),IF(AND(E51="4D3",E53=10),LOOKUP(E75,T!$J56:$J68,T!$M56:$M68),IF(AND(E51="4D3",E53=11),LOOKUP(E75,T!$K56:$K68,T!$M56:$M68),IF(AND(E51="4D3",E53=12),LOOKUP(E75,T!$L56:$L68,T!$M56:$M68),IF(AND(E51="4D4",E53=2),LOOKUP(E75,T!$B74:$B90,T!$H74:$H90),IF(AND(E51="4D4",E53=3),LOOKUP(E75,T!$C74:$C90,T!$H74:$H90),IF(AND(E51="4D4",E53=4),LOOKUP(E75,T!$D74:$D90,T!$H74:$H90),IF(AND(E51="4D4",E53=5),LOOKUP(E75,T!$E74:$E90,T!$H74:$H90),IF(AND(E51="4D4",E53=6),LOOKUP(E75,T!$F74:$F89,T!$H74:$H90),IF(AND(E51="4D4",E53=7),LOOKUP(E75,T!$G74:$G89,T!$H74:$H90),IF(AND(E51="4D5",E53=2),LOOKUP(E75,T!$B96:$B102,T!$I96:$I102),IF(AND(E51="4D5",E53=3),LOOKUP(E75,T!$C96:$C102,T!$I96:$I102),IF(AND(E51="4D5",E53=4),LOOKUP(E75,T!$D96:$D102,T!$I96:$I102),IF(AND(E51="4D5",E53=5),LOOKUP(E75,T!$E96:$E102,T!$I96:$I102),IF(AND(E51="4D5",E53=6),LOOKUP(E75,T!$F96:$F102,T!$I96:$I102),IF(AND(E51="4D5",E53=7),LOOKUP(E75,T!$G96:$G102,T!$I96:$I102),"-")))))))))))))))))))))))))))))))))))))))))),IF(ISNUMBER(SEARCH("4E",E51)),IF(AND(E51="4E1",E53=2),LOOKUP(E75,T!$B108:$B124,T!$M108:$M129),IF(AND(E51="4E1",E53=3),LOOKUP(E75,T!$C108:$C124,T!$M108:$M129),IF(AND(E51="4E1",E53=4),LOOKUP(E75,T!$D108:$D127,T!$M108:$M129),IF(AND(E51="4E1",E53=5),LOOKUP(E75,T!$E108:$E127,T!$M108:$M129),IF(AND(E51="4E1",E53=6),LOOKUP(E75,T!$F108:$F129,T!$M108:$M129),IF(AND(E51="4E1",E53=7),LOOKUP(E75,T!$G108:$G129,T!$M108:$M129),IF(AND(E51="4E1",E53=8),LOOKUP(E75,T!$H115:$H129,T!$M115:$M129),IF(AND(E51="4E1",E53=9),LOOKUP(E75,T!$I115:$I129,T!$M115:$M129),IF(AND(E51="4E1",E53=10),LOOKUP(E75,T!$J115:$J129,T!$M115:$M129),IF(AND(E51="4E1",E53=11),LOOKUP(E75,T!$K115:$K129,T!$M115:$M129),IF(AND(E51="4E1",E53=12),LOOKUP(E75,T!$L115:$L129,T!$M115:$M129),IF(AND(E51="4E2",E53=2),LOOKUP(E75,T!$B134:$B151,T!$J134:$J152),IF(AND(E51="4E2",E53=3),LOOKUP(E75,T!$C134:$C151,T!$J134:$J152),IF(AND(E51="4E2",E53=4),LOOKUP(E75,T!$D134:$D152,T!$J134:$J152),IF(AND(E51="4E2",E53=5),LOOKUP(E75,T!$E134:$E152,T!$J134:$J152),IF(AND(E51="4E2",E53=6),LOOKUP(E75,T!$F134:$F152,T!$J134:$J152),IF(AND(E51="4E2",E53=7),LOOKUP(E75,T!$G134:$G152,T!$J134:$J152),IF(AND(E51="4E2",E53=8),LOOKUP(E75,T!$H134:$H152,T!$J134:$J152),IF(AND(E51="4E2",E53=9),LOOKUP(E75,T!$I134:$I152,T!$J134:$J152),IF(AND(E51="4E3",E53=2),LOOKUP(E75,T!$B158:$B170,T!$M158:$M170),IF(AND(E51="4E3",E53=3),LOOKUP(E75,T!$C158:$C170,T!$M158:$M170),IF(AND(E51="4E3",E53=4),LOOKUP(E75,T!$D158:$D170,T!$M158:$M170),IF(AND(E51="4E3",E53=5),LOOKUP(E75,T!$E158:$E170,T!$M158:$M170),IF(AND(E51="4E3",E53=6),LOOKUP(E75,T!$F158:$F170,T!$M158:$M170),IF(AND(E51="4E3",E53=7),LOOKUP(E75,T!$G158:$G170,T!$M158:$M170),IF(AND(E51="4E3",E53=8),LOOKUP(E75,T!$H158:$H170,T!$M158:$M170),IF(AND(E51="4E3",E53=9),LOOKUP(E75,T!$I158:$I170,T!$M158:$M170),IF(AND(E51="4E3",E53=10),LOOKUP(E75,T!$J158:$J170,T!$M158:$M170),IF(AND(E51="4E3",E53=11),LOOKUP(E75,T!$K158:$K170,T!$M158:$M170),IF(AND(E51="4E3",E53=12),LOOKUP(E75,T!$L158:$L170,T!$M158:$M170),IF(AND(E51="4E4",E53=2),LOOKUP(E75,T!$B176:$B192,T!$H176:$H192),IF(AND(E51="4E4",E53=3),LOOKUP(E75,T!$C176:$C192,T!$H176:$H192),IF(AND(E51="4E4",E53=4),LOOKUP(E75,T!$D176:$D192,T!$H176:$H192),IF(AND(E51="4E4",E53=5),LOOKUP(E75,T!$E176:$E192,T!$H176:$H192),IF(AND(E51="4E4",E53=6),LOOKUP(E75,T!$F176:$F191,T!$H176:$H192),IF(AND(E51="4E4",E53=7),LOOKUP(E75,T!$G176:$G191,T!$H176:$H192),"-")))))))))))))))))))))))))))))))))))),IF(ISNUMBER(SEARCH("4F",E51)),IF(AND(E51="4F1",E53=2),LOOKUP(E75,T!$B198:$B202,T!$E198:$E214),IF(AND(E51="4F1",E53=3),LOOKUP(E75,T!$C198:$C211,T!$E198:$E214),IF(AND(E51="4F1",E53=4),LOOKUP(E75,T!$D203:$D214,T!$E203:$E214),IF(AND(E51="4F2",E53=2),LOOKUP(E75,T!$B220:$B224,T!$E220:$E236),IF(AND(E51="4F2",E53=3),LOOKUP(E75,T!$C220:$C233,T!$E220:$E236),IF(AND(E51="4F2",E53=4),LOOKUP(E75,T!$D225:$D236,T!$E225:$E236),IF(AND(E51="4F3",E53=2),LOOKUP(E75,T!$B242:$B248,T!$E242:$E248),IF(AND(E51="4F3",E53=3),LOOKUP(E75,T!$C242:$C248,T!$E242:$E248),"-")))))))),""))))</f>
        <v>10</v>
      </c>
      <c r="F78" s="134">
        <f ca="1">IF(F29="","",IF(ISNUMBER(SEARCH("4D",F51)),IF(AND(F51="4D1",F53=2),LOOKUP(F75,T!$B6:$B22,T!$M6:$M27),IF(AND(F51="4D1",F53=3),LOOKUP(F75,T!$C6:$C22,T!$M6:$M27),IF(AND(F51="4D1",F53=4),LOOKUP(F75,T!$D6:$D25,T!$M6:$M27),IF(AND(F51="4D1",F53=5),LOOKUP(F75,T!$E6:$E25,T!$M6:$M27),IF(AND(F51="4D1",F53=6),LOOKUP(F75,T!$F6:$F27,T!$M6:$M27),IF(AND(F51="4D1",F53=7),LOOKUP(F75,T!$G6:$G27,T!$M6:$M27),IF(AND(F51="4D1",F53=8),LOOKUP(F75,T!$H13:$H27,T!$M13:$M27),IF(AND(F51="4D1",F53=9),LOOKUP(F75,T!$I13:$I27,T!$M13:$M27),IF(AND(F51="4D1",F53=10),LOOKUP(F75,T!$J13:$J27,T!$M13:$M27),IF(AND(F51="4D1",F53=11),LOOKUP(F75,T!$K13:$K27,T!$M13:$M27),IF(AND(F51="4D1",F53=12),LOOKUP(F75,T!$L13:$L27,T!$M13:$M27),IF(AND(F51="4D2",F53=2),LOOKUP(F75,T!$B33:$B49,T!$J33:$J50),IF(AND(F51="4D2",F53=3),LOOKUP(F75,T!$C33:$C49,T!$J33:$J50),IF(AND(F51="4D2",F53=4),LOOKUP(F75,T!$D33:$D50,T!$J33:$J50),IF(AND(F51="4D2",F53=5),LOOKUP(F75,T!$E33:$E50,T!$J33:$J50),IF(AND(F51="4D2",F53=6),LOOKUP(F75,T!$F33:$F50,T!$J33:$J50),IF(AND(F51="4D2",F53=7),LOOKUP(F75,T!$G33:$G50,T!$J33:$J50),IF(AND(F51="4D2",F53=8),LOOKUP(F75,T!$H33:$H50,T!$J33:$J50),IF(AND(F51="4D2",F53=9),LOOKUP(F75,T!$I33:$I50,T!$J33:$J50),IF(AND(F51="4D3",F53=2),LOOKUP(F75,T!$B56:$B68,T!$M56:$M68),IF(AND(F51="4D3",F53=3),LOOKUP(F75,T!$C56:$C68,T!$M56:$M68),IF(AND(F51="4D3",F53=4),LOOKUP(F75,T!$D56:$D$68,T!$M56:$M68),IF(AND(F51="4D3",F53=5),LOOKUP(F75,T!$E56:$E68,T!$M56:$M68),IF(AND(F51="4D3",F53=6),LOOKUP(F75,T!$F56:$F68,T!$M56:$M68),IF(AND(F51="4D3",F53=7),LOOKUP(F75,T!$G56:$G68,T!$M56:$M68),IF(AND(F51="4D3",F53=8),LOOKUP(F75,T!$H56:$H68,T!$M56:$M68),IF(AND(F51="4D3",F53=9),LOOKUP(F75,T!$I56:$I68,T!$M56:$M68),IF(AND(F51="4D3",F53=10),LOOKUP(F75,T!$J56:$J68,T!$M56:$M68),IF(AND(F51="4D3",F53=11),LOOKUP(F75,T!$K56:$K68,T!$M56:$M68),IF(AND(F51="4D3",F53=12),LOOKUP(F75,T!$L56:$L68,T!$M56:$M68),IF(AND(F51="4D4",F53=2),LOOKUP(F75,T!$B74:$B90,T!$H74:$H90),IF(AND(F51="4D4",F53=3),LOOKUP(F75,T!$C74:$C90,T!$H74:$H90),IF(AND(F51="4D4",F53=4),LOOKUP(F75,T!$D74:$D90,T!$H74:$H90),IF(AND(F51="4D4",F53=5),LOOKUP(F75,T!$E74:$E90,T!$H74:$H90),IF(AND(F51="4D4",F53=6),LOOKUP(F75,T!$F74:$F89,T!$H74:$H90),IF(AND(F51="4D4",F53=7),LOOKUP(F75,T!$G74:$G89,T!$H74:$H90),IF(AND(F51="4D5",F53=2),LOOKUP(F75,T!$B96:$B102,T!$I96:$I102),IF(AND(F51="4D5",F53=3),LOOKUP(F75,T!$C96:$C102,T!$I96:$I102),IF(AND(F51="4D5",F53=4),LOOKUP(F75,T!$D96:$D102,T!$I96:$I102),IF(AND(F51="4D5",F53=5),LOOKUP(F75,T!$E96:$E102,T!$I96:$I102),IF(AND(F51="4D5",F53=6),LOOKUP(F75,T!$F96:$F102,T!$I96:$I102),IF(AND(F51="4D5",F53=7),LOOKUP(F75,T!$G96:$G102,T!$I96:$I102),"-")))))))))))))))))))))))))))))))))))))))))),IF(ISNUMBER(SEARCH("4E",F51)),IF(AND(F51="4E1",F53=2),LOOKUP(F75,T!$B108:$B124,T!$M108:$M129),IF(AND(F51="4E1",F53=3),LOOKUP(F75,T!$C108:$C124,T!$M108:$M129),IF(AND(F51="4E1",F53=4),LOOKUP(F75,T!$D108:$D127,T!$M108:$M129),IF(AND(F51="4E1",F53=5),LOOKUP(F75,T!$E108:$E127,T!$M108:$M129),IF(AND(F51="4E1",F53=6),LOOKUP(F75,T!$F108:$F129,T!$M108:$M129),IF(AND(F51="4E1",F53=7),LOOKUP(F75,T!$G108:$G129,T!$M108:$M129),IF(AND(F51="4E1",F53=8),LOOKUP(F75,T!$H115:$H129,T!$M115:$M129),IF(AND(F51="4E1",F53=9),LOOKUP(F75,T!$I115:$I129,T!$M115:$M129),IF(AND(F51="4E1",F53=10),LOOKUP(F75,T!$J115:$J129,T!$M115:$M129),IF(AND(F51="4E1",F53=11),LOOKUP(F75,T!$K115:$K129,T!$M115:$M129),IF(AND(F51="4E1",F53=12),LOOKUP(F75,T!$L115:$L129,T!$M115:$M129),IF(AND(F51="4E2",F53=2),LOOKUP(F75,T!$B134:$B151,T!$J134:$J152),IF(AND(F51="4E2",F53=3),LOOKUP(F75,T!$C134:$C151,T!$J134:$J152),IF(AND(F51="4E2",F53=4),LOOKUP(F75,T!$D134:$D152,T!$J134:$J152),IF(AND(F51="4E2",F53=5),LOOKUP(F75,T!$E134:$E152,T!$J134:$J152),IF(AND(F51="4E2",F53=6),LOOKUP(F75,T!$F134:$F152,T!$J134:$J152),IF(AND(F51="4E2",F53=7),LOOKUP(F75,T!$G134:$G152,T!$J134:$J152),IF(AND(F51="4E2",F53=8),LOOKUP(F75,T!$H134:$H152,T!$J134:$J152),IF(AND(F51="4E2",F53=9),LOOKUP(F75,T!$I134:$I152,T!$J134:$J152),IF(AND(F51="4E3",F53=2),LOOKUP(F75,T!$B158:$B170,T!$M158:$M170),IF(AND(F51="4E3",F53=3),LOOKUP(F75,T!$C158:$C170,T!$M158:$M170),IF(AND(F51="4E3",F53=4),LOOKUP(F75,T!$D158:$D170,T!$M158:$M170),IF(AND(F51="4E3",F53=5),LOOKUP(F75,T!$E158:$E170,T!$M158:$M170),IF(AND(F51="4E3",F53=6),LOOKUP(F75,T!$F158:$F170,T!$M158:$M170),IF(AND(F51="4E3",F53=7),LOOKUP(F75,T!$G158:$G170,T!$M158:$M170),IF(AND(F51="4E3",F53=8),LOOKUP(F75,T!$H158:$H170,T!$M158:$M170),IF(AND(F51="4E3",F53=9),LOOKUP(F75,T!$I158:$I170,T!$M158:$M170),IF(AND(F51="4E3",F53=10),LOOKUP(F75,T!$J158:$J170,T!$M158:$M170),IF(AND(F51="4E3",F53=11),LOOKUP(F75,T!$K158:$K170,T!$M158:$M170),IF(AND(F51="4E3",F53=12),LOOKUP(F75,T!$L158:$L170,T!$M158:$M170),IF(AND(F51="4E4",F53=2),LOOKUP(F75,T!$B176:$B192,T!$H176:$H192),IF(AND(F51="4E4",F53=3),LOOKUP(F75,T!$C176:$C192,T!$H176:$H192),IF(AND(F51="4E4",F53=4),LOOKUP(F75,T!$D176:$D192,T!$H176:$H192),IF(AND(F51="4E4",F53=5),LOOKUP(F75,T!$E176:$E192,T!$H176:$H192),IF(AND(F51="4E4",F53=6),LOOKUP(F75,T!$F176:$F191,T!$H176:$H192),IF(AND(F51="4E4",F53=7),LOOKUP(F75,T!$G176:$G191,T!$H176:$H192),"-")))))))))))))))))))))))))))))))))))),IF(ISNUMBER(SEARCH("4F",F51)),IF(AND(F51="4F1",F53=2),LOOKUP(F75,T!$B198:$B202,T!$E198:$E214),IF(AND(F51="4F1",F53=3),LOOKUP(F75,T!$C198:$C211,T!$E198:$E214),IF(AND(F51="4F1",F53=4),LOOKUP(F75,T!$D203:$D214,T!$E203:$E214),IF(AND(F51="4F2",F53=2),LOOKUP(F75,T!$B220:$B224,T!$E220:$E236),IF(AND(F51="4F2",F53=3),LOOKUP(F75,T!$C220:$C233,T!$E220:$E236),IF(AND(F51="4F2",F53=4),LOOKUP(F75,T!$D225:$D236,T!$E225:$E236),IF(AND(F51="4F3",F53=2),LOOKUP(F75,T!$B242:$B248,T!$E242:$E248),IF(AND(F51="4F3",F53=3),LOOKUP(F75,T!$C242:$C248,T!$E242:$E248),"-")))))))),""))))</f>
        <v>10</v>
      </c>
      <c r="G78" s="134">
        <f ca="1">IF(G29="","",IF(ISNUMBER(SEARCH("4D",G51)),IF(AND(G51="4D1",G53=2),LOOKUP(G75,T!$B6:$B22,T!$M6:$M27),IF(AND(G51="4D1",G53=3),LOOKUP(G75,T!$C6:$C22,T!$M6:$M27),IF(AND(G51="4D1",G53=4),LOOKUP(G75,T!$D6:$D25,T!$M6:$M27),IF(AND(G51="4D1",G53=5),LOOKUP(G75,T!$E6:$E25,T!$M6:$M27),IF(AND(G51="4D1",G53=6),LOOKUP(G75,T!$F6:$F27,T!$M6:$M27),IF(AND(G51="4D1",G53=7),LOOKUP(G75,T!$G6:$G27,T!$M6:$M27),IF(AND(G51="4D1",G53=8),LOOKUP(G75,T!$H13:$H27,T!$M13:$M27),IF(AND(G51="4D1",G53=9),LOOKUP(G75,T!$I13:$I27,T!$M13:$M27),IF(AND(G51="4D1",G53=10),LOOKUP(G75,T!$J13:$J27,T!$M13:$M27),IF(AND(G51="4D1",G53=11),LOOKUP(G75,T!$K13:$K27,T!$M13:$M27),IF(AND(G51="4D1",G53=12),LOOKUP(G75,T!$L13:$L27,T!$M13:$M27),IF(AND(G51="4D2",G53=2),LOOKUP(G75,T!$B33:$B49,T!$J33:$J50),IF(AND(G51="4D2",G53=3),LOOKUP(G75,T!$C33:$C49,T!$J33:$J50),IF(AND(G51="4D2",G53=4),LOOKUP(G75,T!$D33:$D50,T!$J33:$J50),IF(AND(G51="4D2",G53=5),LOOKUP(G75,T!$E33:$E50,T!$J33:$J50),IF(AND(G51="4D2",G53=6),LOOKUP(G75,T!$F33:$F50,T!$J33:$J50),IF(AND(G51="4D2",G53=7),LOOKUP(G75,T!$G33:$G50,T!$J33:$J50),IF(AND(G51="4D2",G53=8),LOOKUP(G75,T!$H33:$H50,T!$J33:$J50),IF(AND(G51="4D2",G53=9),LOOKUP(G75,T!$I33:$I50,T!$J33:$J50),IF(AND(G51="4D3",G53=2),LOOKUP(G75,T!$B56:$B68,T!$M56:$M68),IF(AND(G51="4D3",G53=3),LOOKUP(G75,T!$C56:$C68,T!$M56:$M68),IF(AND(G51="4D3",G53=4),LOOKUP(G75,T!$D56:$D$68,T!$M56:$M68),IF(AND(G51="4D3",G53=5),LOOKUP(G75,T!$E56:$E68,T!$M56:$M68),IF(AND(G51="4D3",G53=6),LOOKUP(G75,T!$F56:$F68,T!$M56:$M68),IF(AND(G51="4D3",G53=7),LOOKUP(G75,T!$G56:$G68,T!$M56:$M68),IF(AND(G51="4D3",G53=8),LOOKUP(G75,T!$H56:$H68,T!$M56:$M68),IF(AND(G51="4D3",G53=9),LOOKUP(G75,T!$I56:$I68,T!$M56:$M68),IF(AND(G51="4D3",G53=10),LOOKUP(G75,T!$J56:$J68,T!$M56:$M68),IF(AND(G51="4D3",G53=11),LOOKUP(G75,T!$K56:$K68,T!$M56:$M68),IF(AND(G51="4D3",G53=12),LOOKUP(G75,T!$L56:$L68,T!$M56:$M68),IF(AND(G51="4D4",G53=2),LOOKUP(G75,T!$B74:$B90,T!$H74:$H90),IF(AND(G51="4D4",G53=3),LOOKUP(G75,T!$C74:$C90,T!$H74:$H90),IF(AND(G51="4D4",G53=4),LOOKUP(G75,T!$D74:$D90,T!$H74:$H90),IF(AND(G51="4D4",G53=5),LOOKUP(G75,T!$E74:$E90,T!$H74:$H90),IF(AND(G51="4D4",G53=6),LOOKUP(G75,T!$F74:$F89,T!$H74:$H90),IF(AND(G51="4D4",G53=7),LOOKUP(G75,T!$G74:$G89,T!$H74:$H90),IF(AND(G51="4D5",G53=2),LOOKUP(G75,T!$B96:$B102,T!$I96:$I102),IF(AND(G51="4D5",G53=3),LOOKUP(G75,T!$C96:$C102,T!$I96:$I102),IF(AND(G51="4D5",G53=4),LOOKUP(G75,T!$D96:$D102,T!$I96:$I102),IF(AND(G51="4D5",G53=5),LOOKUP(G75,T!$E96:$E102,T!$I96:$I102),IF(AND(G51="4D5",G53=6),LOOKUP(G75,T!$F96:$F102,T!$I96:$I102),IF(AND(G51="4D5",G53=7),LOOKUP(G75,T!$G96:$G102,T!$I96:$I102),"-")))))))))))))))))))))))))))))))))))))))))),IF(ISNUMBER(SEARCH("4E",G51)),IF(AND(G51="4E1",G53=2),LOOKUP(G75,T!$B108:$B124,T!$M108:$M129),IF(AND(G51="4E1",G53=3),LOOKUP(G75,T!$C108:$C124,T!$M108:$M129),IF(AND(G51="4E1",G53=4),LOOKUP(G75,T!$D108:$D127,T!$M108:$M129),IF(AND(G51="4E1",G53=5),LOOKUP(G75,T!$E108:$E127,T!$M108:$M129),IF(AND(G51="4E1",G53=6),LOOKUP(G75,T!$F108:$F129,T!$M108:$M129),IF(AND(G51="4E1",G53=7),LOOKUP(G75,T!$G108:$G129,T!$M108:$M129),IF(AND(G51="4E1",G53=8),LOOKUP(G75,T!$H115:$H129,T!$M115:$M129),IF(AND(G51="4E1",G53=9),LOOKUP(G75,T!$I115:$I129,T!$M115:$M129),IF(AND(G51="4E1",G53=10),LOOKUP(G75,T!$J115:$J129,T!$M115:$M129),IF(AND(G51="4E1",G53=11),LOOKUP(G75,T!$K115:$K129,T!$M115:$M129),IF(AND(G51="4E1",G53=12),LOOKUP(G75,T!$L115:$L129,T!$M115:$M129),IF(AND(G51="4E2",G53=2),LOOKUP(G75,T!$B134:$B151,T!$J134:$J152),IF(AND(G51="4E2",G53=3),LOOKUP(G75,T!$C134:$C151,T!$J134:$J152),IF(AND(G51="4E2",G53=4),LOOKUP(G75,T!$D134:$D152,T!$J134:$J152),IF(AND(G51="4E2",G53=5),LOOKUP(G75,T!$E134:$E152,T!$J134:$J152),IF(AND(G51="4E2",G53=6),LOOKUP(G75,T!$F134:$F152,T!$J134:$J152),IF(AND(G51="4E2",G53=7),LOOKUP(G75,T!$G134:$G152,T!$J134:$J152),IF(AND(G51="4E2",G53=8),LOOKUP(G75,T!$H134:$H152,T!$J134:$J152),IF(AND(G51="4E2",G53=9),LOOKUP(G75,T!$I134:$I152,T!$J134:$J152),IF(AND(G51="4E3",G53=2),LOOKUP(G75,T!$B158:$B170,T!$M158:$M170),IF(AND(G51="4E3",G53=3),LOOKUP(G75,T!$C158:$C170,T!$M158:$M170),IF(AND(G51="4E3",G53=4),LOOKUP(G75,T!$D158:$D170,T!$M158:$M170),IF(AND(G51="4E3",G53=5),LOOKUP(G75,T!$E158:$E170,T!$M158:$M170),IF(AND(G51="4E3",G53=6),LOOKUP(G75,T!$F158:$F170,T!$M158:$M170),IF(AND(G51="4E3",G53=7),LOOKUP(G75,T!$G158:$G170,T!$M158:$M170),IF(AND(G51="4E3",G53=8),LOOKUP(G75,T!$H158:$H170,T!$M158:$M170),IF(AND(G51="4E3",G53=9),LOOKUP(G75,T!$I158:$I170,T!$M158:$M170),IF(AND(G51="4E3",G53=10),LOOKUP(G75,T!$J158:$J170,T!$M158:$M170),IF(AND(G51="4E3",G53=11),LOOKUP(G75,T!$K158:$K170,T!$M158:$M170),IF(AND(G51="4E3",G53=12),LOOKUP(G75,T!$L158:$L170,T!$M158:$M170),IF(AND(G51="4E4",G53=2),LOOKUP(G75,T!$B176:$B192,T!$H176:$H192),IF(AND(G51="4E4",G53=3),LOOKUP(G75,T!$C176:$C192,T!$H176:$H192),IF(AND(G51="4E4",G53=4),LOOKUP(G75,T!$D176:$D192,T!$H176:$H192),IF(AND(G51="4E4",G53=5),LOOKUP(G75,T!$E176:$E192,T!$H176:$H192),IF(AND(G51="4E4",G53=6),LOOKUP(G75,T!$F176:$F191,T!$H176:$H192),IF(AND(G51="4E4",G53=7),LOOKUP(G75,T!$G176:$G191,T!$H176:$H192),"-")))))))))))))))))))))))))))))))))))),IF(ISNUMBER(SEARCH("4F",G51)),IF(AND(G51="4F1",G53=2),LOOKUP(G75,T!$B198:$B202,T!$E198:$E214),IF(AND(G51="4F1",G53=3),LOOKUP(G75,T!$C198:$C211,T!$E198:$E214),IF(AND(G51="4F1",G53=4),LOOKUP(G75,T!$D203:$D214,T!$E203:$E214),IF(AND(G51="4F2",G53=2),LOOKUP(G75,T!$B220:$B224,T!$E220:$E236),IF(AND(G51="4F2",G53=3),LOOKUP(G75,T!$C220:$C233,T!$E220:$E236),IF(AND(G51="4F2",G53=4),LOOKUP(G75,T!$D225:$D236,T!$E225:$E236),IF(AND(G51="4F3",G53=2),LOOKUP(G75,T!$B242:$B248,T!$E242:$E248),IF(AND(G51="4F3",G53=3),LOOKUP(G75,T!$C242:$C248,T!$E242:$E248),"-")))))))),""))))</f>
        <v>10</v>
      </c>
      <c r="H78" s="134">
        <f ca="1">IF(H29="","",IF(ISNUMBER(SEARCH("4D",H51)),IF(AND(H51="4D1",H53=2),LOOKUP(H75,T!$B6:$B22,T!$M6:$M27),IF(AND(H51="4D1",H53=3),LOOKUP(H75,T!$C6:$C22,T!$M6:$M27),IF(AND(H51="4D1",H53=4),LOOKUP(H75,T!$D6:$D25,T!$M6:$M27),IF(AND(H51="4D1",H53=5),LOOKUP(H75,T!$E6:$E25,T!$M6:$M27),IF(AND(H51="4D1",H53=6),LOOKUP(H75,T!$F6:$F27,T!$M6:$M27),IF(AND(H51="4D1",H53=7),LOOKUP(H75,T!$G6:$G27,T!$M6:$M27),IF(AND(H51="4D1",H53=8),LOOKUP(H75,T!$H13:$H27,T!$M13:$M27),IF(AND(H51="4D1",H53=9),LOOKUP(H75,T!$I13:$I27,T!$M13:$M27),IF(AND(H51="4D1",H53=10),LOOKUP(H75,T!$J13:$J27,T!$M13:$M27),IF(AND(H51="4D1",H53=11),LOOKUP(H75,T!$K13:$K27,T!$M13:$M27),IF(AND(H51="4D1",H53=12),LOOKUP(H75,T!$L13:$L27,T!$M13:$M27),IF(AND(H51="4D2",H53=2),LOOKUP(H75,T!$B33:$B49,T!$J33:$J50),IF(AND(H51="4D2",H53=3),LOOKUP(H75,T!$C33:$C49,T!$J33:$J50),IF(AND(H51="4D2",H53=4),LOOKUP(H75,T!$D33:$D50,T!$J33:$J50),IF(AND(H51="4D2",H53=5),LOOKUP(H75,T!$E33:$E50,T!$J33:$J50),IF(AND(H51="4D2",H53=6),LOOKUP(H75,T!$F33:$F50,T!$J33:$J50),IF(AND(H51="4D2",H53=7),LOOKUP(H75,T!$G33:$G50,T!$J33:$J50),IF(AND(H51="4D2",H53=8),LOOKUP(H75,T!$H33:$H50,T!$J33:$J50),IF(AND(H51="4D2",H53=9),LOOKUP(H75,T!$I33:$I50,T!$J33:$J50),IF(AND(H51="4D3",H53=2),LOOKUP(H75,T!$B56:$B68,T!$M56:$M68),IF(AND(H51="4D3",H53=3),LOOKUP(H75,T!$C56:$C68,T!$M56:$M68),IF(AND(H51="4D3",H53=4),LOOKUP(H75,T!$D56:$D$68,T!$M56:$M68),IF(AND(H51="4D3",H53=5),LOOKUP(H75,T!$E56:$E68,T!$M56:$M68),IF(AND(H51="4D3",H53=6),LOOKUP(H75,T!$F56:$F68,T!$M56:$M68),IF(AND(H51="4D3",H53=7),LOOKUP(H75,T!$G56:$G68,T!$M56:$M68),IF(AND(H51="4D3",H53=8),LOOKUP(H75,T!$H56:$H68,T!$M56:$M68),IF(AND(H51="4D3",H53=9),LOOKUP(H75,T!$I56:$I68,T!$M56:$M68),IF(AND(H51="4D3",H53=10),LOOKUP(H75,T!$J56:$J68,T!$M56:$M68),IF(AND(H51="4D3",H53=11),LOOKUP(H75,T!$K56:$K68,T!$M56:$M68),IF(AND(H51="4D3",H53=12),LOOKUP(H75,T!$L56:$L68,T!$M56:$M68),IF(AND(H51="4D4",H53=2),LOOKUP(H75,T!$B74:$B90,T!$H74:$H90),IF(AND(H51="4D4",H53=3),LOOKUP(H75,T!$C74:$C90,T!$H74:$H90),IF(AND(H51="4D4",H53=4),LOOKUP(H75,T!$D74:$D90,T!$H74:$H90),IF(AND(H51="4D4",H53=5),LOOKUP(H75,T!$E74:$E90,T!$H74:$H90),IF(AND(H51="4D4",H53=6),LOOKUP(H75,T!$F74:$F89,T!$H74:$H90),IF(AND(H51="4D4",H53=7),LOOKUP(H75,T!$G74:$G89,T!$H74:$H90),IF(AND(H51="4D5",H53=2),LOOKUP(H75,T!$B96:$B102,T!$I96:$I102),IF(AND(H51="4D5",H53=3),LOOKUP(H75,T!$C96:$C102,T!$I96:$I102),IF(AND(H51="4D5",H53=4),LOOKUP(H75,T!$D96:$D102,T!$I96:$I102),IF(AND(H51="4D5",H53=5),LOOKUP(H75,T!$E96:$E102,T!$I96:$I102),IF(AND(H51="4D5",H53=6),LOOKUP(H75,T!$F96:$F102,T!$I96:$I102),IF(AND(H51="4D5",H53=7),LOOKUP(H75,T!$G96:$G102,T!$I96:$I102),"-")))))))))))))))))))))))))))))))))))))))))),IF(ISNUMBER(SEARCH("4E",H51)),IF(AND(H51="4E1",H53=2),LOOKUP(H75,T!$B108:$B124,T!$M108:$M129),IF(AND(H51="4E1",H53=3),LOOKUP(H75,T!$C108:$C124,T!$M108:$M129),IF(AND(H51="4E1",H53=4),LOOKUP(H75,T!$D108:$D127,T!$M108:$M129),IF(AND(H51="4E1",H53=5),LOOKUP(H75,T!$E108:$E127,T!$M108:$M129),IF(AND(H51="4E1",H53=6),LOOKUP(H75,T!$F108:$F129,T!$M108:$M129),IF(AND(H51="4E1",H53=7),LOOKUP(H75,T!$G108:$G129,T!$M108:$M129),IF(AND(H51="4E1",H53=8),LOOKUP(H75,T!$H115:$H129,T!$M115:$M129),IF(AND(H51="4E1",H53=9),LOOKUP(H75,T!$I115:$I129,T!$M115:$M129),IF(AND(H51="4E1",H53=10),LOOKUP(H75,T!$J115:$J129,T!$M115:$M129),IF(AND(H51="4E1",H53=11),LOOKUP(H75,T!$K115:$K129,T!$M115:$M129),IF(AND(H51="4E1",H53=12),LOOKUP(H75,T!$L115:$L129,T!$M115:$M129),IF(AND(H51="4E2",H53=2),LOOKUP(H75,T!$B134:$B151,T!$J134:$J152),IF(AND(H51="4E2",H53=3),LOOKUP(H75,T!$C134:$C151,T!$J134:$J152),IF(AND(H51="4E2",H53=4),LOOKUP(H75,T!$D134:$D152,T!$J134:$J152),IF(AND(H51="4E2",H53=5),LOOKUP(H75,T!$E134:$E152,T!$J134:$J152),IF(AND(H51="4E2",H53=6),LOOKUP(H75,T!$F134:$F152,T!$J134:$J152),IF(AND(H51="4E2",H53=7),LOOKUP(H75,T!$G134:$G152,T!$J134:$J152),IF(AND(H51="4E2",H53=8),LOOKUP(H75,T!$H134:$H152,T!$J134:$J152),IF(AND(H51="4E2",H53=9),LOOKUP(H75,T!$I134:$I152,T!$J134:$J152),IF(AND(H51="4E3",H53=2),LOOKUP(H75,T!$B158:$B170,T!$M158:$M170),IF(AND(H51="4E3",H53=3),LOOKUP(H75,T!$C158:$C170,T!$M158:$M170),IF(AND(H51="4E3",H53=4),LOOKUP(H75,T!$D158:$D170,T!$M158:$M170),IF(AND(H51="4E3",H53=5),LOOKUP(H75,T!$E158:$E170,T!$M158:$M170),IF(AND(H51="4E3",H53=6),LOOKUP(H75,T!$F158:$F170,T!$M158:$M170),IF(AND(H51="4E3",H53=7),LOOKUP(H75,T!$G158:$G170,T!$M158:$M170),IF(AND(H51="4E3",H53=8),LOOKUP(H75,T!$H158:$H170,T!$M158:$M170),IF(AND(H51="4E3",H53=9),LOOKUP(H75,T!$I158:$I170,T!$M158:$M170),IF(AND(H51="4E3",H53=10),LOOKUP(H75,T!$J158:$J170,T!$M158:$M170),IF(AND(H51="4E3",H53=11),LOOKUP(H75,T!$K158:$K170,T!$M158:$M170),IF(AND(H51="4E3",H53=12),LOOKUP(H75,T!$L158:$L170,T!$M158:$M170),IF(AND(H51="4E4",H53=2),LOOKUP(H75,T!$B176:$B192,T!$H176:$H192),IF(AND(H51="4E4",H53=3),LOOKUP(H75,T!$C176:$C192,T!$H176:$H192),IF(AND(H51="4E4",H53=4),LOOKUP(H75,T!$D176:$D192,T!$H176:$H192),IF(AND(H51="4E4",H53=5),LOOKUP(H75,T!$E176:$E192,T!$H176:$H192),IF(AND(H51="4E4",H53=6),LOOKUP(H75,T!$F176:$F191,T!$H176:$H192),IF(AND(H51="4E4",H53=7),LOOKUP(H75,T!$G176:$G191,T!$H176:$H192),"-")))))))))))))))))))))))))))))))))))),IF(ISNUMBER(SEARCH("4F",H51)),IF(AND(H51="4F1",H53=2),LOOKUP(H75,T!$B198:$B202,T!$E198:$E214),IF(AND(H51="4F1",H53=3),LOOKUP(H75,T!$C198:$C211,T!$E198:$E214),IF(AND(H51="4F1",H53=4),LOOKUP(H75,T!$D203:$D214,T!$E203:$E214),IF(AND(H51="4F2",H53=2),LOOKUP(H75,T!$B220:$B224,T!$E220:$E236),IF(AND(H51="4F2",H53=3),LOOKUP(H75,T!$C220:$C233,T!$E220:$E236),IF(AND(H51="4F2",H53=4),LOOKUP(H75,T!$D225:$D236,T!$E225:$E236),IF(AND(H51="4F3",H53=2),LOOKUP(H75,T!$B242:$B248,T!$E242:$E248),IF(AND(H51="4F3",H53=3),LOOKUP(H75,T!$C242:$C248,T!$E242:$E248),"-")))))))),""))))</f>
        <v>10</v>
      </c>
      <c r="I78" s="134">
        <f>IF(I29="","",IF(ISNUMBER(SEARCH("4D",I51)),IF(AND(I51="4D1",I53=2),LOOKUP(I75,T!$B6:$B22,T!$M6:$M27),IF(AND(I51="4D1",I53=3),LOOKUP(I75,T!$C6:$C22,T!$M6:$M27),IF(AND(I51="4D1",I53=4),LOOKUP(I75,T!$D6:$D25,T!$M6:$M27),IF(AND(I51="4D1",I53=5),LOOKUP(I75,T!$E6:$E25,T!$M6:$M27),IF(AND(I51="4D1",I53=6),LOOKUP(I75,T!$F6:$F27,T!$M6:$M27),IF(AND(I51="4D1",I53=7),LOOKUP(I75,T!$G6:$G27,T!$M6:$M27),IF(AND(I51="4D1",I53=8),LOOKUP(I75,T!$H13:$H27,T!$M13:$M27),IF(AND(I51="4D1",I53=9),LOOKUP(I75,T!$I13:$I27,T!$M13:$M27),IF(AND(I51="4D1",I53=10),LOOKUP(I75,T!$J13:$J27,T!$M13:$M27),IF(AND(I51="4D1",I53=11),LOOKUP(I75,T!$K13:$K27,T!$M13:$M27),IF(AND(I51="4D1",I53=12),LOOKUP(I75,T!$L13:$L27,T!$M13:$M27),IF(AND(I51="4D2",I53=2),LOOKUP(I75,T!$B33:$B49,T!$J33:$J50),IF(AND(I51="4D2",I53=3),LOOKUP(I75,T!$C33:$C49,T!$J33:$J50),IF(AND(I51="4D2",I53=4),LOOKUP(I75,T!$D33:$D50,T!$J33:$J50),IF(AND(I51="4D2",I53=5),LOOKUP(I75,T!$E33:$E50,T!$J33:$J50),IF(AND(I51="4D2",I53=6),LOOKUP(I75,T!$F33:$F50,T!$J33:$J50),IF(AND(I51="4D2",I53=7),LOOKUP(I75,T!$G33:$G50,T!$J33:$J50),IF(AND(I51="4D2",I53=8),LOOKUP(I75,T!$H33:$H50,T!$J33:$J50),IF(AND(I51="4D2",I53=9),LOOKUP(I75,T!$I33:$I50,T!$J33:$J50),IF(AND(I51="4D3",I53=2),LOOKUP(I75,T!$B56:$B68,T!$M56:$M68),IF(AND(I51="4D3",I53=3),LOOKUP(I75,T!$C56:$C68,T!$M56:$M68),IF(AND(I51="4D3",I53=4),LOOKUP(I75,T!$D56:$D$68,T!$M56:$M68),IF(AND(I51="4D3",I53=5),LOOKUP(I75,T!$E56:$E68,T!$M56:$M68),IF(AND(I51="4D3",I53=6),LOOKUP(I75,T!$F56:$F68,T!$M56:$M68),IF(AND(I51="4D3",I53=7),LOOKUP(I75,T!$G56:$G68,T!$M56:$M68),IF(AND(I51="4D3",I53=8),LOOKUP(I75,T!$H56:$H68,T!$M56:$M68),IF(AND(I51="4D3",I53=9),LOOKUP(I75,T!$I56:$I68,T!$M56:$M68),IF(AND(I51="4D3",I53=10),LOOKUP(I75,T!$J56:$J68,T!$M56:$M68),IF(AND(I51="4D3",I53=11),LOOKUP(I75,T!$K56:$K68,T!$M56:$M68),IF(AND(I51="4D3",I53=12),LOOKUP(I75,T!$L56:$L68,T!$M56:$M68),IF(AND(I51="4D4",I53=2),LOOKUP(I75,T!$B74:$B90,T!$H74:$H90),IF(AND(I51="4D4",I53=3),LOOKUP(I75,T!$C74:$C90,T!$H74:$H90),IF(AND(I51="4D4",I53=4),LOOKUP(I75,T!$D74:$D90,T!$H74:$H90),IF(AND(I51="4D4",I53=5),LOOKUP(I75,T!$E74:$E90,T!$H74:$H90),IF(AND(I51="4D4",I53=6),LOOKUP(I75,T!$F74:$F89,T!$H74:$H90),IF(AND(I51="4D4",I53=7),LOOKUP(I75,T!$G74:$G89,T!$H74:$H90),IF(AND(I51="4D5",I53=2),LOOKUP(I75,T!$B96:$B102,T!$I96:$I102),IF(AND(I51="4D5",I53=3),LOOKUP(I75,T!$C96:$C102,T!$I96:$I102),IF(AND(I51="4D5",I53=4),LOOKUP(I75,T!$D96:$D102,T!$I96:$I102),IF(AND(I51="4D5",I53=5),LOOKUP(I75,T!$E96:$E102,T!$I96:$I102),IF(AND(I51="4D5",I53=6),LOOKUP(I75,T!$F96:$F102,T!$I96:$I102),IF(AND(I51="4D5",I53=7),LOOKUP(I75,T!$G96:$G102,T!$I96:$I102),"-")))))))))))))))))))))))))))))))))))))))))),IF(ISNUMBER(SEARCH("4E",I51)),IF(AND(I51="4E1",I53=2),LOOKUP(I75,T!$B108:$B124,T!$M108:$M129),IF(AND(I51="4E1",I53=3),LOOKUP(I75,T!$C108:$C124,T!$M108:$M129),IF(AND(I51="4E1",I53=4),LOOKUP(I75,T!$D108:$D127,T!$M108:$M129),IF(AND(I51="4E1",I53=5),LOOKUP(I75,T!$E108:$E127,T!$M108:$M129),IF(AND(I51="4E1",I53=6),LOOKUP(I75,T!$F108:$F129,T!$M108:$M129),IF(AND(I51="4E1",I53=7),LOOKUP(I75,T!$G108:$G129,T!$M108:$M129),IF(AND(I51="4E1",I53=8),LOOKUP(I75,T!$H115:$H129,T!$M115:$M129),IF(AND(I51="4E1",I53=9),LOOKUP(I75,T!$I115:$I129,T!$M115:$M129),IF(AND(I51="4E1",I53=10),LOOKUP(I75,T!$J115:$J129,T!$M115:$M129),IF(AND(I51="4E1",I53=11),LOOKUP(I75,T!$K115:$K129,T!$M115:$M129),IF(AND(I51="4E1",I53=12),LOOKUP(I75,T!$L115:$L129,T!$M115:$M129),IF(AND(I51="4E2",I53=2),LOOKUP(I75,T!$B134:$B151,T!$J134:$J152),IF(AND(I51="4E2",I53=3),LOOKUP(I75,T!$C134:$C151,T!$J134:$J152),IF(AND(I51="4E2",I53=4),LOOKUP(I75,T!$D134:$D152,T!$J134:$J152),IF(AND(I51="4E2",I53=5),LOOKUP(I75,T!$E134:$E152,T!$J134:$J152),IF(AND(I51="4E2",I53=6),LOOKUP(I75,T!$F134:$F152,T!$J134:$J152),IF(AND(I51="4E2",I53=7),LOOKUP(I75,T!$G134:$G152,T!$J134:$J152),IF(AND(I51="4E2",I53=8),LOOKUP(I75,T!$H134:$H152,T!$J134:$J152),IF(AND(I51="4E2",I53=9),LOOKUP(I75,T!$I134:$I152,T!$J134:$J152),IF(AND(I51="4E3",I53=2),LOOKUP(I75,T!$B158:$B170,T!$M158:$M170),IF(AND(I51="4E3",I53=3),LOOKUP(I75,T!$C158:$C170,T!$M158:$M170),IF(AND(I51="4E3",I53=4),LOOKUP(I75,T!$D158:$D170,T!$M158:$M170),IF(AND(I51="4E3",I53=5),LOOKUP(I75,T!$E158:$E170,T!$M158:$M170),IF(AND(I51="4E3",I53=6),LOOKUP(I75,T!$F158:$F170,T!$M158:$M170),IF(AND(I51="4E3",I53=7),LOOKUP(I75,T!$G158:$G170,T!$M158:$M170),IF(AND(I51="4E3",I53=8),LOOKUP(I75,T!$H158:$H170,T!$M158:$M170),IF(AND(I51="4E3",I53=9),LOOKUP(I75,T!$I158:$I170,T!$M158:$M170),IF(AND(I51="4E3",I53=10),LOOKUP(I75,T!$J158:$J170,T!$M158:$M170),IF(AND(I51="4E3",I53=11),LOOKUP(I75,T!$K158:$K170,T!$M158:$M170),IF(AND(I51="4E3",I53=12),LOOKUP(I75,T!$L158:$L170,T!$M158:$M170),IF(AND(I51="4E4",I53=2),LOOKUP(I75,T!$B176:$B192,T!$H176:$H192),IF(AND(I51="4E4",I53=3),LOOKUP(I75,T!$C176:$C192,T!$H176:$H192),IF(AND(I51="4E4",I53=4),LOOKUP(I75,T!$D176:$D192,T!$H176:$H192),IF(AND(I51="4E4",I53=5),LOOKUP(I75,T!$E176:$E192,T!$H176:$H192),IF(AND(I51="4E4",I53=6),LOOKUP(I75,T!$F176:$F191,T!$H176:$H192),IF(AND(I51="4E4",I53=7),LOOKUP(I75,T!$G176:$G191,T!$H176:$H192),"-")))))))))))))))))))))))))))))))))))),IF(ISNUMBER(SEARCH("4F",I51)),IF(AND(I51="4F1",I53=2),LOOKUP(I75,T!$B198:$B202,T!$E198:$E214),IF(AND(I51="4F1",I53=3),LOOKUP(I75,T!$C198:$C211,T!$E198:$E214),IF(AND(I51="4F1",I53=4),LOOKUP(I75,T!$D203:$D214,T!$E203:$E214),IF(AND(I51="4F2",I53=2),LOOKUP(I75,T!$B220:$B224,T!$E220:$E236),IF(AND(I51="4F2",I53=3),LOOKUP(I75,T!$C220:$C233,T!$E220:$E236),IF(AND(I51="4F2",I53=4),LOOKUP(I75,T!$D225:$D236,T!$E225:$E236),IF(AND(I51="4F3",I53=2),LOOKUP(I75,T!$B242:$B248,T!$E242:$E248),IF(AND(I51="4F3",I53=3),LOOKUP(I75,T!$C242:$C248,T!$E242:$E248),"-")))))))),""))))</f>
        <v>25</v>
      </c>
      <c r="J78" s="134">
        <f>IF(J29="","",IF(ISNUMBER(SEARCH("4D",J51)),IF(AND(J51="4D1",J53=2),LOOKUP(J75,T!$B6:$B22,T!$M6:$M27),IF(AND(J51="4D1",J53=3),LOOKUP(J75,T!$C6:$C22,T!$M6:$M27),IF(AND(J51="4D1",J53=4),LOOKUP(J75,T!$D6:$D25,T!$M6:$M27),IF(AND(J51="4D1",J53=5),LOOKUP(J75,T!$E6:$E25,T!$M6:$M27),IF(AND(J51="4D1",J53=6),LOOKUP(J75,T!$F6:$F27,T!$M6:$M27),IF(AND(J51="4D1",J53=7),LOOKUP(J75,T!$G6:$G27,T!$M6:$M27),IF(AND(J51="4D1",J53=8),LOOKUP(J75,T!$H13:$H27,T!$M13:$M27),IF(AND(J51="4D1",J53=9),LOOKUP(J75,T!$I13:$I27,T!$M13:$M27),IF(AND(J51="4D1",J53=10),LOOKUP(J75,T!$J13:$J27,T!$M13:$M27),IF(AND(J51="4D1",J53=11),LOOKUP(J75,T!$K13:$K27,T!$M13:$M27),IF(AND(J51="4D1",J53=12),LOOKUP(J75,T!$L13:$L27,T!$M13:$M27),IF(AND(J51="4D2",J53=2),LOOKUP(J75,T!$B33:$B49,T!$J33:$J50),IF(AND(J51="4D2",J53=3),LOOKUP(J75,T!$C33:$C49,T!$J33:$J50),IF(AND(J51="4D2",J53=4),LOOKUP(J75,T!$D33:$D50,T!$J33:$J50),IF(AND(J51="4D2",J53=5),LOOKUP(J75,T!$E33:$E50,T!$J33:$J50),IF(AND(J51="4D2",J53=6),LOOKUP(J75,T!$F33:$F50,T!$J33:$J50),IF(AND(J51="4D2",J53=7),LOOKUP(J75,T!$G33:$G50,T!$J33:$J50),IF(AND(J51="4D2",J53=8),LOOKUP(J75,T!$H33:$H50,T!$J33:$J50),IF(AND(J51="4D2",J53=9),LOOKUP(J75,T!$I33:$I50,T!$J33:$J50),IF(AND(J51="4D3",J53=2),LOOKUP(J75,T!$B56:$B68,T!$M56:$M68),IF(AND(J51="4D3",J53=3),LOOKUP(J75,T!$C56:$C68,T!$M56:$M68),IF(AND(J51="4D3",J53=4),LOOKUP(J75,T!$D56:$D$68,T!$M56:$M68),IF(AND(J51="4D3",J53=5),LOOKUP(J75,T!$E56:$E68,T!$M56:$M68),IF(AND(J51="4D3",J53=6),LOOKUP(J75,T!$F56:$F68,T!$M56:$M68),IF(AND(J51="4D3",J53=7),LOOKUP(J75,T!$G56:$G68,T!$M56:$M68),IF(AND(J51="4D3",J53=8),LOOKUP(J75,T!$H56:$H68,T!$M56:$M68),IF(AND(J51="4D3",J53=9),LOOKUP(J75,T!$I56:$I68,T!$M56:$M68),IF(AND(J51="4D3",J53=10),LOOKUP(J75,T!$J56:$J68,T!$M56:$M68),IF(AND(J51="4D3",J53=11),LOOKUP(J75,T!$K56:$K68,T!$M56:$M68),IF(AND(J51="4D3",J53=12),LOOKUP(J75,T!$L56:$L68,T!$M56:$M68),IF(AND(J51="4D4",J53=2),LOOKUP(J75,T!$B74:$B90,T!$H74:$H90),IF(AND(J51="4D4",J53=3),LOOKUP(J75,T!$C74:$C90,T!$H74:$H90),IF(AND(J51="4D4",J53=4),LOOKUP(J75,T!$D74:$D90,T!$H74:$H90),IF(AND(J51="4D4",J53=5),LOOKUP(J75,T!$E74:$E90,T!$H74:$H90),IF(AND(J51="4D4",J53=6),LOOKUP(J75,T!$F74:$F89,T!$H74:$H90),IF(AND(J51="4D4",J53=7),LOOKUP(J75,T!$G74:$G89,T!$H74:$H90),IF(AND(J51="4D5",J53=2),LOOKUP(J75,T!$B96:$B102,T!$I96:$I102),IF(AND(J51="4D5",J53=3),LOOKUP(J75,T!$C96:$C102,T!$I96:$I102),IF(AND(J51="4D5",J53=4),LOOKUP(J75,T!$D96:$D102,T!$I96:$I102),IF(AND(J51="4D5",J53=5),LOOKUP(J75,T!$E96:$E102,T!$I96:$I102),IF(AND(J51="4D5",J53=6),LOOKUP(J75,T!$F96:$F102,T!$I96:$I102),IF(AND(J51="4D5",J53=7),LOOKUP(J75,T!$G96:$G102,T!$I96:$I102),"-")))))))))))))))))))))))))))))))))))))))))),IF(ISNUMBER(SEARCH("4E",J51)),IF(AND(J51="4E1",J53=2),LOOKUP(J75,T!$B108:$B124,T!$M108:$M129),IF(AND(J51="4E1",J53=3),LOOKUP(J75,T!$C108:$C124,T!$M108:$M129),IF(AND(J51="4E1",J53=4),LOOKUP(J75,T!$D108:$D127,T!$M108:$M129),IF(AND(J51="4E1",J53=5),LOOKUP(J75,T!$E108:$E127,T!$M108:$M129),IF(AND(J51="4E1",J53=6),LOOKUP(J75,T!$F108:$F129,T!$M108:$M129),IF(AND(J51="4E1",J53=7),LOOKUP(J75,T!$G108:$G129,T!$M108:$M129),IF(AND(J51="4E1",J53=8),LOOKUP(J75,T!$H115:$H129,T!$M115:$M129),IF(AND(J51="4E1",J53=9),LOOKUP(J75,T!$I115:$I129,T!$M115:$M129),IF(AND(J51="4E1",J53=10),LOOKUP(J75,T!$J115:$J129,T!$M115:$M129),IF(AND(J51="4E1",J53=11),LOOKUP(J75,T!$K115:$K129,T!$M115:$M129),IF(AND(J51="4E1",J53=12),LOOKUP(J75,T!$L115:$L129,T!$M115:$M129),IF(AND(J51="4E2",J53=2),LOOKUP(J75,T!$B134:$B151,T!$J134:$J152),IF(AND(J51="4E2",J53=3),LOOKUP(J75,T!$C134:$C151,T!$J134:$J152),IF(AND(J51="4E2",J53=4),LOOKUP(J75,T!$D134:$D152,T!$J134:$J152),IF(AND(J51="4E2",J53=5),LOOKUP(J75,T!$E134:$E152,T!$J134:$J152),IF(AND(J51="4E2",J53=6),LOOKUP(J75,T!$F134:$F152,T!$J134:$J152),IF(AND(J51="4E2",J53=7),LOOKUP(J75,T!$G134:$G152,T!$J134:$J152),IF(AND(J51="4E2",J53=8),LOOKUP(J75,T!$H134:$H152,T!$J134:$J152),IF(AND(J51="4E2",J53=9),LOOKUP(J75,T!$I134:$I152,T!$J134:$J152),IF(AND(J51="4E3",J53=2),LOOKUP(J75,T!$B158:$B170,T!$M158:$M170),IF(AND(J51="4E3",J53=3),LOOKUP(J75,T!$C158:$C170,T!$M158:$M170),IF(AND(J51="4E3",J53=4),LOOKUP(J75,T!$D158:$D170,T!$M158:$M170),IF(AND(J51="4E3",J53=5),LOOKUP(J75,T!$E158:$E170,T!$M158:$M170),IF(AND(J51="4E3",J53=6),LOOKUP(J75,T!$F158:$F170,T!$M158:$M170),IF(AND(J51="4E3",J53=7),LOOKUP(J75,T!$G158:$G170,T!$M158:$M170),IF(AND(J51="4E3",J53=8),LOOKUP(J75,T!$H158:$H170,T!$M158:$M170),IF(AND(J51="4E3",J53=9),LOOKUP(J75,T!$I158:$I170,T!$M158:$M170),IF(AND(J51="4E3",J53=10),LOOKUP(J75,T!$J158:$J170,T!$M158:$M170),IF(AND(J51="4E3",J53=11),LOOKUP(J75,T!$K158:$K170,T!$M158:$M170),IF(AND(J51="4E3",J53=12),LOOKUP(J75,T!$L158:$L170,T!$M158:$M170),IF(AND(J51="4E4",J53=2),LOOKUP(J75,T!$B176:$B192,T!$H176:$H192),IF(AND(J51="4E4",J53=3),LOOKUP(J75,T!$C176:$C192,T!$H176:$H192),IF(AND(J51="4E4",J53=4),LOOKUP(J75,T!$D176:$D192,T!$H176:$H192),IF(AND(J51="4E4",J53=5),LOOKUP(J75,T!$E176:$E192,T!$H176:$H192),IF(AND(J51="4E4",J53=6),LOOKUP(J75,T!$F176:$F191,T!$H176:$H192),IF(AND(J51="4E4",J53=7),LOOKUP(J75,T!$G176:$G191,T!$H176:$H192),"-")))))))))))))))))))))))))))))))))))),IF(ISNUMBER(SEARCH("4F",J51)),IF(AND(J51="4F1",J53=2),LOOKUP(J75,T!$B198:$B202,T!$E198:$E214),IF(AND(J51="4F1",J53=3),LOOKUP(J75,T!$C198:$C211,T!$E198:$E214),IF(AND(J51="4F1",J53=4),LOOKUP(J75,T!$D203:$D214,T!$E203:$E214),IF(AND(J51="4F2",J53=2),LOOKUP(J75,T!$B220:$B224,T!$E220:$E236),IF(AND(J51="4F2",J53=3),LOOKUP(J75,T!$C220:$C233,T!$E220:$E236),IF(AND(J51="4F2",J53=4),LOOKUP(J75,T!$D225:$D236,T!$E225:$E236),IF(AND(J51="4F3",J53=2),LOOKUP(J75,T!$B242:$B248,T!$E242:$E248),IF(AND(J51="4F3",J53=3),LOOKUP(J75,T!$C242:$C248,T!$E242:$E248),"-")))))))),""))))</f>
        <v>4</v>
      </c>
      <c r="K78" s="134">
        <f>IF(K29="","",IF(ISNUMBER(SEARCH("4D",K51)),IF(AND(K51="4D1",K53=2),LOOKUP(K75,T!$B6:$B22,T!$M6:$M27),IF(AND(K51="4D1",K53=3),LOOKUP(K75,T!$C6:$C22,T!$M6:$M27),IF(AND(K51="4D1",K53=4),LOOKUP(K75,T!$D6:$D25,T!$M6:$M27),IF(AND(K51="4D1",K53=5),LOOKUP(K75,T!$E6:$E25,T!$M6:$M27),IF(AND(K51="4D1",K53=6),LOOKUP(K75,T!$F6:$F27,T!$M6:$M27),IF(AND(K51="4D1",K53=7),LOOKUP(K75,T!$G6:$G27,T!$M6:$M27),IF(AND(K51="4D1",K53=8),LOOKUP(K75,T!$H13:$H27,T!$M13:$M27),IF(AND(K51="4D1",K53=9),LOOKUP(K75,T!$I13:$I27,T!$M13:$M27),IF(AND(K51="4D1",K53=10),LOOKUP(K75,T!$J13:$J27,T!$M13:$M27),IF(AND(K51="4D1",K53=11),LOOKUP(K75,T!$K13:$K27,T!$M13:$M27),IF(AND(K51="4D1",K53=12),LOOKUP(K75,T!$L13:$L27,T!$M13:$M27),IF(AND(K51="4D2",K53=2),LOOKUP(K75,T!$B33:$B49,T!$J33:$J50),IF(AND(K51="4D2",K53=3),LOOKUP(K75,T!$C33:$C49,T!$J33:$J50),IF(AND(K51="4D2",K53=4),LOOKUP(K75,T!$D33:$D50,T!$J33:$J50),IF(AND(K51="4D2",K53=5),LOOKUP(K75,T!$E33:$E50,T!$J33:$J50),IF(AND(K51="4D2",K53=6),LOOKUP(K75,T!$F33:$F50,T!$J33:$J50),IF(AND(K51="4D2",K53=7),LOOKUP(K75,T!$G33:$G50,T!$J33:$J50),IF(AND(K51="4D2",K53=8),LOOKUP(K75,T!$H33:$H50,T!$J33:$J50),IF(AND(K51="4D2",K53=9),LOOKUP(K75,T!$I33:$I50,T!$J33:$J50),IF(AND(K51="4D3",K53=2),LOOKUP(K75,T!$B56:$B68,T!$M56:$M68),IF(AND(K51="4D3",K53=3),LOOKUP(K75,T!$C56:$C68,T!$M56:$M68),IF(AND(K51="4D3",K53=4),LOOKUP(K75,T!$D56:$D$68,T!$M56:$M68),IF(AND(K51="4D3",K53=5),LOOKUP(K75,T!$E56:$E68,T!$M56:$M68),IF(AND(K51="4D3",K53=6),LOOKUP(K75,T!$F56:$F68,T!$M56:$M68),IF(AND(K51="4D3",K53=7),LOOKUP(K75,T!$G56:$G68,T!$M56:$M68),IF(AND(K51="4D3",K53=8),LOOKUP(K75,T!$H56:$H68,T!$M56:$M68),IF(AND(K51="4D3",K53=9),LOOKUP(K75,T!$I56:$I68,T!$M56:$M68),IF(AND(K51="4D3",K53=10),LOOKUP(K75,T!$J56:$J68,T!$M56:$M68),IF(AND(K51="4D3",K53=11),LOOKUP(K75,T!$K56:$K68,T!$M56:$M68),IF(AND(K51="4D3",K53=12),LOOKUP(K75,T!$L56:$L68,T!$M56:$M68),IF(AND(K51="4D4",K53=2),LOOKUP(K75,T!$B74:$B90,T!$H74:$H90),IF(AND(K51="4D4",K53=3),LOOKUP(K75,T!$C74:$C90,T!$H74:$H90),IF(AND(K51="4D4",K53=4),LOOKUP(K75,T!$D74:$D90,T!$H74:$H90),IF(AND(K51="4D4",K53=5),LOOKUP(K75,T!$E74:$E90,T!$H74:$H90),IF(AND(K51="4D4",K53=6),LOOKUP(K75,T!$F74:$F89,T!$H74:$H90),IF(AND(K51="4D4",K53=7),LOOKUP(K75,T!$G74:$G89,T!$H74:$H90),IF(AND(K51="4D5",K53=2),LOOKUP(K75,T!$B96:$B102,T!$I96:$I102),IF(AND(K51="4D5",K53=3),LOOKUP(K75,T!$C96:$C102,T!$I96:$I102),IF(AND(K51="4D5",K53=4),LOOKUP(K75,T!$D96:$D102,T!$I96:$I102),IF(AND(K51="4D5",K53=5),LOOKUP(K75,T!$E96:$E102,T!$I96:$I102),IF(AND(K51="4D5",K53=6),LOOKUP(K75,T!$F96:$F102,T!$I96:$I102),IF(AND(K51="4D5",K53=7),LOOKUP(K75,T!$G96:$G102,T!$I96:$I102),"-")))))))))))))))))))))))))))))))))))))))))),IF(ISNUMBER(SEARCH("4E",K51)),IF(AND(K51="4E1",K53=2),LOOKUP(K75,T!$B108:$B124,T!$M108:$M129),IF(AND(K51="4E1",K53=3),LOOKUP(K75,T!$C108:$C124,T!$M108:$M129),IF(AND(K51="4E1",K53=4),LOOKUP(K75,T!$D108:$D127,T!$M108:$M129),IF(AND(K51="4E1",K53=5),LOOKUP(K75,T!$E108:$E127,T!$M108:$M129),IF(AND(K51="4E1",K53=6),LOOKUP(K75,T!$F108:$F129,T!$M108:$M129),IF(AND(K51="4E1",K53=7),LOOKUP(K75,T!$G108:$G129,T!$M108:$M129),IF(AND(K51="4E1",K53=8),LOOKUP(K75,T!$H115:$H129,T!$M115:$M129),IF(AND(K51="4E1",K53=9),LOOKUP(K75,T!$I115:$I129,T!$M115:$M129),IF(AND(K51="4E1",K53=10),LOOKUP(K75,T!$J115:$J129,T!$M115:$M129),IF(AND(K51="4E1",K53=11),LOOKUP(K75,T!$K115:$K129,T!$M115:$M129),IF(AND(K51="4E1",K53=12),LOOKUP(K75,T!$L115:$L129,T!$M115:$M129),IF(AND(K51="4E2",K53=2),LOOKUP(K75,T!$B134:$B151,T!$J134:$J152),IF(AND(K51="4E2",K53=3),LOOKUP(K75,T!$C134:$C151,T!$J134:$J152),IF(AND(K51="4E2",K53=4),LOOKUP(K75,T!$D134:$D152,T!$J134:$J152),IF(AND(K51="4E2",K53=5),LOOKUP(K75,T!$E134:$E152,T!$J134:$J152),IF(AND(K51="4E2",K53=6),LOOKUP(K75,T!$F134:$F152,T!$J134:$J152),IF(AND(K51="4E2",K53=7),LOOKUP(K75,T!$G134:$G152,T!$J134:$J152),IF(AND(K51="4E2",K53=8),LOOKUP(K75,T!$H134:$H152,T!$J134:$J152),IF(AND(K51="4E2",K53=9),LOOKUP(K75,T!$I134:$I152,T!$J134:$J152),IF(AND(K51="4E3",K53=2),LOOKUP(K75,T!$B158:$B170,T!$M158:$M170),IF(AND(K51="4E3",K53=3),LOOKUP(K75,T!$C158:$C170,T!$M158:$M170),IF(AND(K51="4E3",K53=4),LOOKUP(K75,T!$D158:$D170,T!$M158:$M170),IF(AND(K51="4E3",K53=5),LOOKUP(K75,T!$E158:$E170,T!$M158:$M170),IF(AND(K51="4E3",K53=6),LOOKUP(K75,T!$F158:$F170,T!$M158:$M170),IF(AND(K51="4E3",K53=7),LOOKUP(K75,T!$G158:$G170,T!$M158:$M170),IF(AND(K51="4E3",K53=8),LOOKUP(K75,T!$H158:$H170,T!$M158:$M170),IF(AND(K51="4E3",K53=9),LOOKUP(K75,T!$I158:$I170,T!$M158:$M170),IF(AND(K51="4E3",K53=10),LOOKUP(K75,T!$J158:$J170,T!$M158:$M170),IF(AND(K51="4E3",K53=11),LOOKUP(K75,T!$K158:$K170,T!$M158:$M170),IF(AND(K51="4E3",K53=12),LOOKUP(K75,T!$L158:$L170,T!$M158:$M170),IF(AND(K51="4E4",K53=2),LOOKUP(K75,T!$B176:$B192,T!$H176:$H192),IF(AND(K51="4E4",K53=3),LOOKUP(K75,T!$C176:$C192,T!$H176:$H192),IF(AND(K51="4E4",K53=4),LOOKUP(K75,T!$D176:$D192,T!$H176:$H192),IF(AND(K51="4E4",K53=5),LOOKUP(K75,T!$E176:$E192,T!$H176:$H192),IF(AND(K51="4E4",K53=6),LOOKUP(K75,T!$F176:$F191,T!$H176:$H192),IF(AND(K51="4E4",K53=7),LOOKUP(K75,T!$G176:$G191,T!$H176:$H192),"-")))))))))))))))))))))))))))))))))))),IF(ISNUMBER(SEARCH("4F",K51)),IF(AND(K51="4F1",K53=2),LOOKUP(K75,T!$B198:$B202,T!$E198:$E214),IF(AND(K51="4F1",K53=3),LOOKUP(K75,T!$C198:$C211,T!$E198:$E214),IF(AND(K51="4F1",K53=4),LOOKUP(K75,T!$D203:$D214,T!$E203:$E214),IF(AND(K51="4F2",K53=2),LOOKUP(K75,T!$B220:$B224,T!$E220:$E236),IF(AND(K51="4F2",K53=3),LOOKUP(K75,T!$C220:$C233,T!$E220:$E236),IF(AND(K51="4F2",K53=4),LOOKUP(K75,T!$D225:$D236,T!$E225:$E236),IF(AND(K51="4F3",K53=2),LOOKUP(K75,T!$B242:$B248,T!$E242:$E248),IF(AND(K51="4F3",K53=3),LOOKUP(K75,T!$C242:$C248,T!$E242:$E248),"-")))))))),""))))</f>
        <v>1.5</v>
      </c>
      <c r="L78" s="134">
        <f>IF(L29="","",IF(ISNUMBER(SEARCH("4D",L51)),IF(AND(L51="4D1",L53=2),LOOKUP(L75,T!$B6:$B22,T!$M6:$M27),IF(AND(L51="4D1",L53=3),LOOKUP(L75,T!$C6:$C22,T!$M6:$M27),IF(AND(L51="4D1",L53=4),LOOKUP(L75,T!$D6:$D25,T!$M6:$M27),IF(AND(L51="4D1",L53=5),LOOKUP(L75,T!$E6:$E25,T!$M6:$M27),IF(AND(L51="4D1",L53=6),LOOKUP(L75,T!$F6:$F27,T!$M6:$M27),IF(AND(L51="4D1",L53=7),LOOKUP(L75,T!$G6:$G27,T!$M6:$M27),IF(AND(L51="4D1",L53=8),LOOKUP(L75,T!$H13:$H27,T!$M13:$M27),IF(AND(L51="4D1",L53=9),LOOKUP(L75,T!$I13:$I27,T!$M13:$M27),IF(AND(L51="4D1",L53=10),LOOKUP(L75,T!$J13:$J27,T!$M13:$M27),IF(AND(L51="4D1",L53=11),LOOKUP(L75,T!$K13:$K27,T!$M13:$M27),IF(AND(L51="4D1",L53=12),LOOKUP(L75,T!$L13:$L27,T!$M13:$M27),IF(AND(L51="4D2",L53=2),LOOKUP(L75,T!$B33:$B49,T!$J33:$J50),IF(AND(L51="4D2",L53=3),LOOKUP(L75,T!$C33:$C49,T!$J33:$J50),IF(AND(L51="4D2",L53=4),LOOKUP(L75,T!$D33:$D50,T!$J33:$J50),IF(AND(L51="4D2",L53=5),LOOKUP(L75,T!$E33:$E50,T!$J33:$J50),IF(AND(L51="4D2",L53=6),LOOKUP(L75,T!$F33:$F50,T!$J33:$J50),IF(AND(L51="4D2",L53=7),LOOKUP(L75,T!$G33:$G50,T!$J33:$J50),IF(AND(L51="4D2",L53=8),LOOKUP(L75,T!$H33:$H50,T!$J33:$J50),IF(AND(L51="4D2",L53=9),LOOKUP(L75,T!$I33:$I50,T!$J33:$J50),IF(AND(L51="4D3",L53=2),LOOKUP(L75,T!$B56:$B68,T!$M56:$M68),IF(AND(L51="4D3",L53=3),LOOKUP(L75,T!$C56:$C68,T!$M56:$M68),IF(AND(L51="4D3",L53=4),LOOKUP(L75,T!$D56:$D$68,T!$M56:$M68),IF(AND(L51="4D3",L53=5),LOOKUP(L75,T!$E56:$E68,T!$M56:$M68),IF(AND(L51="4D3",L53=6),LOOKUP(L75,T!$F56:$F68,T!$M56:$M68),IF(AND(L51="4D3",L53=7),LOOKUP(L75,T!$G56:$G68,T!$M56:$M68),IF(AND(L51="4D3",L53=8),LOOKUP(L75,T!$H56:$H68,T!$M56:$M68),IF(AND(L51="4D3",L53=9),LOOKUP(L75,T!$I56:$I68,T!$M56:$M68),IF(AND(L51="4D3",L53=10),LOOKUP(L75,T!$J56:$J68,T!$M56:$M68),IF(AND(L51="4D3",L53=11),LOOKUP(L75,T!$K56:$K68,T!$M56:$M68),IF(AND(L51="4D3",L53=12),LOOKUP(L75,T!$L56:$L68,T!$M56:$M68),IF(AND(L51="4D4",L53=2),LOOKUP(L75,T!$B74:$B90,T!$H74:$H90),IF(AND(L51="4D4",L53=3),LOOKUP(L75,T!$C74:$C90,T!$H74:$H90),IF(AND(L51="4D4",L53=4),LOOKUP(L75,T!$D74:$D90,T!$H74:$H90),IF(AND(L51="4D4",L53=5),LOOKUP(L75,T!$E74:$E90,T!$H74:$H90),IF(AND(L51="4D4",L53=6),LOOKUP(L75,T!$F74:$F89,T!$H74:$H90),IF(AND(L51="4D4",L53=7),LOOKUP(L75,T!$G74:$G89,T!$H74:$H90),IF(AND(L51="4D5",L53=2),LOOKUP(L75,T!$B96:$B102,T!$I96:$I102),IF(AND(L51="4D5",L53=3),LOOKUP(L75,T!$C96:$C102,T!$I96:$I102),IF(AND(L51="4D5",L53=4),LOOKUP(L75,T!$D96:$D102,T!$I96:$I102),IF(AND(L51="4D5",L53=5),LOOKUP(L75,T!$E96:$E102,T!$I96:$I102),IF(AND(L51="4D5",L53=6),LOOKUP(L75,T!$F96:$F102,T!$I96:$I102),IF(AND(L51="4D5",L53=7),LOOKUP(L75,T!$G96:$G102,T!$I96:$I102),"-")))))))))))))))))))))))))))))))))))))))))),IF(ISNUMBER(SEARCH("4E",L51)),IF(AND(L51="4E1",L53=2),LOOKUP(L75,T!$B108:$B124,T!$M108:$M129),IF(AND(L51="4E1",L53=3),LOOKUP(L75,T!$C108:$C124,T!$M108:$M129),IF(AND(L51="4E1",L53=4),LOOKUP(L75,T!$D108:$D127,T!$M108:$M129),IF(AND(L51="4E1",L53=5),LOOKUP(L75,T!$E108:$E127,T!$M108:$M129),IF(AND(L51="4E1",L53=6),LOOKUP(L75,T!$F108:$F129,T!$M108:$M129),IF(AND(L51="4E1",L53=7),LOOKUP(L75,T!$G108:$G129,T!$M108:$M129),IF(AND(L51="4E1",L53=8),LOOKUP(L75,T!$H115:$H129,T!$M115:$M129),IF(AND(L51="4E1",L53=9),LOOKUP(L75,T!$I115:$I129,T!$M115:$M129),IF(AND(L51="4E1",L53=10),LOOKUP(L75,T!$J115:$J129,T!$M115:$M129),IF(AND(L51="4E1",L53=11),LOOKUP(L75,T!$K115:$K129,T!$M115:$M129),IF(AND(L51="4E1",L53=12),LOOKUP(L75,T!$L115:$L129,T!$M115:$M129),IF(AND(L51="4E2",L53=2),LOOKUP(L75,T!$B134:$B151,T!$J134:$J152),IF(AND(L51="4E2",L53=3),LOOKUP(L75,T!$C134:$C151,T!$J134:$J152),IF(AND(L51="4E2",L53=4),LOOKUP(L75,T!$D134:$D152,T!$J134:$J152),IF(AND(L51="4E2",L53=5),LOOKUP(L75,T!$E134:$E152,T!$J134:$J152),IF(AND(L51="4E2",L53=6),LOOKUP(L75,T!$F134:$F152,T!$J134:$J152),IF(AND(L51="4E2",L53=7),LOOKUP(L75,T!$G134:$G152,T!$J134:$J152),IF(AND(L51="4E2",L53=8),LOOKUP(L75,T!$H134:$H152,T!$J134:$J152),IF(AND(L51="4E2",L53=9),LOOKUP(L75,T!$I134:$I152,T!$J134:$J152),IF(AND(L51="4E3",L53=2),LOOKUP(L75,T!$B158:$B170,T!$M158:$M170),IF(AND(L51="4E3",L53=3),LOOKUP(L75,T!$C158:$C170,T!$M158:$M170),IF(AND(L51="4E3",L53=4),LOOKUP(L75,T!$D158:$D170,T!$M158:$M170),IF(AND(L51="4E3",L53=5),LOOKUP(L75,T!$E158:$E170,T!$M158:$M170),IF(AND(L51="4E3",L53=6),LOOKUP(L75,T!$F158:$F170,T!$M158:$M170),IF(AND(L51="4E3",L53=7),LOOKUP(L75,T!$G158:$G170,T!$M158:$M170),IF(AND(L51="4E3",L53=8),LOOKUP(L75,T!$H158:$H170,T!$M158:$M170),IF(AND(L51="4E3",L53=9),LOOKUP(L75,T!$I158:$I170,T!$M158:$M170),IF(AND(L51="4E3",L53=10),LOOKUP(L75,T!$J158:$J170,T!$M158:$M170),IF(AND(L51="4E3",L53=11),LOOKUP(L75,T!$K158:$K170,T!$M158:$M170),IF(AND(L51="4E3",L53=12),LOOKUP(L75,T!$L158:$L170,T!$M158:$M170),IF(AND(L51="4E4",L53=2),LOOKUP(L75,T!$B176:$B192,T!$H176:$H192),IF(AND(L51="4E4",L53=3),LOOKUP(L75,T!$C176:$C192,T!$H176:$H192),IF(AND(L51="4E4",L53=4),LOOKUP(L75,T!$D176:$D192,T!$H176:$H192),IF(AND(L51="4E4",L53=5),LOOKUP(L75,T!$E176:$E192,T!$H176:$H192),IF(AND(L51="4E4",L53=6),LOOKUP(L75,T!$F176:$F191,T!$H176:$H192),IF(AND(L51="4E4",L53=7),LOOKUP(L75,T!$G176:$G191,T!$H176:$H192),"-")))))))))))))))))))))))))))))))))))),IF(ISNUMBER(SEARCH("4F",L51)),IF(AND(L51="4F1",L53=2),LOOKUP(L75,T!$B198:$B202,T!$E198:$E214),IF(AND(L51="4F1",L53=3),LOOKUP(L75,T!$C198:$C211,T!$E198:$E214),IF(AND(L51="4F1",L53=4),LOOKUP(L75,T!$D203:$D214,T!$E203:$E214),IF(AND(L51="4F2",L53=2),LOOKUP(L75,T!$B220:$B224,T!$E220:$E236),IF(AND(L51="4F2",L53=3),LOOKUP(L75,T!$C220:$C233,T!$E220:$E236),IF(AND(L51="4F2",L53=4),LOOKUP(L75,T!$D225:$D236,T!$E225:$E236),IF(AND(L51="4F3",L53=2),LOOKUP(L75,T!$B242:$B248,T!$E242:$E248),IF(AND(L51="4F3",L53=3),LOOKUP(L75,T!$C242:$C248,T!$E242:$E248),"-")))))))),""))))</f>
        <v>1.5</v>
      </c>
      <c r="M78" s="134" t="str">
        <f>IF(M29="","",IF(ISNUMBER(SEARCH("4D",M51)),IF(AND(M51="4D1",M53=2),LOOKUP(M75,T!$B6:$B22,T!$M6:$M27),IF(AND(M51="4D1",M53=3),LOOKUP(M75,T!$C6:$C22,T!$M6:$M27),IF(AND(M51="4D1",M53=4),LOOKUP(M75,T!$D6:$D25,T!$M6:$M27),IF(AND(M51="4D1",M53=5),LOOKUP(M75,T!$E6:$E25,T!$M6:$M27),IF(AND(M51="4D1",M53=6),LOOKUP(M75,T!$F6:$F27,T!$M6:$M27),IF(AND(M51="4D1",M53=7),LOOKUP(M75,T!$G6:$G27,T!$M6:$M27),IF(AND(M51="4D1",M53=8),LOOKUP(M75,T!$H13:$H27,T!$M13:$M27),IF(AND(M51="4D1",M53=9),LOOKUP(M75,T!$I13:$I27,T!$M13:$M27),IF(AND(M51="4D1",M53=10),LOOKUP(M75,T!$J13:$J27,T!$M13:$M27),IF(AND(M51="4D1",M53=11),LOOKUP(M75,T!$K13:$K27,T!$M13:$M27),IF(AND(M51="4D1",M53=12),LOOKUP(M75,T!$L13:$L27,T!$M13:$M27),IF(AND(M51="4D2",M53=2),LOOKUP(M75,T!$B33:$B49,T!$J33:$J50),IF(AND(M51="4D2",M53=3),LOOKUP(M75,T!$C33:$C49,T!$J33:$J50),IF(AND(M51="4D2",M53=4),LOOKUP(M75,T!$D33:$D50,T!$J33:$J50),IF(AND(M51="4D2",M53=5),LOOKUP(M75,T!$E33:$E50,T!$J33:$J50),IF(AND(M51="4D2",M53=6),LOOKUP(M75,T!$F33:$F50,T!$J33:$J50),IF(AND(M51="4D2",M53=7),LOOKUP(M75,T!$G33:$G50,T!$J33:$J50),IF(AND(M51="4D2",M53=8),LOOKUP(M75,T!$H33:$H50,T!$J33:$J50),IF(AND(M51="4D2",M53=9),LOOKUP(M75,T!$I33:$I50,T!$J33:$J50),IF(AND(M51="4D3",M53=2),LOOKUP(M75,T!$B56:$B68,T!$M56:$M68),IF(AND(M51="4D3",M53=3),LOOKUP(M75,T!$C56:$C68,T!$M56:$M68),IF(AND(M51="4D3",M53=4),LOOKUP(M75,T!$D56:$D$68,T!$M56:$M68),IF(AND(M51="4D3",M53=5),LOOKUP(M75,T!$E56:$E68,T!$M56:$M68),IF(AND(M51="4D3",M53=6),LOOKUP(M75,T!$F56:$F68,T!$M56:$M68),IF(AND(M51="4D3",M53=7),LOOKUP(M75,T!$G56:$G68,T!$M56:$M68),IF(AND(M51="4D3",M53=8),LOOKUP(M75,T!$H56:$H68,T!$M56:$M68),IF(AND(M51="4D3",M53=9),LOOKUP(M75,T!$I56:$I68,T!$M56:$M68),IF(AND(M51="4D3",M53=10),LOOKUP(M75,T!$J56:$J68,T!$M56:$M68),IF(AND(M51="4D3",M53=11),LOOKUP(M75,T!$K56:$K68,T!$M56:$M68),IF(AND(M51="4D3",M53=12),LOOKUP(M75,T!$L56:$L68,T!$M56:$M68),IF(AND(M51="4D4",M53=2),LOOKUP(M75,T!$B74:$B90,T!$H74:$H90),IF(AND(M51="4D4",M53=3),LOOKUP(M75,T!$C74:$C90,T!$H74:$H90),IF(AND(M51="4D4",M53=4),LOOKUP(M75,T!$D74:$D90,T!$H74:$H90),IF(AND(M51="4D4",M53=5),LOOKUP(M75,T!$E74:$E90,T!$H74:$H90),IF(AND(M51="4D4",M53=6),LOOKUP(M75,T!$F74:$F89,T!$H74:$H90),IF(AND(M51="4D4",M53=7),LOOKUP(M75,T!$G74:$G89,T!$H74:$H90),IF(AND(M51="4D5",M53=2),LOOKUP(M75,T!$B96:$B102,T!$I96:$I102),IF(AND(M51="4D5",M53=3),LOOKUP(M75,T!$C96:$C102,T!$I96:$I102),IF(AND(M51="4D5",M53=4),LOOKUP(M75,T!$D96:$D102,T!$I96:$I102),IF(AND(M51="4D5",M53=5),LOOKUP(M75,T!$E96:$E102,T!$I96:$I102),IF(AND(M51="4D5",M53=6),LOOKUP(M75,T!$F96:$F102,T!$I96:$I102),IF(AND(M51="4D5",M53=7),LOOKUP(M75,T!$G96:$G102,T!$I96:$I102),"-")))))))))))))))))))))))))))))))))))))))))),IF(ISNUMBER(SEARCH("4E",M51)),IF(AND(M51="4E1",M53=2),LOOKUP(M75,T!$B108:$B124,T!$M108:$M129),IF(AND(M51="4E1",M53=3),LOOKUP(M75,T!$C108:$C124,T!$M108:$M129),IF(AND(M51="4E1",M53=4),LOOKUP(M75,T!$D108:$D127,T!$M108:$M129),IF(AND(M51="4E1",M53=5),LOOKUP(M75,T!$E108:$E127,T!$M108:$M129),IF(AND(M51="4E1",M53=6),LOOKUP(M75,T!$F108:$F129,T!$M108:$M129),IF(AND(M51="4E1",M53=7),LOOKUP(M75,T!$G108:$G129,T!$M108:$M129),IF(AND(M51="4E1",M53=8),LOOKUP(M75,T!$H115:$H129,T!$M115:$M129),IF(AND(M51="4E1",M53=9),LOOKUP(M75,T!$I115:$I129,T!$M115:$M129),IF(AND(M51="4E1",M53=10),LOOKUP(M75,T!$J115:$J129,T!$M115:$M129),IF(AND(M51="4E1",M53=11),LOOKUP(M75,T!$K115:$K129,T!$M115:$M129),IF(AND(M51="4E1",M53=12),LOOKUP(M75,T!$L115:$L129,T!$M115:$M129),IF(AND(M51="4E2",M53=2),LOOKUP(M75,T!$B134:$B151,T!$J134:$J152),IF(AND(M51="4E2",M53=3),LOOKUP(M75,T!$C134:$C151,T!$J134:$J152),IF(AND(M51="4E2",M53=4),LOOKUP(M75,T!$D134:$D152,T!$J134:$J152),IF(AND(M51="4E2",M53=5),LOOKUP(M75,T!$E134:$E152,T!$J134:$J152),IF(AND(M51="4E2",M53=6),LOOKUP(M75,T!$F134:$F152,T!$J134:$J152),IF(AND(M51="4E2",M53=7),LOOKUP(M75,T!$G134:$G152,T!$J134:$J152),IF(AND(M51="4E2",M53=8),LOOKUP(M75,T!$H134:$H152,T!$J134:$J152),IF(AND(M51="4E2",M53=9),LOOKUP(M75,T!$I134:$I152,T!$J134:$J152),IF(AND(M51="4E3",M53=2),LOOKUP(M75,T!$B158:$B170,T!$M158:$M170),IF(AND(M51="4E3",M53=3),LOOKUP(M75,T!$C158:$C170,T!$M158:$M170),IF(AND(M51="4E3",M53=4),LOOKUP(M75,T!$D158:$D170,T!$M158:$M170),IF(AND(M51="4E3",M53=5),LOOKUP(M75,T!$E158:$E170,T!$M158:$M170),IF(AND(M51="4E3",M53=6),LOOKUP(M75,T!$F158:$F170,T!$M158:$M170),IF(AND(M51="4E3",M53=7),LOOKUP(M75,T!$G158:$G170,T!$M158:$M170),IF(AND(M51="4E3",M53=8),LOOKUP(M75,T!$H158:$H170,T!$M158:$M170),IF(AND(M51="4E3",M53=9),LOOKUP(M75,T!$I158:$I170,T!$M158:$M170),IF(AND(M51="4E3",M53=10),LOOKUP(M75,T!$J158:$J170,T!$M158:$M170),IF(AND(M51="4E3",M53=11),LOOKUP(M75,T!$K158:$K170,T!$M158:$M170),IF(AND(M51="4E3",M53=12),LOOKUP(M75,T!$L158:$L170,T!$M158:$M170),IF(AND(M51="4E4",M53=2),LOOKUP(M75,T!$B176:$B192,T!$H176:$H192),IF(AND(M51="4E4",M53=3),LOOKUP(M75,T!$C176:$C192,T!$H176:$H192),IF(AND(M51="4E4",M53=4),LOOKUP(M75,T!$D176:$D192,T!$H176:$H192),IF(AND(M51="4E4",M53=5),LOOKUP(M75,T!$E176:$E192,T!$H176:$H192),IF(AND(M51="4E4",M53=6),LOOKUP(M75,T!$F176:$F191,T!$H176:$H192),IF(AND(M51="4E4",M53=7),LOOKUP(M75,T!$G176:$G191,T!$H176:$H192),"-")))))))))))))))))))))))))))))))))))),IF(ISNUMBER(SEARCH("4F",M51)),IF(AND(M51="4F1",M53=2),LOOKUP(M75,T!$B198:$B202,T!$E198:$E214),IF(AND(M51="4F1",M53=3),LOOKUP(M75,T!$C198:$C211,T!$E198:$E214),IF(AND(M51="4F1",M53=4),LOOKUP(M75,T!$D203:$D214,T!$E203:$E214),IF(AND(M51="4F2",M53=2),LOOKUP(M75,T!$B220:$B224,T!$E220:$E236),IF(AND(M51="4F2",M53=3),LOOKUP(M75,T!$C220:$C233,T!$E220:$E236),IF(AND(M51="4F2",M53=4),LOOKUP(M75,T!$D225:$D236,T!$E225:$E236),IF(AND(M51="4F3",M53=2),LOOKUP(M75,T!$B242:$B248,T!$E242:$E248),IF(AND(M51="4F3",M53=3),LOOKUP(M75,T!$C242:$C248,T!$E242:$E248),"-")))))))),""))))</f>
        <v/>
      </c>
      <c r="N78" s="134">
        <f>IF(N29="","",IF(ISNUMBER(SEARCH("4D",N51)),IF(AND(N51="4D1",N53=2),LOOKUP(N75,T!$B6:$B22,T!$M6:$M27),IF(AND(N51="4D1",N53=3),LOOKUP(N75,T!$C6:$C22,T!$M6:$M27),IF(AND(N51="4D1",N53=4),LOOKUP(N75,T!$D6:$D25,T!$M6:$M27),IF(AND(N51="4D1",N53=5),LOOKUP(N75,T!$E6:$E25,T!$M6:$M27),IF(AND(N51="4D1",N53=6),LOOKUP(N75,T!$F6:$F27,T!$M6:$M27),IF(AND(N51="4D1",N53=7),LOOKUP(N75,T!$G6:$G27,T!$M6:$M27),IF(AND(N51="4D1",N53=8),LOOKUP(N75,T!$H13:$H27,T!$M13:$M27),IF(AND(N51="4D1",N53=9),LOOKUP(N75,T!$I13:$I27,T!$M13:$M27),IF(AND(N51="4D1",N53=10),LOOKUP(N75,T!$J13:$J27,T!$M13:$M27),IF(AND(N51="4D1",N53=11),LOOKUP(N75,T!$K13:$K27,T!$M13:$M27),IF(AND(N51="4D1",N53=12),LOOKUP(N75,T!$L13:$L27,T!$M13:$M27),IF(AND(N51="4D2",N53=2),LOOKUP(N75,T!$B33:$B49,T!$J33:$J50),IF(AND(N51="4D2",N53=3),LOOKUP(N75,T!$C33:$C49,T!$J33:$J50),IF(AND(N51="4D2",N53=4),LOOKUP(N75,T!$D33:$D50,T!$J33:$J50),IF(AND(N51="4D2",N53=5),LOOKUP(N75,T!$E33:$E50,T!$J33:$J50),IF(AND(N51="4D2",N53=6),LOOKUP(N75,T!$F33:$F50,T!$J33:$J50),IF(AND(N51="4D2",N53=7),LOOKUP(N75,T!$G33:$G50,T!$J33:$J50),IF(AND(N51="4D2",N53=8),LOOKUP(N75,T!$H33:$H50,T!$J33:$J50),IF(AND(N51="4D2",N53=9),LOOKUP(N75,T!$I33:$I50,T!$J33:$J50),IF(AND(N51="4D3",N53=2),LOOKUP(N75,T!$B56:$B68,T!$M56:$M68),IF(AND(N51="4D3",N53=3),LOOKUP(N75,T!$C56:$C68,T!$M56:$M68),IF(AND(N51="4D3",N53=4),LOOKUP(N75,T!$D56:$D$68,T!$M56:$M68),IF(AND(N51="4D3",N53=5),LOOKUP(N75,T!$E56:$E68,T!$M56:$M68),IF(AND(N51="4D3",N53=6),LOOKUP(N75,T!$F56:$F68,T!$M56:$M68),IF(AND(N51="4D3",N53=7),LOOKUP(N75,T!$G56:$G68,T!$M56:$M68),IF(AND(N51="4D3",N53=8),LOOKUP(N75,T!$H56:$H68,T!$M56:$M68),IF(AND(N51="4D3",N53=9),LOOKUP(N75,T!$I56:$I68,T!$M56:$M68),IF(AND(N51="4D3",N53=10),LOOKUP(N75,T!$J56:$J68,T!$M56:$M68),IF(AND(N51="4D3",N53=11),LOOKUP(N75,T!$K56:$K68,T!$M56:$M68),IF(AND(N51="4D3",N53=12),LOOKUP(N75,T!$L56:$L68,T!$M56:$M68),IF(AND(N51="4D4",N53=2),LOOKUP(N75,T!$B74:$B90,T!$H74:$H90),IF(AND(N51="4D4",N53=3),LOOKUP(N75,T!$C74:$C90,T!$H74:$H90),IF(AND(N51="4D4",N53=4),LOOKUP(N75,T!$D74:$D90,T!$H74:$H90),IF(AND(N51="4D4",N53=5),LOOKUP(N75,T!$E74:$E90,T!$H74:$H90),IF(AND(N51="4D4",N53=6),LOOKUP(N75,T!$F74:$F89,T!$H74:$H90),IF(AND(N51="4D4",N53=7),LOOKUP(N75,T!$G74:$G89,T!$H74:$H90),IF(AND(N51="4D5",N53=2),LOOKUP(N75,T!$B96:$B102,T!$I96:$I102),IF(AND(N51="4D5",N53=3),LOOKUP(N75,T!$C96:$C102,T!$I96:$I102),IF(AND(N51="4D5",N53=4),LOOKUP(N75,T!$D96:$D102,T!$I96:$I102),IF(AND(N51="4D5",N53=5),LOOKUP(N75,T!$E96:$E102,T!$I96:$I102),IF(AND(N51="4D5",N53=6),LOOKUP(N75,T!$F96:$F102,T!$I96:$I102),IF(AND(N51="4D5",N53=7),LOOKUP(N75,T!$G96:$G102,T!$I96:$I102),"-")))))))))))))))))))))))))))))))))))))))))),IF(ISNUMBER(SEARCH("4E",N51)),IF(AND(N51="4E1",N53=2),LOOKUP(N75,T!$B108:$B124,T!$M108:$M129),IF(AND(N51="4E1",N53=3),LOOKUP(N75,T!$C108:$C124,T!$M108:$M129),IF(AND(N51="4E1",N53=4),LOOKUP(N75,T!$D108:$D127,T!$M108:$M129),IF(AND(N51="4E1",N53=5),LOOKUP(N75,T!$E108:$E127,T!$M108:$M129),IF(AND(N51="4E1",N53=6),LOOKUP(N75,T!$F108:$F129,T!$M108:$M129),IF(AND(N51="4E1",N53=7),LOOKUP(N75,T!$G108:$G129,T!$M108:$M129),IF(AND(N51="4E1",N53=8),LOOKUP(N75,T!$H115:$H129,T!$M115:$M129),IF(AND(N51="4E1",N53=9),LOOKUP(N75,T!$I115:$I129,T!$M115:$M129),IF(AND(N51="4E1",N53=10),LOOKUP(N75,T!$J115:$J129,T!$M115:$M129),IF(AND(N51="4E1",N53=11),LOOKUP(N75,T!$K115:$K129,T!$M115:$M129),IF(AND(N51="4E1",N53=12),LOOKUP(N75,T!$L115:$L129,T!$M115:$M129),IF(AND(N51="4E2",N53=2),LOOKUP(N75,T!$B134:$B151,T!$J134:$J152),IF(AND(N51="4E2",N53=3),LOOKUP(N75,T!$C134:$C151,T!$J134:$J152),IF(AND(N51="4E2",N53=4),LOOKUP(N75,T!$D134:$D152,T!$J134:$J152),IF(AND(N51="4E2",N53=5),LOOKUP(N75,T!$E134:$E152,T!$J134:$J152),IF(AND(N51="4E2",N53=6),LOOKUP(N75,T!$F134:$F152,T!$J134:$J152),IF(AND(N51="4E2",N53=7),LOOKUP(N75,T!$G134:$G152,T!$J134:$J152),IF(AND(N51="4E2",N53=8),LOOKUP(N75,T!$H134:$H152,T!$J134:$J152),IF(AND(N51="4E2",N53=9),LOOKUP(N75,T!$I134:$I152,T!$J134:$J152),IF(AND(N51="4E3",N53=2),LOOKUP(N75,T!$B158:$B170,T!$M158:$M170),IF(AND(N51="4E3",N53=3),LOOKUP(N75,T!$C158:$C170,T!$M158:$M170),IF(AND(N51="4E3",N53=4),LOOKUP(N75,T!$D158:$D170,T!$M158:$M170),IF(AND(N51="4E3",N53=5),LOOKUP(N75,T!$E158:$E170,T!$M158:$M170),IF(AND(N51="4E3",N53=6),LOOKUP(N75,T!$F158:$F170,T!$M158:$M170),IF(AND(N51="4E3",N53=7),LOOKUP(N75,T!$G158:$G170,T!$M158:$M170),IF(AND(N51="4E3",N53=8),LOOKUP(N75,T!$H158:$H170,T!$M158:$M170),IF(AND(N51="4E3",N53=9),LOOKUP(N75,T!$I158:$I170,T!$M158:$M170),IF(AND(N51="4E3",N53=10),LOOKUP(N75,T!$J158:$J170,T!$M158:$M170),IF(AND(N51="4E3",N53=11),LOOKUP(N75,T!$K158:$K170,T!$M158:$M170),IF(AND(N51="4E3",N53=12),LOOKUP(N75,T!$L158:$L170,T!$M158:$M170),IF(AND(N51="4E4",N53=2),LOOKUP(N75,T!$B176:$B192,T!$H176:$H192),IF(AND(N51="4E4",N53=3),LOOKUP(N75,T!$C176:$C192,T!$H176:$H192),IF(AND(N51="4E4",N53=4),LOOKUP(N75,T!$D176:$D192,T!$H176:$H192),IF(AND(N51="4E4",N53=5),LOOKUP(N75,T!$E176:$E192,T!$H176:$H192),IF(AND(N51="4E4",N53=6),LOOKUP(N75,T!$F176:$F191,T!$H176:$H192),IF(AND(N51="4E4",N53=7),LOOKUP(N75,T!$G176:$G191,T!$H176:$H192),"-")))))))))))))))))))))))))))))))))))),IF(ISNUMBER(SEARCH("4F",N51)),IF(AND(N51="4F1",N53=2),LOOKUP(N75,T!$B198:$B202,T!$E198:$E214),IF(AND(N51="4F1",N53=3),LOOKUP(N75,T!$C198:$C211,T!$E198:$E214),IF(AND(N51="4F1",N53=4),LOOKUP(N75,T!$D203:$D214,T!$E203:$E214),IF(AND(N51="4F2",N53=2),LOOKUP(N75,T!$B220:$B224,T!$E220:$E236),IF(AND(N51="4F2",N53=3),LOOKUP(N75,T!$C220:$C233,T!$E220:$E236),IF(AND(N51="4F2",N53=4),LOOKUP(N75,T!$D225:$D236,T!$E225:$E236),IF(AND(N51="4F3",N53=2),LOOKUP(N75,T!$B242:$B248,T!$E242:$E248),IF(AND(N51="4F3",N53=3),LOOKUP(N75,T!$C242:$C248,T!$E242:$E248),"-")))))))),""))))</f>
        <v>120</v>
      </c>
      <c r="O78" s="148" t="str">
        <f t="shared" ref="O78:O83" si="18">IF(N78&lt;&gt;"","mm²","")</f>
        <v>mm²</v>
      </c>
    </row>
    <row r="79" spans="1:43" s="128" customFormat="1" ht="16">
      <c r="A79" s="157"/>
      <c r="B79" s="183"/>
      <c r="C79" s="157"/>
      <c r="D79" s="157" t="str">
        <f>IF(D29="","",IF(ISNUMBER(SEARCH("4G",D51)),IF(AND(D51="4G1",D53=2,D59="500V"),LOOKUP(D76,T!$B255:$B258,T!$J255:$J258),IF(AND(D51="4G1",D53=3,D59="500V"),LOOKUP(D76,T!$C255:$C258,T!$J255:$J258),IF(AND(D51="4G1",D53=4,D59="500V"),LOOKUP(D76,T!$D255:$D258,T!$J255:$J258),IF(AND(D51="4G1",D53=5,D59="500V"),LOOKUP(D76,T!$E255:$E258,T!$J255:$J258),IF(AND(D51="4G1",D53=6,D59="500V"),LOOKUP(D76,T!$F255:$F258,T!$J255:$J258),IF(AND(D51="4G1",D53=7,D59="500V"),LOOKUP(D76,T!$G255:$G258,T!$J255:$J258),IF(AND(D51="4G1",D53=8,D59="500V"),LOOKUP(D76,T!$H255:$H258,T!$J255:$J258),IF(AND(D51="4G1",D53=9,D59="500V"),LOOKUP(D76,T!$I255:$I258,T!$J255:$J258),IF(AND(D51="4G1",D53=2,D59="750V"),LOOKUP(D76,T!$B260:$B275,T!$J260:$J275),IF(AND(D51="4G1",D53=3,D59="750V"),LOOKUP(D76,T!$C260:$C275,T!$J260:$J275),IF(AND(D51="4G1",D53=4,D59="750V"),LOOKUP(D76,T!$D260:$D275,T!$J260:$J275),IF(AND(D51="4G1",D53=5,D59="750V"),LOOKUP(D76,T!$E260:$E275,T!$J260:$J275),IF(AND(D51="4G1",D53=6,D59="750V"),LOOKUP(D76,T!$F260:$F275,T!$J260:$J275),IF(AND(D51="4G1",D53=7,D59="750V"),LOOKUP(D76,T!$G260:$G275,T!$J260:$J275),IF(AND(D51="4G1",D53=8,D59="750V"),LOOKUP(D76,T!$H260:$H275,T!$J260:$J275),IF(AND(D51="4G1",D53=9,D59="750V"),LOOKUP(D76,T!$I260:$I275,T!$J260:$J275),IF(AND(D51="4G2",D53=2,D59="500V"),LOOKUP(D76,T!$B282:$B285,T!$J282:$J285),IF(AND(D51="4G2",D53=3,D59="500V"),LOOKUP(D76,T!$C282:$C285,T!$J282:$J285),IF(AND(D51="4G2",D53=4,D59="500V"),LOOKUP(D76,T!$D282:$D285,T!$J282:$J285),IF(AND(D51="4G2",D53=5,D59="500V"),LOOKUP(D76,T!$E282:$E285,T!$J282:$J285),IF(AND(D51="4G2",D53=6,D59="500V"),LOOKUP(D76,T!$F282:$F285,T!$J282:$J285),IF(AND(D51="4G2",D53=7,D59="500V"),LOOKUP(D76,T!$G282:$G285,T!$J282:$J285),IF(AND(D51="4G2",D53=8,D59="500V"),LOOKUP(D76,T!$H282:$H285,T!$J282:$J285),IF(AND(D51="4G2",D53=9,D59="500V"),LOOKUP(D76,T!$I282:$I285,T!$J282:$J285),IF(AND(D51="4G2",D53=2,D59="750V"),LOOKUP(D76,T!$B287:$B302,T!$J287:$J302),IF(AND(D51="4G2",D53=3,D59="750V"),LOOKUP(D76,T!$C287:$C302,T!$J287:$J302),IF(AND(D51="4G2",D53=4,D59="750V"),LOOKUP(D76,T!$D287:$D302,T!$J287:$J302),IF(AND(D51="4G2",D53=5,D59="750V"),LOOKUP(D76,T!$E287:$E302,T!$J287:$J302),IF(AND(D51="4G2",D53=6,D59="750V"),LOOKUP(D76,T!$F287:$F302,T!$J287:$J302),IF(AND(D51="4G2",D53=7,D59="750V"),LOOKUP(D76,T!$G287:$G302,T!$J287:$J302),IF(AND(D51="4G2",D53=8,D59="750V"),LOOKUP(D76,T!$H287:$H302,T!$J287:$J302),IF(AND(D51="4G2",D53=9,D59="750V"),LOOKUP(D76,T!$I287:$I302,T!$J287:$J302),"-")))))))))))))))))))))))))))))))),""))</f>
        <v/>
      </c>
      <c r="E79" s="157" t="str">
        <f ca="1">IF(E29="","",IF(ISNUMBER(SEARCH("4G",E51)),IF(AND(E51="4G1",E53=2,E59="500V"),LOOKUP(E76,T!$B255:$B258,T!$J255:$J258),IF(AND(E51="4G1",E53=3,E59="500V"),LOOKUP(E76,T!$C255:$C258,T!$J255:$J258),IF(AND(E51="4G1",E53=4,E59="500V"),LOOKUP(E76,T!$D255:$D258,T!$J255:$J258),IF(AND(E51="4G1",E53=5,E59="500V"),LOOKUP(E76,T!$E255:$E258,T!$J255:$J258),IF(AND(E51="4G1",E53=6,E59="500V"),LOOKUP(E76,T!$F255:$F258,T!$J255:$J258),IF(AND(E51="4G1",E53=7,E59="500V"),LOOKUP(E76,T!$G255:$G258,T!$J255:$J258),IF(AND(E51="4G1",E53=8,E59="500V"),LOOKUP(E76,T!$H255:$H258,T!$J255:$J258),IF(AND(E51="4G1",E53=9,E59="500V"),LOOKUP(E76,T!$I255:$I258,T!$J255:$J258),IF(AND(E51="4G1",E53=2,E59="750V"),LOOKUP(E76,T!$B260:$B275,T!$J260:$J275),IF(AND(E51="4G1",E53=3,E59="750V"),LOOKUP(E76,T!$C260:$C275,T!$J260:$J275),IF(AND(E51="4G1",E53=4,E59="750V"),LOOKUP(E76,T!$D260:$D275,T!$J260:$J275),IF(AND(E51="4G1",E53=5,E59="750V"),LOOKUP(E76,T!$E260:$E275,T!$J260:$J275),IF(AND(E51="4G1",E53=6,E59="750V"),LOOKUP(E76,T!$F260:$F275,T!$J260:$J275),IF(AND(E51="4G1",E53=7,E59="750V"),LOOKUP(E76,T!$G260:$G275,T!$J260:$J275),IF(AND(E51="4G1",E53=8,E59="750V"),LOOKUP(E76,T!$H260:$H275,T!$J260:$J275),IF(AND(E51="4G1",E53=9,E59="750V"),LOOKUP(E76,T!$I260:$I275,T!$J260:$J275),IF(AND(E51="4G2",E53=2,E59="500V"),LOOKUP(E76,T!$B282:$B285,T!$J282:$J285),IF(AND(E51="4G2",E53=3,E59="500V"),LOOKUP(E76,T!$C282:$C285,T!$J282:$J285),IF(AND(E51="4G2",E53=4,E59="500V"),LOOKUP(E76,T!$D282:$D285,T!$J282:$J285),IF(AND(E51="4G2",E53=5,E59="500V"),LOOKUP(E76,T!$E282:$E285,T!$J282:$J285),IF(AND(E51="4G2",E53=6,E59="500V"),LOOKUP(E76,T!$F282:$F285,T!$J282:$J285),IF(AND(E51="4G2",E53=7,E59="500V"),LOOKUP(E76,T!$G282:$G285,T!$J282:$J285),IF(AND(E51="4G2",E53=8,E59="500V"),LOOKUP(E76,T!$H282:$H285,T!$J282:$J285),IF(AND(E51="4G2",E53=9,E59="500V"),LOOKUP(E76,T!$I282:$I285,T!$J282:$J285),IF(AND(E51="4G2",E53=2,E59="750V"),LOOKUP(E76,T!$B287:$B302,T!$J287:$J302),IF(AND(E51="4G2",E53=3,E59="750V"),LOOKUP(E76,T!$C287:$C302,T!$J287:$J302),IF(AND(E51="4G2",E53=4,E59="750V"),LOOKUP(E76,T!$D287:$D302,T!$J287:$J302),IF(AND(E51="4G2",E53=5,E59="750V"),LOOKUP(E76,T!$E287:$E302,T!$J287:$J302),IF(AND(E51="4G2",E53=6,E59="750V"),LOOKUP(E76,T!$F287:$F302,T!$J287:$J302),IF(AND(E51="4G2",E53=7,E59="750V"),LOOKUP(E76,T!$G287:$G302,T!$J287:$J302),IF(AND(E51="4G2",E53=8,E59="750V"),LOOKUP(E76,T!$H287:$H302,T!$J287:$J302),IF(AND(E51="4G2",E53=9,E59="750V"),LOOKUP(E76,T!$I287:$I302,T!$J287:$J302),"-")))))))))))))))))))))))))))))))),""))</f>
        <v/>
      </c>
      <c r="F79" s="157" t="str">
        <f ca="1">IF(F29="","",IF(ISNUMBER(SEARCH("4G",F51)),IF(AND(F51="4G1",F53=2,F59="500V"),LOOKUP(F76,T!$B255:$B258,T!$J255:$J258),IF(AND(F51="4G1",F53=3,F59="500V"),LOOKUP(F76,T!$C255:$C258,T!$J255:$J258),IF(AND(F51="4G1",F53=4,F59="500V"),LOOKUP(F76,T!$D255:$D258,T!$J255:$J258),IF(AND(F51="4G1",F53=5,F59="500V"),LOOKUP(F76,T!$E255:$E258,T!$J255:$J258),IF(AND(F51="4G1",F53=6,F59="500V"),LOOKUP(F76,T!$F255:$F258,T!$J255:$J258),IF(AND(F51="4G1",F53=7,F59="500V"),LOOKUP(F76,T!$G255:$G258,T!$J255:$J258),IF(AND(F51="4G1",F53=8,F59="500V"),LOOKUP(F76,T!$H255:$H258,T!$J255:$J258),IF(AND(F51="4G1",F53=9,F59="500V"),LOOKUP(F76,T!$I255:$I258,T!$J255:$J258),IF(AND(F51="4G1",F53=2,F59="750V"),LOOKUP(F76,T!$B260:$B275,T!$J260:$J275),IF(AND(F51="4G1",F53=3,F59="750V"),LOOKUP(F76,T!$C260:$C275,T!$J260:$J275),IF(AND(F51="4G1",F53=4,F59="750V"),LOOKUP(F76,T!$D260:$D275,T!$J260:$J275),IF(AND(F51="4G1",F53=5,F59="750V"),LOOKUP(F76,T!$E260:$E275,T!$J260:$J275),IF(AND(F51="4G1",F53=6,F59="750V"),LOOKUP(F76,T!$F260:$F275,T!$J260:$J275),IF(AND(F51="4G1",F53=7,F59="750V"),LOOKUP(F76,T!$G260:$G275,T!$J260:$J275),IF(AND(F51="4G1",F53=8,F59="750V"),LOOKUP(F76,T!$H260:$H275,T!$J260:$J275),IF(AND(F51="4G1",F53=9,F59="750V"),LOOKUP(F76,T!$I260:$I275,T!$J260:$J275),IF(AND(F51="4G2",F53=2,F59="500V"),LOOKUP(F76,T!$B282:$B285,T!$J282:$J285),IF(AND(F51="4G2",F53=3,F59="500V"),LOOKUP(F76,T!$C282:$C285,T!$J282:$J285),IF(AND(F51="4G2",F53=4,F59="500V"),LOOKUP(F76,T!$D282:$D285,T!$J282:$J285),IF(AND(F51="4G2",F53=5,F59="500V"),LOOKUP(F76,T!$E282:$E285,T!$J282:$J285),IF(AND(F51="4G2",F53=6,F59="500V"),LOOKUP(F76,T!$F282:$F285,T!$J282:$J285),IF(AND(F51="4G2",F53=7,F59="500V"),LOOKUP(F76,T!$G282:$G285,T!$J282:$J285),IF(AND(F51="4G2",F53=8,F59="500V"),LOOKUP(F76,T!$H282:$H285,T!$J282:$J285),IF(AND(F51="4G2",F53=9,F59="500V"),LOOKUP(F76,T!$I282:$I285,T!$J282:$J285),IF(AND(F51="4G2",F53=2,F59="750V"),LOOKUP(F76,T!$B287:$B302,T!$J287:$J302),IF(AND(F51="4G2",F53=3,F59="750V"),LOOKUP(F76,T!$C287:$C302,T!$J287:$J302),IF(AND(F51="4G2",F53=4,F59="750V"),LOOKUP(F76,T!$D287:$D302,T!$J287:$J302),IF(AND(F51="4G2",F53=5,F59="750V"),LOOKUP(F76,T!$E287:$E302,T!$J287:$J302),IF(AND(F51="4G2",F53=6,F59="750V"),LOOKUP(F76,T!$F287:$F302,T!$J287:$J302),IF(AND(F51="4G2",F53=7,F59="750V"),LOOKUP(F76,T!$G287:$G302,T!$J287:$J302),IF(AND(F51="4G2",F53=8,F59="750V"),LOOKUP(F76,T!$H287:$H302,T!$J287:$J302),IF(AND(F51="4G2",F53=9,F59="750V"),LOOKUP(F76,T!$I287:$I302,T!$J287:$J302),"-")))))))))))))))))))))))))))))))),""))</f>
        <v/>
      </c>
      <c r="G79" s="157" t="str">
        <f ca="1">IF(G29="","",IF(ISNUMBER(SEARCH("4G",G51)),IF(AND(G51="4G1",G53=2,G59="500V"),LOOKUP(G76,T!$B255:$B258,T!$J255:$J258),IF(AND(G51="4G1",G53=3,G59="500V"),LOOKUP(G76,T!$C255:$C258,T!$J255:$J258),IF(AND(G51="4G1",G53=4,G59="500V"),LOOKUP(G76,T!$D255:$D258,T!$J255:$J258),IF(AND(G51="4G1",G53=5,G59="500V"),LOOKUP(G76,T!$E255:$E258,T!$J255:$J258),IF(AND(G51="4G1",G53=6,G59="500V"),LOOKUP(G76,T!$F255:$F258,T!$J255:$J258),IF(AND(G51="4G1",G53=7,G59="500V"),LOOKUP(G76,T!$G255:$G258,T!$J255:$J258),IF(AND(G51="4G1",G53=8,G59="500V"),LOOKUP(G76,T!$H255:$H258,T!$J255:$J258),IF(AND(G51="4G1",G53=9,G59="500V"),LOOKUP(G76,T!$I255:$I258,T!$J255:$J258),IF(AND(G51="4G1",G53=2,G59="750V"),LOOKUP(G76,T!$B260:$B275,T!$J260:$J275),IF(AND(G51="4G1",G53=3,G59="750V"),LOOKUP(G76,T!$C260:$C275,T!$J260:$J275),IF(AND(G51="4G1",G53=4,G59="750V"),LOOKUP(G76,T!$D260:$D275,T!$J260:$J275),IF(AND(G51="4G1",G53=5,G59="750V"),LOOKUP(G76,T!$E260:$E275,T!$J260:$J275),IF(AND(G51="4G1",G53=6,G59="750V"),LOOKUP(G76,T!$F260:$F275,T!$J260:$J275),IF(AND(G51="4G1",G53=7,G59="750V"),LOOKUP(G76,T!$G260:$G275,T!$J260:$J275),IF(AND(G51="4G1",G53=8,G59="750V"),LOOKUP(G76,T!$H260:$H275,T!$J260:$J275),IF(AND(G51="4G1",G53=9,G59="750V"),LOOKUP(G76,T!$I260:$I275,T!$J260:$J275),IF(AND(G51="4G2",G53=2,G59="500V"),LOOKUP(G76,T!$B282:$B285,T!$J282:$J285),IF(AND(G51="4G2",G53=3,G59="500V"),LOOKUP(G76,T!$C282:$C285,T!$J282:$J285),IF(AND(G51="4G2",G53=4,G59="500V"),LOOKUP(G76,T!$D282:$D285,T!$J282:$J285),IF(AND(G51="4G2",G53=5,G59="500V"),LOOKUP(G76,T!$E282:$E285,T!$J282:$J285),IF(AND(G51="4G2",G53=6,G59="500V"),LOOKUP(G76,T!$F282:$F285,T!$J282:$J285),IF(AND(G51="4G2",G53=7,G59="500V"),LOOKUP(G76,T!$G282:$G285,T!$J282:$J285),IF(AND(G51="4G2",G53=8,G59="500V"),LOOKUP(G76,T!$H282:$H285,T!$J282:$J285),IF(AND(G51="4G2",G53=9,G59="500V"),LOOKUP(G76,T!$I282:$I285,T!$J282:$J285),IF(AND(G51="4G2",G53=2,G59="750V"),LOOKUP(G76,T!$B287:$B302,T!$J287:$J302),IF(AND(G51="4G2",G53=3,G59="750V"),LOOKUP(G76,T!$C287:$C302,T!$J287:$J302),IF(AND(G51="4G2",G53=4,G59="750V"),LOOKUP(G76,T!$D287:$D302,T!$J287:$J302),IF(AND(G51="4G2",G53=5,G59="750V"),LOOKUP(G76,T!$E287:$E302,T!$J287:$J302),IF(AND(G51="4G2",G53=6,G59="750V"),LOOKUP(G76,T!$F287:$F302,T!$J287:$J302),IF(AND(G51="4G2",G53=7,G59="750V"),LOOKUP(G76,T!$G287:$G302,T!$J287:$J302),IF(AND(G51="4G2",G53=8,G59="750V"),LOOKUP(G76,T!$H287:$H302,T!$J287:$J302),IF(AND(G51="4G2",G53=9,G59="750V"),LOOKUP(G76,T!$I287:$I302,T!$J287:$J302),"-")))))))))))))))))))))))))))))))),""))</f>
        <v/>
      </c>
      <c r="H79" s="157" t="str">
        <f ca="1">IF(H29="","",IF(ISNUMBER(SEARCH("4G",H51)),IF(AND(H51="4G1",H53=2,H59="500V"),LOOKUP(H76,T!$B255:$B258,T!$J255:$J258),IF(AND(H51="4G1",H53=3,H59="500V"),LOOKUP(H76,T!$C255:$C258,T!$J255:$J258),IF(AND(H51="4G1",H53=4,H59="500V"),LOOKUP(H76,T!$D255:$D258,T!$J255:$J258),IF(AND(H51="4G1",H53=5,H59="500V"),LOOKUP(H76,T!$E255:$E258,T!$J255:$J258),IF(AND(H51="4G1",H53=6,H59="500V"),LOOKUP(H76,T!$F255:$F258,T!$J255:$J258),IF(AND(H51="4G1",H53=7,H59="500V"),LOOKUP(H76,T!$G255:$G258,T!$J255:$J258),IF(AND(H51="4G1",H53=8,H59="500V"),LOOKUP(H76,T!$H255:$H258,T!$J255:$J258),IF(AND(H51="4G1",H53=9,H59="500V"),LOOKUP(H76,T!$I255:$I258,T!$J255:$J258),IF(AND(H51="4G1",H53=2,H59="750V"),LOOKUP(H76,T!$B260:$B275,T!$J260:$J275),IF(AND(H51="4G1",H53=3,H59="750V"),LOOKUP(H76,T!$C260:$C275,T!$J260:$J275),IF(AND(H51="4G1",H53=4,H59="750V"),LOOKUP(H76,T!$D260:$D275,T!$J260:$J275),IF(AND(H51="4G1",H53=5,H59="750V"),LOOKUP(H76,T!$E260:$E275,T!$J260:$J275),IF(AND(H51="4G1",H53=6,H59="750V"),LOOKUP(H76,T!$F260:$F275,T!$J260:$J275),IF(AND(H51="4G1",H53=7,H59="750V"),LOOKUP(H76,T!$G260:$G275,T!$J260:$J275),IF(AND(H51="4G1",H53=8,H59="750V"),LOOKUP(H76,T!$H260:$H275,T!$J260:$J275),IF(AND(H51="4G1",H53=9,H59="750V"),LOOKUP(H76,T!$I260:$I275,T!$J260:$J275),IF(AND(H51="4G2",H53=2,H59="500V"),LOOKUP(H76,T!$B282:$B285,T!$J282:$J285),IF(AND(H51="4G2",H53=3,H59="500V"),LOOKUP(H76,T!$C282:$C285,T!$J282:$J285),IF(AND(H51="4G2",H53=4,H59="500V"),LOOKUP(H76,T!$D282:$D285,T!$J282:$J285),IF(AND(H51="4G2",H53=5,H59="500V"),LOOKUP(H76,T!$E282:$E285,T!$J282:$J285),IF(AND(H51="4G2",H53=6,H59="500V"),LOOKUP(H76,T!$F282:$F285,T!$J282:$J285),IF(AND(H51="4G2",H53=7,H59="500V"),LOOKUP(H76,T!$G282:$G285,T!$J282:$J285),IF(AND(H51="4G2",H53=8,H59="500V"),LOOKUP(H76,T!$H282:$H285,T!$J282:$J285),IF(AND(H51="4G2",H53=9,H59="500V"),LOOKUP(H76,T!$I282:$I285,T!$J282:$J285),IF(AND(H51="4G2",H53=2,H59="750V"),LOOKUP(H76,T!$B287:$B302,T!$J287:$J302),IF(AND(H51="4G2",H53=3,H59="750V"),LOOKUP(H76,T!$C287:$C302,T!$J287:$J302),IF(AND(H51="4G2",H53=4,H59="750V"),LOOKUP(H76,T!$D287:$D302,T!$J287:$J302),IF(AND(H51="4G2",H53=5,H59="750V"),LOOKUP(H76,T!$E287:$E302,T!$J287:$J302),IF(AND(H51="4G2",H53=6,H59="750V"),LOOKUP(H76,T!$F287:$F302,T!$J287:$J302),IF(AND(H51="4G2",H53=7,H59="750V"),LOOKUP(H76,T!$G287:$G302,T!$J287:$J302),IF(AND(H51="4G2",H53=8,H59="750V"),LOOKUP(H76,T!$H287:$H302,T!$J287:$J302),IF(AND(H51="4G2",H53=9,H59="750V"),LOOKUP(H76,T!$I287:$I302,T!$J287:$J302),"-")))))))))))))))))))))))))))))))),""))</f>
        <v/>
      </c>
      <c r="I79" s="157" t="str">
        <f>IF(I29="","",IF(ISNUMBER(SEARCH("4G",I51)),IF(AND(I51="4G1",I53=2,I59="500V"),LOOKUP(I76,T!$B255:$B258,T!$J255:$J258),IF(AND(I51="4G1",I53=3,I59="500V"),LOOKUP(I76,T!$C255:$C258,T!$J255:$J258),IF(AND(I51="4G1",I53=4,I59="500V"),LOOKUP(I76,T!$D255:$D258,T!$J255:$J258),IF(AND(I51="4G1",I53=5,I59="500V"),LOOKUP(I76,T!$E255:$E258,T!$J255:$J258),IF(AND(I51="4G1",I53=6,I59="500V"),LOOKUP(I76,T!$F255:$F258,T!$J255:$J258),IF(AND(I51="4G1",I53=7,I59="500V"),LOOKUP(I76,T!$G255:$G258,T!$J255:$J258),IF(AND(I51="4G1",I53=8,I59="500V"),LOOKUP(I76,T!$H255:$H258,T!$J255:$J258),IF(AND(I51="4G1",I53=9,I59="500V"),LOOKUP(I76,T!$I255:$I258,T!$J255:$J258),IF(AND(I51="4G1",I53=2,I59="750V"),LOOKUP(I76,T!$B260:$B275,T!$J260:$J275),IF(AND(I51="4G1",I53=3,I59="750V"),LOOKUP(I76,T!$C260:$C275,T!$J260:$J275),IF(AND(I51="4G1",I53=4,I59="750V"),LOOKUP(I76,T!$D260:$D275,T!$J260:$J275),IF(AND(I51="4G1",I53=5,I59="750V"),LOOKUP(I76,T!$E260:$E275,T!$J260:$J275),IF(AND(I51="4G1",I53=6,I59="750V"),LOOKUP(I76,T!$F260:$F275,T!$J260:$J275),IF(AND(I51="4G1",I53=7,I59="750V"),LOOKUP(I76,T!$G260:$G275,T!$J260:$J275),IF(AND(I51="4G1",I53=8,I59="750V"),LOOKUP(I76,T!$H260:$H275,T!$J260:$J275),IF(AND(I51="4G1",I53=9,I59="750V"),LOOKUP(I76,T!$I260:$I275,T!$J260:$J275),IF(AND(I51="4G2",I53=2,I59="500V"),LOOKUP(I76,T!$B282:$B285,T!$J282:$J285),IF(AND(I51="4G2",I53=3,I59="500V"),LOOKUP(I76,T!$C282:$C285,T!$J282:$J285),IF(AND(I51="4G2",I53=4,I59="500V"),LOOKUP(I76,T!$D282:$D285,T!$J282:$J285),IF(AND(I51="4G2",I53=5,I59="500V"),LOOKUP(I76,T!$E282:$E285,T!$J282:$J285),IF(AND(I51="4G2",I53=6,I59="500V"),LOOKUP(I76,T!$F282:$F285,T!$J282:$J285),IF(AND(I51="4G2",I53=7,I59="500V"),LOOKUP(I76,T!$G282:$G285,T!$J282:$J285),IF(AND(I51="4G2",I53=8,I59="500V"),LOOKUP(I76,T!$H282:$H285,T!$J282:$J285),IF(AND(I51="4G2",I53=9,I59="500V"),LOOKUP(I76,T!$I282:$I285,T!$J282:$J285),IF(AND(I51="4G2",I53=2,I59="750V"),LOOKUP(I76,T!$B287:$B302,T!$J287:$J302),IF(AND(I51="4G2",I53=3,I59="750V"),LOOKUP(I76,T!$C287:$C302,T!$J287:$J302),IF(AND(I51="4G2",I53=4,I59="750V"),LOOKUP(I76,T!$D287:$D302,T!$J287:$J302),IF(AND(I51="4G2",I53=5,I59="750V"),LOOKUP(I76,T!$E287:$E302,T!$J287:$J302),IF(AND(I51="4G2",I53=6,I59="750V"),LOOKUP(I76,T!$F287:$F302,T!$J287:$J302),IF(AND(I51="4G2",I53=7,I59="750V"),LOOKUP(I76,T!$G287:$G302,T!$J287:$J302),IF(AND(I51="4G2",I53=8,I59="750V"),LOOKUP(I76,T!$H287:$H302,T!$J287:$J302),IF(AND(I51="4G2",I53=9,I59="750V"),LOOKUP(I76,T!$I287:$I302,T!$J287:$J302),"-")))))))))))))))))))))))))))))))),""))</f>
        <v/>
      </c>
      <c r="J79" s="157" t="str">
        <f>IF(J29="","",IF(ISNUMBER(SEARCH("4G",J51)),IF(AND(J51="4G1",J53=2,J59="500V"),LOOKUP(J76,T!$B255:$B258,T!$J255:$J258),IF(AND(J51="4G1",J53=3,J59="500V"),LOOKUP(J76,T!$C255:$C258,T!$J255:$J258),IF(AND(J51="4G1",J53=4,J59="500V"),LOOKUP(J76,T!$D255:$D258,T!$J255:$J258),IF(AND(J51="4G1",J53=5,J59="500V"),LOOKUP(J76,T!$E255:$E258,T!$J255:$J258),IF(AND(J51="4G1",J53=6,J59="500V"),LOOKUP(J76,T!$F255:$F258,T!$J255:$J258),IF(AND(J51="4G1",J53=7,J59="500V"),LOOKUP(J76,T!$G255:$G258,T!$J255:$J258),IF(AND(J51="4G1",J53=8,J59="500V"),LOOKUP(J76,T!$H255:$H258,T!$J255:$J258),IF(AND(J51="4G1",J53=9,J59="500V"),LOOKUP(J76,T!$I255:$I258,T!$J255:$J258),IF(AND(J51="4G1",J53=2,J59="750V"),LOOKUP(J76,T!$B260:$B275,T!$J260:$J275),IF(AND(J51="4G1",J53=3,J59="750V"),LOOKUP(J76,T!$C260:$C275,T!$J260:$J275),IF(AND(J51="4G1",J53=4,J59="750V"),LOOKUP(J76,T!$D260:$D275,T!$J260:$J275),IF(AND(J51="4G1",J53=5,J59="750V"),LOOKUP(J76,T!$E260:$E275,T!$J260:$J275),IF(AND(J51="4G1",J53=6,J59="750V"),LOOKUP(J76,T!$F260:$F275,T!$J260:$J275),IF(AND(J51="4G1",J53=7,J59="750V"),LOOKUP(J76,T!$G260:$G275,T!$J260:$J275),IF(AND(J51="4G1",J53=8,J59="750V"),LOOKUP(J76,T!$H260:$H275,T!$J260:$J275),IF(AND(J51="4G1",J53=9,J59="750V"),LOOKUP(J76,T!$I260:$I275,T!$J260:$J275),IF(AND(J51="4G2",J53=2,J59="500V"),LOOKUP(J76,T!$B282:$B285,T!$J282:$J285),IF(AND(J51="4G2",J53=3,J59="500V"),LOOKUP(J76,T!$C282:$C285,T!$J282:$J285),IF(AND(J51="4G2",J53=4,J59="500V"),LOOKUP(J76,T!$D282:$D285,T!$J282:$J285),IF(AND(J51="4G2",J53=5,J59="500V"),LOOKUP(J76,T!$E282:$E285,T!$J282:$J285),IF(AND(J51="4G2",J53=6,J59="500V"),LOOKUP(J76,T!$F282:$F285,T!$J282:$J285),IF(AND(J51="4G2",J53=7,J59="500V"),LOOKUP(J76,T!$G282:$G285,T!$J282:$J285),IF(AND(J51="4G2",J53=8,J59="500V"),LOOKUP(J76,T!$H282:$H285,T!$J282:$J285),IF(AND(J51="4G2",J53=9,J59="500V"),LOOKUP(J76,T!$I282:$I285,T!$J282:$J285),IF(AND(J51="4G2",J53=2,J59="750V"),LOOKUP(J76,T!$B287:$B302,T!$J287:$J302),IF(AND(J51="4G2",J53=3,J59="750V"),LOOKUP(J76,T!$C287:$C302,T!$J287:$J302),IF(AND(J51="4G2",J53=4,J59="750V"),LOOKUP(J76,T!$D287:$D302,T!$J287:$J302),IF(AND(J51="4G2",J53=5,J59="750V"),LOOKUP(J76,T!$E287:$E302,T!$J287:$J302),IF(AND(J51="4G2",J53=6,J59="750V"),LOOKUP(J76,T!$F287:$F302,T!$J287:$J302),IF(AND(J51="4G2",J53=7,J59="750V"),LOOKUP(J76,T!$G287:$G302,T!$J287:$J302),IF(AND(J51="4G2",J53=8,J59="750V"),LOOKUP(J76,T!$H287:$H302,T!$J287:$J302),IF(AND(J51="4G2",J53=9,J59="750V"),LOOKUP(J76,T!$I287:$I302,T!$J287:$J302),"-")))))))))))))))))))))))))))))))),""))</f>
        <v/>
      </c>
      <c r="K79" s="157" t="str">
        <f>IF(K29="","",IF(ISNUMBER(SEARCH("4G",K51)),IF(AND(K51="4G1",K53=2,K59="500V"),LOOKUP(K76,T!$B255:$B258,T!$J255:$J258),IF(AND(K51="4G1",K53=3,K59="500V"),LOOKUP(K76,T!$C255:$C258,T!$J255:$J258),IF(AND(K51="4G1",K53=4,K59="500V"),LOOKUP(K76,T!$D255:$D258,T!$J255:$J258),IF(AND(K51="4G1",K53=5,K59="500V"),LOOKUP(K76,T!$E255:$E258,T!$J255:$J258),IF(AND(K51="4G1",K53=6,K59="500V"),LOOKUP(K76,T!$F255:$F258,T!$J255:$J258),IF(AND(K51="4G1",K53=7,K59="500V"),LOOKUP(K76,T!$G255:$G258,T!$J255:$J258),IF(AND(K51="4G1",K53=8,K59="500V"),LOOKUP(K76,T!$H255:$H258,T!$J255:$J258),IF(AND(K51="4G1",K53=9,K59="500V"),LOOKUP(K76,T!$I255:$I258,T!$J255:$J258),IF(AND(K51="4G1",K53=2,K59="750V"),LOOKUP(K76,T!$B260:$B275,T!$J260:$J275),IF(AND(K51="4G1",K53=3,K59="750V"),LOOKUP(K76,T!$C260:$C275,T!$J260:$J275),IF(AND(K51="4G1",K53=4,K59="750V"),LOOKUP(K76,T!$D260:$D275,T!$J260:$J275),IF(AND(K51="4G1",K53=5,K59="750V"),LOOKUP(K76,T!$E260:$E275,T!$J260:$J275),IF(AND(K51="4G1",K53=6,K59="750V"),LOOKUP(K76,T!$F260:$F275,T!$J260:$J275),IF(AND(K51="4G1",K53=7,K59="750V"),LOOKUP(K76,T!$G260:$G275,T!$J260:$J275),IF(AND(K51="4G1",K53=8,K59="750V"),LOOKUP(K76,T!$H260:$H275,T!$J260:$J275),IF(AND(K51="4G1",K53=9,K59="750V"),LOOKUP(K76,T!$I260:$I275,T!$J260:$J275),IF(AND(K51="4G2",K53=2,K59="500V"),LOOKUP(K76,T!$B282:$B285,T!$J282:$J285),IF(AND(K51="4G2",K53=3,K59="500V"),LOOKUP(K76,T!$C282:$C285,T!$J282:$J285),IF(AND(K51="4G2",K53=4,K59="500V"),LOOKUP(K76,T!$D282:$D285,T!$J282:$J285),IF(AND(K51="4G2",K53=5,K59="500V"),LOOKUP(K76,T!$E282:$E285,T!$J282:$J285),IF(AND(K51="4G2",K53=6,K59="500V"),LOOKUP(K76,T!$F282:$F285,T!$J282:$J285),IF(AND(K51="4G2",K53=7,K59="500V"),LOOKUP(K76,T!$G282:$G285,T!$J282:$J285),IF(AND(K51="4G2",K53=8,K59="500V"),LOOKUP(K76,T!$H282:$H285,T!$J282:$J285),IF(AND(K51="4G2",K53=9,K59="500V"),LOOKUP(K76,T!$I282:$I285,T!$J282:$J285),IF(AND(K51="4G2",K53=2,K59="750V"),LOOKUP(K76,T!$B287:$B302,T!$J287:$J302),IF(AND(K51="4G2",K53=3,K59="750V"),LOOKUP(K76,T!$C287:$C302,T!$J287:$J302),IF(AND(K51="4G2",K53=4,K59="750V"),LOOKUP(K76,T!$D287:$D302,T!$J287:$J302),IF(AND(K51="4G2",K53=5,K59="750V"),LOOKUP(K76,T!$E287:$E302,T!$J287:$J302),IF(AND(K51="4G2",K53=6,K59="750V"),LOOKUP(K76,T!$F287:$F302,T!$J287:$J302),IF(AND(K51="4G2",K53=7,K59="750V"),LOOKUP(K76,T!$G287:$G302,T!$J287:$J302),IF(AND(K51="4G2",K53=8,K59="750V"),LOOKUP(K76,T!$H287:$H302,T!$J287:$J302),IF(AND(K51="4G2",K53=9,K59="750V"),LOOKUP(K76,T!$I287:$I302,T!$J287:$J302),"-")))))))))))))))))))))))))))))))),""))</f>
        <v/>
      </c>
      <c r="L79" s="157" t="str">
        <f>IF(L29="","",IF(ISNUMBER(SEARCH("4G",L51)),IF(AND(L51="4G1",L53=2,L59="500V"),LOOKUP(L76,T!$B255:$B258,T!$J255:$J258),IF(AND(L51="4G1",L53=3,L59="500V"),LOOKUP(L76,T!$C255:$C258,T!$J255:$J258),IF(AND(L51="4G1",L53=4,L59="500V"),LOOKUP(L76,T!$D255:$D258,T!$J255:$J258),IF(AND(L51="4G1",L53=5,L59="500V"),LOOKUP(L76,T!$E255:$E258,T!$J255:$J258),IF(AND(L51="4G1",L53=6,L59="500V"),LOOKUP(L76,T!$F255:$F258,T!$J255:$J258),IF(AND(L51="4G1",L53=7,L59="500V"),LOOKUP(L76,T!$G255:$G258,T!$J255:$J258),IF(AND(L51="4G1",L53=8,L59="500V"),LOOKUP(L76,T!$H255:$H258,T!$J255:$J258),IF(AND(L51="4G1",L53=9,L59="500V"),LOOKUP(L76,T!$I255:$I258,T!$J255:$J258),IF(AND(L51="4G1",L53=2,L59="750V"),LOOKUP(L76,T!$B260:$B275,T!$J260:$J275),IF(AND(L51="4G1",L53=3,L59="750V"),LOOKUP(L76,T!$C260:$C275,T!$J260:$J275),IF(AND(L51="4G1",L53=4,L59="750V"),LOOKUP(L76,T!$D260:$D275,T!$J260:$J275),IF(AND(L51="4G1",L53=5,L59="750V"),LOOKUP(L76,T!$E260:$E275,T!$J260:$J275),IF(AND(L51="4G1",L53=6,L59="750V"),LOOKUP(L76,T!$F260:$F275,T!$J260:$J275),IF(AND(L51="4G1",L53=7,L59="750V"),LOOKUP(L76,T!$G260:$G275,T!$J260:$J275),IF(AND(L51="4G1",L53=8,L59="750V"),LOOKUP(L76,T!$H260:$H275,T!$J260:$J275),IF(AND(L51="4G1",L53=9,L59="750V"),LOOKUP(L76,T!$I260:$I275,T!$J260:$J275),IF(AND(L51="4G2",L53=2,L59="500V"),LOOKUP(L76,T!$B282:$B285,T!$J282:$J285),IF(AND(L51="4G2",L53=3,L59="500V"),LOOKUP(L76,T!$C282:$C285,T!$J282:$J285),IF(AND(L51="4G2",L53=4,L59="500V"),LOOKUP(L76,T!$D282:$D285,T!$J282:$J285),IF(AND(L51="4G2",L53=5,L59="500V"),LOOKUP(L76,T!$E282:$E285,T!$J282:$J285),IF(AND(L51="4G2",L53=6,L59="500V"),LOOKUP(L76,T!$F282:$F285,T!$J282:$J285),IF(AND(L51="4G2",L53=7,L59="500V"),LOOKUP(L76,T!$G282:$G285,T!$J282:$J285),IF(AND(L51="4G2",L53=8,L59="500V"),LOOKUP(L76,T!$H282:$H285,T!$J282:$J285),IF(AND(L51="4G2",L53=9,L59="500V"),LOOKUP(L76,T!$I282:$I285,T!$J282:$J285),IF(AND(L51="4G2",L53=2,L59="750V"),LOOKUP(L76,T!$B287:$B302,T!$J287:$J302),IF(AND(L51="4G2",L53=3,L59="750V"),LOOKUP(L76,T!$C287:$C302,T!$J287:$J302),IF(AND(L51="4G2",L53=4,L59="750V"),LOOKUP(L76,T!$D287:$D302,T!$J287:$J302),IF(AND(L51="4G2",L53=5,L59="750V"),LOOKUP(L76,T!$E287:$E302,T!$J287:$J302),IF(AND(L51="4G2",L53=6,L59="750V"),LOOKUP(L76,T!$F287:$F302,T!$J287:$J302),IF(AND(L51="4G2",L53=7,L59="750V"),LOOKUP(L76,T!$G287:$G302,T!$J287:$J302),IF(AND(L51="4G2",L53=8,L59="750V"),LOOKUP(L76,T!$H287:$H302,T!$J287:$J302),IF(AND(L51="4G2",L53=9,L59="750V"),LOOKUP(L76,T!$I287:$I302,T!$J287:$J302),"-")))))))))))))))))))))))))))))))),""))</f>
        <v/>
      </c>
      <c r="M79" s="157" t="str">
        <f>IF(M29="","",IF(ISNUMBER(SEARCH("4G",M51)),IF(AND(M51="4G1",M53=2,M59="500V"),LOOKUP(M76,T!$B255:$B258,T!$J255:$J258),IF(AND(M51="4G1",M53=3,M59="500V"),LOOKUP(M76,T!$C255:$C258,T!$J255:$J258),IF(AND(M51="4G1",M53=4,M59="500V"),LOOKUP(M76,T!$D255:$D258,T!$J255:$J258),IF(AND(M51="4G1",M53=5,M59="500V"),LOOKUP(M76,T!$E255:$E258,T!$J255:$J258),IF(AND(M51="4G1",M53=6,M59="500V"),LOOKUP(M76,T!$F255:$F258,T!$J255:$J258),IF(AND(M51="4G1",M53=7,M59="500V"),LOOKUP(M76,T!$G255:$G258,T!$J255:$J258),IF(AND(M51="4G1",M53=8,M59="500V"),LOOKUP(M76,T!$H255:$H258,T!$J255:$J258),IF(AND(M51="4G1",M53=9,M59="500V"),LOOKUP(M76,T!$I255:$I258,T!$J255:$J258),IF(AND(M51="4G1",M53=2,M59="750V"),LOOKUP(M76,T!$B260:$B275,T!$J260:$J275),IF(AND(M51="4G1",M53=3,M59="750V"),LOOKUP(M76,T!$C260:$C275,T!$J260:$J275),IF(AND(M51="4G1",M53=4,M59="750V"),LOOKUP(M76,T!$D260:$D275,T!$J260:$J275),IF(AND(M51="4G1",M53=5,M59="750V"),LOOKUP(M76,T!$E260:$E275,T!$J260:$J275),IF(AND(M51="4G1",M53=6,M59="750V"),LOOKUP(M76,T!$F260:$F275,T!$J260:$J275),IF(AND(M51="4G1",M53=7,M59="750V"),LOOKUP(M76,T!$G260:$G275,T!$J260:$J275),IF(AND(M51="4G1",M53=8,M59="750V"),LOOKUP(M76,T!$H260:$H275,T!$J260:$J275),IF(AND(M51="4G1",M53=9,M59="750V"),LOOKUP(M76,T!$I260:$I275,T!$J260:$J275),IF(AND(M51="4G2",M53=2,M59="500V"),LOOKUP(M76,T!$B282:$B285,T!$J282:$J285),IF(AND(M51="4G2",M53=3,M59="500V"),LOOKUP(M76,T!$C282:$C285,T!$J282:$J285),IF(AND(M51="4G2",M53=4,M59="500V"),LOOKUP(M76,T!$D282:$D285,T!$J282:$J285),IF(AND(M51="4G2",M53=5,M59="500V"),LOOKUP(M76,T!$E282:$E285,T!$J282:$J285),IF(AND(M51="4G2",M53=6,M59="500V"),LOOKUP(M76,T!$F282:$F285,T!$J282:$J285),IF(AND(M51="4G2",M53=7,M59="500V"),LOOKUP(M76,T!$G282:$G285,T!$J282:$J285),IF(AND(M51="4G2",M53=8,M59="500V"),LOOKUP(M76,T!$H282:$H285,T!$J282:$J285),IF(AND(M51="4G2",M53=9,M59="500V"),LOOKUP(M76,T!$I282:$I285,T!$J282:$J285),IF(AND(M51="4G2",M53=2,M59="750V"),LOOKUP(M76,T!$B287:$B302,T!$J287:$J302),IF(AND(M51="4G2",M53=3,M59="750V"),LOOKUP(M76,T!$C287:$C302,T!$J287:$J302),IF(AND(M51="4G2",M53=4,M59="750V"),LOOKUP(M76,T!$D287:$D302,T!$J287:$J302),IF(AND(M51="4G2",M53=5,M59="750V"),LOOKUP(M76,T!$E287:$E302,T!$J287:$J302),IF(AND(M51="4G2",M53=6,M59="750V"),LOOKUP(M76,T!$F287:$F302,T!$J287:$J302),IF(AND(M51="4G2",M53=7,M59="750V"),LOOKUP(M76,T!$G287:$G302,T!$J287:$J302),IF(AND(M51="4G2",M53=8,M59="750V"),LOOKUP(M76,T!$H287:$H302,T!$J287:$J302),IF(AND(M51="4G2",M53=9,M59="750V"),LOOKUP(M76,T!$I287:$I302,T!$J287:$J302),"-")))))))))))))))))))))))))))))))),""))</f>
        <v/>
      </c>
      <c r="N79" s="157" t="str">
        <f>IF(N29="","",IF(ISNUMBER(SEARCH("4G",N51)),IF(AND(N51="4G1",N53=2,N59="500V"),LOOKUP(N76,T!$B255:$B258,T!$J255:$J258),IF(AND(N51="4G1",N53=3,N59="500V"),LOOKUP(N76,T!$C255:$C258,T!$J255:$J258),IF(AND(N51="4G1",N53=4,N59="500V"),LOOKUP(N76,T!$D255:$D258,T!$J255:$J258),IF(AND(N51="4G1",N53=5,N59="500V"),LOOKUP(N76,T!$E255:$E258,T!$J255:$J258),IF(AND(N51="4G1",N53=6,N59="500V"),LOOKUP(N76,T!$F255:$F258,T!$J255:$J258),IF(AND(N51="4G1",N53=7,N59="500V"),LOOKUP(N76,T!$G255:$G258,T!$J255:$J258),IF(AND(N51="4G1",N53=8,N59="500V"),LOOKUP(N76,T!$H255:$H258,T!$J255:$J258),IF(AND(N51="4G1",N53=9,N59="500V"),LOOKUP(N76,T!$I255:$I258,T!$J255:$J258),IF(AND(N51="4G1",N53=2,N59="750V"),LOOKUP(N76,T!$B260:$B275,T!$J260:$J275),IF(AND(N51="4G1",N53=3,N59="750V"),LOOKUP(N76,T!$C260:$C275,T!$J260:$J275),IF(AND(N51="4G1",N53=4,N59="750V"),LOOKUP(N76,T!$D260:$D275,T!$J260:$J275),IF(AND(N51="4G1",N53=5,N59="750V"),LOOKUP(N76,T!$E260:$E275,T!$J260:$J275),IF(AND(N51="4G1",N53=6,N59="750V"),LOOKUP(N76,T!$F260:$F275,T!$J260:$J275),IF(AND(N51="4G1",N53=7,N59="750V"),LOOKUP(N76,T!$G260:$G275,T!$J260:$J275),IF(AND(N51="4G1",N53=8,N59="750V"),LOOKUP(N76,T!$H260:$H275,T!$J260:$J275),IF(AND(N51="4G1",N53=9,N59="750V"),LOOKUP(N76,T!$I260:$I275,T!$J260:$J275),IF(AND(N51="4G2",N53=2,N59="500V"),LOOKUP(N76,T!$B282:$B285,T!$J282:$J285),IF(AND(N51="4G2",N53=3,N59="500V"),LOOKUP(N76,T!$C282:$C285,T!$J282:$J285),IF(AND(N51="4G2",N53=4,N59="500V"),LOOKUP(N76,T!$D282:$D285,T!$J282:$J285),IF(AND(N51="4G2",N53=5,N59="500V"),LOOKUP(N76,T!$E282:$E285,T!$J282:$J285),IF(AND(N51="4G2",N53=6,N59="500V"),LOOKUP(N76,T!$F282:$F285,T!$J282:$J285),IF(AND(N51="4G2",N53=7,N59="500V"),LOOKUP(N76,T!$G282:$G285,T!$J282:$J285),IF(AND(N51="4G2",N53=8,N59="500V"),LOOKUP(N76,T!$H282:$H285,T!$J282:$J285),IF(AND(N51="4G2",N53=9,N59="500V"),LOOKUP(N76,T!$I282:$I285,T!$J282:$J285),IF(AND(N51="4G2",N53=2,N59="750V"),LOOKUP(N76,T!$B287:$B302,T!$J287:$J302),IF(AND(N51="4G2",N53=3,N59="750V"),LOOKUP(N76,T!$C287:$C302,T!$J287:$J302),IF(AND(N51="4G2",N53=4,N59="750V"),LOOKUP(N76,T!$D287:$D302,T!$J287:$J302),IF(AND(N51="4G2",N53=5,N59="750V"),LOOKUP(N76,T!$E287:$E302,T!$J287:$J302),IF(AND(N51="4G2",N53=6,N59="750V"),LOOKUP(N76,T!$F287:$F302,T!$J287:$J302),IF(AND(N51="4G2",N53=7,N59="750V"),LOOKUP(N76,T!$G287:$G302,T!$J287:$J302),IF(AND(N51="4G2",N53=8,N59="750V"),LOOKUP(N76,T!$H287:$H302,T!$J287:$J302),IF(AND(N51="4G2",N53=9,N59="750V"),LOOKUP(N76,T!$I287:$I302,T!$J287:$J302),"-")))))))))))))))))))))))))))))))),""))</f>
        <v/>
      </c>
      <c r="O79" s="148" t="str">
        <f t="shared" si="18"/>
        <v/>
      </c>
    </row>
    <row r="80" spans="1:43" s="128" customFormat="1" ht="16">
      <c r="A80" s="157"/>
      <c r="B80" s="183"/>
      <c r="C80" s="157"/>
      <c r="D80" s="157" t="str" cm="1">
        <f t="array" ref="D80">IF(D27="","",IF(OR(D51="4H1",D51="4H2",D51="4H3",D51="4H4"),IF(D27="","",IF(AND(D51="4H1",D53=2),LOOKUP(D77,T!$B308:$B315,T!$M308:$M321),IF(AND(D51="4H1",D53=3),LOOKUP(D77,T!$C308:$C315,T!$M308:$M321),IF(AND(D51="4H1",D53=4),LOOKUP(D77,T!$D308:$D318,T!$M308:$M321),IF(AND(D51="4H1",D53=5),LOOKUP(D77,T!$E308:$E318,T!$M308:$M321),IF(AND(D51="4H1",D53=6),LOOKUP(D77,T!$F308:$F321,T!$M308:$M321),IF(AND(D51="4H1",D53=7),LOOKUP(D77,T!$G308:$G321,T!$M308:$M321),IF(AND(D51="4H1",D53=8),LOOKUP(D77,T!$H308:$H321,T!$M308:$M321),IF(AND(D51="4H1",D53=9),LOOKUP(D77,T!$I305:$I321,T!$M308:$M321),IF(AND(D51="4H1",D53=10),LOOKUP(D77,T!$J308:$J321,T!$M308:$M321),IF(AND(D51="4H1",D53=11),LOOKUP(D77,T!$K308:$K321,T!$M308:$M321),IF(AND(D51="4H1",D53=12),LOOKUP(D77,T!$L308:$L321,T!$M308:$M321),IF(AND(D51="4H2",D53=2),LOOKUP(D77,T!$B327:$B332,T!$J327:$J337),IF(AND(D51="4H2",D53=3),LOOKUP(D77,T!$C327:$C337,T!$J327:$J337),IF(AND(D51="4H2",D53=4),LOOKUP(D77,T!$D327:$D332,T!$J327:$J337),IF(AND(D51="4H2",D53=5),LOOKUP(D77,T!$E327:$E337,T!$J327:$J337),IF(AND(D51="4H2",D53=6),LOOKUP(D77,T!$F327:$F332,T!$J327:$J337),IF(AND(D51="4H2",D53=7),LOOKUP(D77,T!$G327:$G337,T!$G327:$J337),IF(AND(D51="4H2",D53=8),LOOKUP(D77,T!$H327:$H332,T!$J327:$J337),IF(AND(D51="4H2",D53=9),LOOKUP(D77,T!$I327:$I337,T!$J327:$J337),IF(AND(D51="4H3",D53=2),LOOKUP(D77,T!$B343:$B356,T!$M343:$M356),IF(AND(D51="4H3",D53=3),LOOKUP(D77,T!$C343:$C356,T!$M343:$M356),IF(AND(D51="4H3",D53=4),LOOKUP(D77,T!$D343:$D356,T!$M343:$M356),IF(AND(D51="4H3",D53=5),LOOKUP(D77,T!$E343:$E356,T!$M343:$M356),IF(AND(D51="4H3",D53=6),LOOKUP(D77,T!$F343:$F356,T!$M343:$M356),IF(AND(D51="4H3",D53=7),LOOKUP(D77,T!$G343:$G356,T!$M343:$M356),IF(AND(D51="4H3",D53=8),LOOKUP(D77,T!$H343:$H356,T!$M343:$M356),IF(AND(D51="4H3",D53=9),LOOKUP(D77,T!$I343:$I356,T!$M343:$M356),IF(AND(D51="4H3",D53=10),LOOKUP(D77,T!$J343:$J356,T!$M343:$M356),IF(AND(D51="4H3",D53=11),LOOKUP(D77,T!$K343:$K356,T!$M343:$M356),IF(AND(D51="4H3",D53=12),LOOKUP(D77,T!$L343:$L356,T!$M343:$M356),IF(AND(D51="4H4",D53=2),LOOKUP(D77,T!$B362:$B367,T!$H362:$H372),IF(AND(D51="4H4",D53=3),LOOKUP(D77,T!$C362:$C372,T!$H362:$H372),IF(AND(D51="4H4",D53=4),LOOKUP(D77,T!$D362:$D367,T!$H362:$H372),IF(AND(D51="4H4",D53=5),LOOKUP(D77,T!$E362:$E372,T!$H362:$H372),IF(AND(D51="4H4",D53=6),LOOKUP(D77,T!$F363:$F367,T!$H363:$H372),IF(AND(D51="4H4",D53=7),LOOKUP(T!$G363:$G372,T!$H363:$H372),"-"))))))))))))))))))))))))))))))))))))),IF(OR(D51="4J1",D51="4J2",D51="4J3",D51="4J4"),IF(AND(D51="4J1",D53=2),LOOKUP(D77,T!$B378:$B385,T!$M378:$M391),IF(AND(D51="4J1",D53=3),LOOKUP(D77,T!$C378:$C385,T!$M378:$M391),IF(AND(D51="4J1",D53=4),LOOKUP(D77,T!$D378:$D385,T!$M378:$M391),IF(AND(D51="4J1",D53=5),LOOKUP(D77,T!$E378:$E385,T!$M378:$M391),IF(AND(D51="4J1",D53=6),LOOKUP(D77,T!$F378:$F391,T!$M378:$M391),IF(AND(D51="4J1",D53=7),LOOKUP(D77,T!$G378:$G391,T!$M378:$M391),IF(AND(D51="4J1",D53=8),LOOKUP(D77,T!$H378:$H391,T!$M378:$M391),IF(AND(D51="4J1",D53=9),LOOKUP(D77,T!$I378:$I391,T!$M378:$M391),IF(AND(D51="4J1",D53=10),LOOKUP(D77,T!$J378:$J391,T!$M378:$M391),IF(AND(D51="4J1",D53=11),LOOKUP(D77,T!$K378:$K391,T!$M378:$M391),IF(AND(D51="4J1",D53=12),LOOKUP(D77,T!$L378:$L391,T!$M378:$M391),IF(AND(D51="4J2",D53=2),LOOKUP(D77,T!$B397:$B402,T!$J397:$J407),IF(AND(D51="4J2",D53=3),LOOKUP(D77,T!$C397:$C407,T!$J397:$J407),IF(AND(D51="4J2",D53=4),LOOKUP(D77,T!$D397:$D$402,T!$J397:$J407),IF(AND(D51="4J2",D53=5),LOOKUP(D77,T!$E397:$E407),IF(AND(D51="4J2",D53=6),LOOKUP(D77,T!$F397:$F402,T!$J397:$J407),IF(AND(D51="4J2",D53=7),LOOKUP(D77,T!$G397:$G407,T!$J397:$J407),IF(AND(D51="4J2",D53=8),LOOKUP(D77,T!$H397:$H402,T!$J397:$J407),IF(AND(D51="4J2",D53=9),LOOKUP(D77,T!$I397:$I407,T!$J397:$J407),IF(AND(D51="4J3",D53=2),LOOKUP(D77,T!$B413:$B426,T!$M413:$M426),IF(AND(D51="4J3",D53=3),LOOKUP(D77,T!$C413:$C426,T!$M413:$M426),IF(AND(D51="4J3",D53=4),LOOKUP(D77,T!$D413:$D426,T!$M413:$M426),IF(AND(D51="4J3",D53=5),LOOKUP(D77,T!$E413:$E426,T!$M413:$M426),IF(AND(D51="4J3",D53=6),LOOKUP(D77,T!$F413:$F426,T!$M413:$M426),IF(AND(D51="4J3",D53=7),LOOKUP(D77,T!$G413:$G426,T!$M413:$M426),IF(AND(D51="4J3",D53=8),LOOKUP(D77,T!$H413:$H426,T!$M413:$M426),IF(AND(D51="4J3",D53=9),LOOKUP(D77,T!$I413:$I426,T!$M413:$M426),IF(AND(D51="4J3",D53=10),LOOKUP(D77,T!$J413:$J426,T!$M413:$M426),IF(AND(D51="4J3",D53=11),LOOKUP(D77,T!$K413:$K426,T!$M413:$M426),IF(AND(D51="4J3",D53=12),LOOKUP(D77,T!$L413:$L426,T!$M413:$M426),IF(AND(D51="4J4",D53=2),LOOKUP(D77,T!$B432:$B437,T!$H432:$H442),IF(AND(D51="4J4",D53=3),LOOKUP(D77,T!$C432:$C442,T!$H432:$H442),IF(AND(D51="4J4",D53=4),LOOKUP(D77,T!$D872:$D877,T!$H432:$H442),IF(AND(D51="4J4",D53=5),LOOKUP(D77,T!$E432:$E442,T!$H432:$H442),IF(AND(D51="4J4",D53=6),LOOKUP(D77,T!$F432:$F437,T!$H432:$H442),IF(AND(D51="4J4",D53=7),LOOKUP(D77,T!$G432:$G442,T!$H432:$H442),"-")))))))))))))))))))))))))))))))))))),"")))</f>
        <v/>
      </c>
      <c r="E80" s="157" t="str" cm="1">
        <f t="array" aca="1" ref="E80" ca="1">IF(E27="","",IF(OR(E51="4H1",E51="4H2",E51="4H3",E51="4H4"),IF(E27="","",IF(AND(E51="4H1",E53=2),LOOKUP(E77,T!$B308:$B315,T!$M308:$M321),IF(AND(E51="4H1",E53=3),LOOKUP(E77,T!$C308:$C315,T!$M308:$M321),IF(AND(E51="4H1",E53=4),LOOKUP(E77,T!$D308:$D318,T!$M308:$M321),IF(AND(E51="4H1",E53=5),LOOKUP(E77,T!$E308:$E318,T!$M308:$M321),IF(AND(E51="4H1",E53=6),LOOKUP(E77,T!$F308:$F321,T!$M308:$M321),IF(AND(E51="4H1",E53=7),LOOKUP(E77,T!$G308:$G321,T!$M308:$M321),IF(AND(E51="4H1",E53=8),LOOKUP(E77,T!$H308:$H321,T!$M308:$M321),IF(AND(E51="4H1",E53=9),LOOKUP(E77,T!$I305:$I321,T!$M308:$M321),IF(AND(E51="4H1",E53=10),LOOKUP(E77,T!$J308:$J321,T!$M308:$M321),IF(AND(E51="4H1",E53=11),LOOKUP(E77,T!$K308:$K321,T!$M308:$M321),IF(AND(E51="4H1",E53=12),LOOKUP(E77,T!$L308:$L321,T!$M308:$M321),IF(AND(E51="4H2",E53=2),LOOKUP(E77,T!$B327:$B332,T!$J327:$J337),IF(AND(E51="4H2",E53=3),LOOKUP(E77,T!$C327:$C337,T!$J327:$J337),IF(AND(E51="4H2",E53=4),LOOKUP(E77,T!$D327:$D332,T!$J327:$J337),IF(AND(E51="4H2",E53=5),LOOKUP(E77,T!$E327:$E337,T!$J327:$J337),IF(AND(E51="4H2",E53=6),LOOKUP(E77,T!$F327:$F332,T!$J327:$J337),IF(AND(E51="4H2",E53=7),LOOKUP(E77,T!$G327:$G337,T!$G327:$J337),IF(AND(E51="4H2",E53=8),LOOKUP(E77,T!$H327:$H332,T!$J327:$J337),IF(AND(E51="4H2",E53=9),LOOKUP(E77,T!$I327:$I337,T!$J327:$J337),IF(AND(E51="4H3",E53=2),LOOKUP(E77,T!$B343:$B356,T!$M343:$M356),IF(AND(E51="4H3",E53=3),LOOKUP(E77,T!$C343:$C356,T!$M343:$M356),IF(AND(E51="4H3",E53=4),LOOKUP(E77,T!$D343:$D356,T!$M343:$M356),IF(AND(E51="4H3",E53=5),LOOKUP(E77,T!$E343:$E356,T!$M343:$M356),IF(AND(E51="4H3",E53=6),LOOKUP(E77,T!$F343:$F356,T!$M343:$M356),IF(AND(E51="4H3",E53=7),LOOKUP(E77,T!$G343:$G356,T!$M343:$M356),IF(AND(E51="4H3",E53=8),LOOKUP(E77,T!$H343:$H356,T!$M343:$M356),IF(AND(E51="4H3",E53=9),LOOKUP(E77,T!$I343:$I356,T!$M343:$M356),IF(AND(E51="4H3",E53=10),LOOKUP(E77,T!$J343:$J356,T!$M343:$M356),IF(AND(E51="4H3",E53=11),LOOKUP(E77,T!$K343:$K356,T!$M343:$M356),IF(AND(E51="4H3",E53=12),LOOKUP(E77,T!$L343:$L356,T!$M343:$M356),IF(AND(E51="4H4",E53=2),LOOKUP(E77,T!$B362:$B367,T!$H362:$H372),IF(AND(E51="4H4",E53=3),LOOKUP(E77,T!$C362:$C372,T!$H362:$H372),IF(AND(E51="4H4",E53=4),LOOKUP(E77,T!$D362:$D367,T!$H362:$H372),IF(AND(E51="4H4",E53=5),LOOKUP(E77,T!$E362:$E372,T!$H362:$H372),IF(AND(E51="4H4",E53=6),LOOKUP(E77,T!$F363:$F367,T!$H363:$H372),IF(AND(E51="4H4",E53=7),LOOKUP(T!$G363:$G372,T!$H363:$H372),"-"))))))))))))))))))))))))))))))))))))),IF(OR(E51="4J1",E51="4J2",E51="4J3",E51="4J4"),IF(AND(E51="4J1",E53=2),LOOKUP(E77,T!$B378:$B385,T!$M378:$M391),IF(AND(E51="4J1",E53=3),LOOKUP(E77,T!$C378:$C385,T!$M378:$M391),IF(AND(E51="4J1",E53=4),LOOKUP(E77,T!$D378:$D385,T!$M378:$M391),IF(AND(E51="4J1",E53=5),LOOKUP(E77,T!$E378:$E385,T!$M378:$M391),IF(AND(E51="4J1",E53=6),LOOKUP(E77,T!$F378:$F391,T!$M378:$M391),IF(AND(E51="4J1",E53=7),LOOKUP(E77,T!$G378:$G391,T!$M378:$M391),IF(AND(E51="4J1",E53=8),LOOKUP(E77,T!$H378:$H391,T!$M378:$M391),IF(AND(E51="4J1",E53=9),LOOKUP(E77,T!$I378:$I391,T!$M378:$M391),IF(AND(E51="4J1",E53=10),LOOKUP(E77,T!$J378:$J391,T!$M378:$M391),IF(AND(E51="4J1",E53=11),LOOKUP(E77,T!$K378:$K391,T!$M378:$M391),IF(AND(E51="4J1",E53=12),LOOKUP(E77,T!$L378:$L391,T!$M378:$M391),IF(AND(E51="4J2",E53=2),LOOKUP(E77,T!$B397:$B402,T!$J397:$J407),IF(AND(E51="4J2",E53=3),LOOKUP(E77,T!$C397:$C407,T!$J397:$J407),IF(AND(E51="4J2",E53=4),LOOKUP(E77,T!$D397:$D$402,T!$J397:$J407),IF(AND(E51="4J2",E53=5),LOOKUP(E77,T!$E397:$E407),IF(AND(E51="4J2",E53=6),LOOKUP(E77,T!$F397:$F402,T!$J397:$J407),IF(AND(E51="4J2",E53=7),LOOKUP(E77,T!$G397:$G407,T!$J397:$J407),IF(AND(E51="4J2",E53=8),LOOKUP(E77,T!$H397:$H402,T!$J397:$J407),IF(AND(E51="4J2",E53=9),LOOKUP(E77,T!$I397:$I407,T!$J397:$J407),IF(AND(E51="4J3",E53=2),LOOKUP(E77,T!$B413:$B426,T!$M413:$M426),IF(AND(E51="4J3",E53=3),LOOKUP(E77,T!$C413:$C426,T!$M413:$M426),IF(AND(E51="4J3",E53=4),LOOKUP(E77,T!$D413:$D426,T!$M413:$M426),IF(AND(E51="4J3",E53=5),LOOKUP(E77,T!$E413:$E426,T!$M413:$M426),IF(AND(E51="4J3",E53=6),LOOKUP(E77,T!$F413:$F426,T!$M413:$M426),IF(AND(E51="4J3",E53=7),LOOKUP(E77,T!$G413:$G426,T!$M413:$M426),IF(AND(E51="4J3",E53=8),LOOKUP(E77,T!$H413:$H426,T!$M413:$M426),IF(AND(E51="4J3",E53=9),LOOKUP(E77,T!$I413:$I426,T!$M413:$M426),IF(AND(E51="4J3",E53=10),LOOKUP(E77,T!$J413:$J426,T!$M413:$M426),IF(AND(E51="4J3",E53=11),LOOKUP(E77,T!$K413:$K426,T!$M413:$M426),IF(AND(E51="4J3",E53=12),LOOKUP(E77,T!$L413:$L426,T!$M413:$M426),IF(AND(E51="4J4",E53=2),LOOKUP(E77,T!$B432:$B437,T!$H432:$H442),IF(AND(E51="4J4",E53=3),LOOKUP(E77,T!$C432:$C442,T!$H432:$H442),IF(AND(E51="4J4",E53=4),LOOKUP(E77,T!$D872:$D877,T!$H432:$H442),IF(AND(E51="4J4",E53=5),LOOKUP(E77,T!$E432:$E442,T!$H432:$H442),IF(AND(E51="4J4",E53=6),LOOKUP(E77,T!$F432:$F437,T!$H432:$H442),IF(AND(E51="4J4",E53=7),LOOKUP(E77,T!$G432:$G442,T!$H432:$H442),"-")))))))))))))))))))))))))))))))))))),"")))</f>
        <v/>
      </c>
      <c r="F80" s="157" t="str" cm="1">
        <f t="array" aca="1" ref="F80" ca="1">IF(F27="","",IF(OR(F51="4H1",F51="4H2",F51="4H3",F51="4H4"),IF(F27="","",IF(AND(F51="4H1",F53=2),LOOKUP(F77,T!$B308:$B315,T!$M308:$M321),IF(AND(F51="4H1",F53=3),LOOKUP(F77,T!$C308:$C315,T!$M308:$M321),IF(AND(F51="4H1",F53=4),LOOKUP(F77,T!$D308:$D318,T!$M308:$M321),IF(AND(F51="4H1",F53=5),LOOKUP(F77,T!$E308:$E318,T!$M308:$M321),IF(AND(F51="4H1",F53=6),LOOKUP(F77,T!$F308:$F321,T!$M308:$M321),IF(AND(F51="4H1",F53=7),LOOKUP(F77,T!$G308:$G321,T!$M308:$M321),IF(AND(F51="4H1",F53=8),LOOKUP(F77,T!$H308:$H321,T!$M308:$M321),IF(AND(F51="4H1",F53=9),LOOKUP(F77,T!$I305:$I321,T!$M308:$M321),IF(AND(F51="4H1",F53=10),LOOKUP(F77,T!$J308:$J321,T!$M308:$M321),IF(AND(F51="4H1",F53=11),LOOKUP(F77,T!$K308:$K321,T!$M308:$M321),IF(AND(F51="4H1",F53=12),LOOKUP(F77,T!$L308:$L321,T!$M308:$M321),IF(AND(F51="4H2",F53=2),LOOKUP(F77,T!$B327:$B332,T!$J327:$J337),IF(AND(F51="4H2",F53=3),LOOKUP(F77,T!$C327:$C337,T!$J327:$J337),IF(AND(F51="4H2",F53=4),LOOKUP(F77,T!$D327:$D332,T!$J327:$J337),IF(AND(F51="4H2",F53=5),LOOKUP(F77,T!$E327:$E337,T!$J327:$J337),IF(AND(F51="4H2",F53=6),LOOKUP(F77,T!$F327:$F332,T!$J327:$J337),IF(AND(F51="4H2",F53=7),LOOKUP(F77,T!$G327:$G337,T!$G327:$J337),IF(AND(F51="4H2",F53=8),LOOKUP(F77,T!$H327:$H332,T!$J327:$J337),IF(AND(F51="4H2",F53=9),LOOKUP(F77,T!$I327:$I337,T!$J327:$J337),IF(AND(F51="4H3",F53=2),LOOKUP(F77,T!$B343:$B356,T!$M343:$M356),IF(AND(F51="4H3",F53=3),LOOKUP(F77,T!$C343:$C356,T!$M343:$M356),IF(AND(F51="4H3",F53=4),LOOKUP(F77,T!$D343:$D356,T!$M343:$M356),IF(AND(F51="4H3",F53=5),LOOKUP(F77,T!$E343:$E356,T!$M343:$M356),IF(AND(F51="4H3",F53=6),LOOKUP(F77,T!$F343:$F356,T!$M343:$M356),IF(AND(F51="4H3",F53=7),LOOKUP(F77,T!$G343:$G356,T!$M343:$M356),IF(AND(F51="4H3",F53=8),LOOKUP(F77,T!$H343:$H356,T!$M343:$M356),IF(AND(F51="4H3",F53=9),LOOKUP(F77,T!$I343:$I356,T!$M343:$M356),IF(AND(F51="4H3",F53=10),LOOKUP(F77,T!$J343:$J356,T!$M343:$M356),IF(AND(F51="4H3",F53=11),LOOKUP(F77,T!$K343:$K356,T!$M343:$M356),IF(AND(F51="4H3",F53=12),LOOKUP(F77,T!$L343:$L356,T!$M343:$M356),IF(AND(F51="4H4",F53=2),LOOKUP(F77,T!$B362:$B367,T!$H362:$H372),IF(AND(F51="4H4",F53=3),LOOKUP(F77,T!$C362:$C372,T!$H362:$H372),IF(AND(F51="4H4",F53=4),LOOKUP(F77,T!$D362:$D367,T!$H362:$H372),IF(AND(F51="4H4",F53=5),LOOKUP(F77,T!$E362:$E372,T!$H362:$H372),IF(AND(F51="4H4",F53=6),LOOKUP(F77,T!$F363:$F367,T!$H363:$H372),IF(AND(F51="4H4",F53=7),LOOKUP(T!$G363:$G372,T!$H363:$H372),"-"))))))))))))))))))))))))))))))))))))),IF(OR(F51="4J1",F51="4J2",F51="4J3",F51="4J4"),IF(AND(F51="4J1",F53=2),LOOKUP(F77,T!$B378:$B385,T!$M378:$M391),IF(AND(F51="4J1",F53=3),LOOKUP(F77,T!$C378:$C385,T!$M378:$M391),IF(AND(F51="4J1",F53=4),LOOKUP(F77,T!$D378:$D385,T!$M378:$M391),IF(AND(F51="4J1",F53=5),LOOKUP(F77,T!$E378:$E385,T!$M378:$M391),IF(AND(F51="4J1",F53=6),LOOKUP(F77,T!$F378:$F391,T!$M378:$M391),IF(AND(F51="4J1",F53=7),LOOKUP(F77,T!$G378:$G391,T!$M378:$M391),IF(AND(F51="4J1",F53=8),LOOKUP(F77,T!$H378:$H391,T!$M378:$M391),IF(AND(F51="4J1",F53=9),LOOKUP(F77,T!$I378:$I391,T!$M378:$M391),IF(AND(F51="4J1",F53=10),LOOKUP(F77,T!$J378:$J391,T!$M378:$M391),IF(AND(F51="4J1",F53=11),LOOKUP(F77,T!$K378:$K391,T!$M378:$M391),IF(AND(F51="4J1",F53=12),LOOKUP(F77,T!$L378:$L391,T!$M378:$M391),IF(AND(F51="4J2",F53=2),LOOKUP(F77,T!$B397:$B402,T!$J397:$J407),IF(AND(F51="4J2",F53=3),LOOKUP(F77,T!$C397:$C407,T!$J397:$J407),IF(AND(F51="4J2",F53=4),LOOKUP(F77,T!$D397:$D$402,T!$J397:$J407),IF(AND(F51="4J2",F53=5),LOOKUP(F77,T!$E397:$E407),IF(AND(F51="4J2",F53=6),LOOKUP(F77,T!$F397:$F402,T!$J397:$J407),IF(AND(F51="4J2",F53=7),LOOKUP(F77,T!$G397:$G407,T!$J397:$J407),IF(AND(F51="4J2",F53=8),LOOKUP(F77,T!$H397:$H402,T!$J397:$J407),IF(AND(F51="4J2",F53=9),LOOKUP(F77,T!$I397:$I407,T!$J397:$J407),IF(AND(F51="4J3",F53=2),LOOKUP(F77,T!$B413:$B426,T!$M413:$M426),IF(AND(F51="4J3",F53=3),LOOKUP(F77,T!$C413:$C426,T!$M413:$M426),IF(AND(F51="4J3",F53=4),LOOKUP(F77,T!$D413:$D426,T!$M413:$M426),IF(AND(F51="4J3",F53=5),LOOKUP(F77,T!$E413:$E426,T!$M413:$M426),IF(AND(F51="4J3",F53=6),LOOKUP(F77,T!$F413:$F426,T!$M413:$M426),IF(AND(F51="4J3",F53=7),LOOKUP(F77,T!$G413:$G426,T!$M413:$M426),IF(AND(F51="4J3",F53=8),LOOKUP(F77,T!$H413:$H426,T!$M413:$M426),IF(AND(F51="4J3",F53=9),LOOKUP(F77,T!$I413:$I426,T!$M413:$M426),IF(AND(F51="4J3",F53=10),LOOKUP(F77,T!$J413:$J426,T!$M413:$M426),IF(AND(F51="4J3",F53=11),LOOKUP(F77,T!$K413:$K426,T!$M413:$M426),IF(AND(F51="4J3",F53=12),LOOKUP(F77,T!$L413:$L426,T!$M413:$M426),IF(AND(F51="4J4",F53=2),LOOKUP(F77,T!$B432:$B437,T!$H432:$H442),IF(AND(F51="4J4",F53=3),LOOKUP(F77,T!$C432:$C442,T!$H432:$H442),IF(AND(F51="4J4",F53=4),LOOKUP(F77,T!$D872:$D877,T!$H432:$H442),IF(AND(F51="4J4",F53=5),LOOKUP(F77,T!$E432:$E442,T!$H432:$H442),IF(AND(F51="4J4",F53=6),LOOKUP(F77,T!$F432:$F437,T!$H432:$H442),IF(AND(F51="4J4",F53=7),LOOKUP(F77,T!$G432:$G442,T!$H432:$H442),"-")))))))))))))))))))))))))))))))))))),"")))</f>
        <v/>
      </c>
      <c r="G80" s="157" t="str" cm="1">
        <f t="array" aca="1" ref="G80" ca="1">IF(G27="","",IF(OR(G51="4H1",G51="4H2",G51="4H3",G51="4H4"),IF(G27="","",IF(AND(G51="4H1",G53=2),LOOKUP(G77,T!$B308:$B315,T!$M308:$M321),IF(AND(G51="4H1",G53=3),LOOKUP(G77,T!$C308:$C315,T!$M308:$M321),IF(AND(G51="4H1",G53=4),LOOKUP(G77,T!$D308:$D318,T!$M308:$M321),IF(AND(G51="4H1",G53=5),LOOKUP(G77,T!$E308:$E318,T!$M308:$M321),IF(AND(G51="4H1",G53=6),LOOKUP(G77,T!$F308:$F321,T!$M308:$M321),IF(AND(G51="4H1",G53=7),LOOKUP(G77,T!$G308:$G321,T!$M308:$M321),IF(AND(G51="4H1",G53=8),LOOKUP(G77,T!$H308:$H321,T!$M308:$M321),IF(AND(G51="4H1",G53=9),LOOKUP(G77,T!$I305:$I321,T!$M308:$M321),IF(AND(G51="4H1",G53=10),LOOKUP(G77,T!$J308:$J321,T!$M308:$M321),IF(AND(G51="4H1",G53=11),LOOKUP(G77,T!$K308:$K321,T!$M308:$M321),IF(AND(G51="4H1",G53=12),LOOKUP(G77,T!$L308:$L321,T!$M308:$M321),IF(AND(G51="4H2",G53=2),LOOKUP(G77,T!$B327:$B332,T!$J327:$J337),IF(AND(G51="4H2",G53=3),LOOKUP(G77,T!$C327:$C337,T!$J327:$J337),IF(AND(G51="4H2",G53=4),LOOKUP(G77,T!$D327:$D332,T!$J327:$J337),IF(AND(G51="4H2",G53=5),LOOKUP(G77,T!$E327:$E337,T!$J327:$J337),IF(AND(G51="4H2",G53=6),LOOKUP(G77,T!$F327:$F332,T!$J327:$J337),IF(AND(G51="4H2",G53=7),LOOKUP(G77,T!$G327:$G337,T!$G327:$J337),IF(AND(G51="4H2",G53=8),LOOKUP(G77,T!$H327:$H332,T!$J327:$J337),IF(AND(G51="4H2",G53=9),LOOKUP(G77,T!$I327:$I337,T!$J327:$J337),IF(AND(G51="4H3",G53=2),LOOKUP(G77,T!$B343:$B356,T!$M343:$M356),IF(AND(G51="4H3",G53=3),LOOKUP(G77,T!$C343:$C356,T!$M343:$M356),IF(AND(G51="4H3",G53=4),LOOKUP(G77,T!$D343:$D356,T!$M343:$M356),IF(AND(G51="4H3",G53=5),LOOKUP(G77,T!$E343:$E356,T!$M343:$M356),IF(AND(G51="4H3",G53=6),LOOKUP(G77,T!$F343:$F356,T!$M343:$M356),IF(AND(G51="4H3",G53=7),LOOKUP(G77,T!$G343:$G356,T!$M343:$M356),IF(AND(G51="4H3",G53=8),LOOKUP(G77,T!$H343:$H356,T!$M343:$M356),IF(AND(G51="4H3",G53=9),LOOKUP(G77,T!$I343:$I356,T!$M343:$M356),IF(AND(G51="4H3",G53=10),LOOKUP(G77,T!$J343:$J356,T!$M343:$M356),IF(AND(G51="4H3",G53=11),LOOKUP(G77,T!$K343:$K356,T!$M343:$M356),IF(AND(G51="4H3",G53=12),LOOKUP(G77,T!$L343:$L356,T!$M343:$M356),IF(AND(G51="4H4",G53=2),LOOKUP(G77,T!$B362:$B367,T!$H362:$H372),IF(AND(G51="4H4",G53=3),LOOKUP(G77,T!$C362:$C372,T!$H362:$H372),IF(AND(G51="4H4",G53=4),LOOKUP(G77,T!$D362:$D367,T!$H362:$H372),IF(AND(G51="4H4",G53=5),LOOKUP(G77,T!$E362:$E372,T!$H362:$H372),IF(AND(G51="4H4",G53=6),LOOKUP(G77,T!$F363:$F367,T!$H363:$H372),IF(AND(G51="4H4",G53=7),LOOKUP(T!$G363:$G372,T!$H363:$H372),"-"))))))))))))))))))))))))))))))))))))),IF(OR(G51="4J1",G51="4J2",G51="4J3",G51="4J4"),IF(AND(G51="4J1",G53=2),LOOKUP(G77,T!$B378:$B385,T!$M378:$M391),IF(AND(G51="4J1",G53=3),LOOKUP(G77,T!$C378:$C385,T!$M378:$M391),IF(AND(G51="4J1",G53=4),LOOKUP(G77,T!$D378:$D385,T!$M378:$M391),IF(AND(G51="4J1",G53=5),LOOKUP(G77,T!$E378:$E385,T!$M378:$M391),IF(AND(G51="4J1",G53=6),LOOKUP(G77,T!$F378:$F391,T!$M378:$M391),IF(AND(G51="4J1",G53=7),LOOKUP(G77,T!$G378:$G391,T!$M378:$M391),IF(AND(G51="4J1",G53=8),LOOKUP(G77,T!$H378:$H391,T!$M378:$M391),IF(AND(G51="4J1",G53=9),LOOKUP(G77,T!$I378:$I391,T!$M378:$M391),IF(AND(G51="4J1",G53=10),LOOKUP(G77,T!$J378:$J391,T!$M378:$M391),IF(AND(G51="4J1",G53=11),LOOKUP(G77,T!$K378:$K391,T!$M378:$M391),IF(AND(G51="4J1",G53=12),LOOKUP(G77,T!$L378:$L391,T!$M378:$M391),IF(AND(G51="4J2",G53=2),LOOKUP(G77,T!$B397:$B402,T!$J397:$J407),IF(AND(G51="4J2",G53=3),LOOKUP(G77,T!$C397:$C407,T!$J397:$J407),IF(AND(G51="4J2",G53=4),LOOKUP(G77,T!$D397:$D$402,T!$J397:$J407),IF(AND(G51="4J2",G53=5),LOOKUP(G77,T!$E397:$E407),IF(AND(G51="4J2",G53=6),LOOKUP(G77,T!$F397:$F402,T!$J397:$J407),IF(AND(G51="4J2",G53=7),LOOKUP(G77,T!$G397:$G407,T!$J397:$J407),IF(AND(G51="4J2",G53=8),LOOKUP(G77,T!$H397:$H402,T!$J397:$J407),IF(AND(G51="4J2",G53=9),LOOKUP(G77,T!$I397:$I407,T!$J397:$J407),IF(AND(G51="4J3",G53=2),LOOKUP(G77,T!$B413:$B426,T!$M413:$M426),IF(AND(G51="4J3",G53=3),LOOKUP(G77,T!$C413:$C426,T!$M413:$M426),IF(AND(G51="4J3",G53=4),LOOKUP(G77,T!$D413:$D426,T!$M413:$M426),IF(AND(G51="4J3",G53=5),LOOKUP(G77,T!$E413:$E426,T!$M413:$M426),IF(AND(G51="4J3",G53=6),LOOKUP(G77,T!$F413:$F426,T!$M413:$M426),IF(AND(G51="4J3",G53=7),LOOKUP(G77,T!$G413:$G426,T!$M413:$M426),IF(AND(G51="4J3",G53=8),LOOKUP(G77,T!$H413:$H426,T!$M413:$M426),IF(AND(G51="4J3",G53=9),LOOKUP(G77,T!$I413:$I426,T!$M413:$M426),IF(AND(G51="4J3",G53=10),LOOKUP(G77,T!$J413:$J426,T!$M413:$M426),IF(AND(G51="4J3",G53=11),LOOKUP(G77,T!$K413:$K426,T!$M413:$M426),IF(AND(G51="4J3",G53=12),LOOKUP(G77,T!$L413:$L426,T!$M413:$M426),IF(AND(G51="4J4",G53=2),LOOKUP(G77,T!$B432:$B437,T!$H432:$H442),IF(AND(G51="4J4",G53=3),LOOKUP(G77,T!$C432:$C442,T!$H432:$H442),IF(AND(G51="4J4",G53=4),LOOKUP(G77,T!$D872:$D877,T!$H432:$H442),IF(AND(G51="4J4",G53=5),LOOKUP(G77,T!$E432:$E442,T!$H432:$H442),IF(AND(G51="4J4",G53=6),LOOKUP(G77,T!$F432:$F437,T!$H432:$H442),IF(AND(G51="4J4",G53=7),LOOKUP(G77,T!$G432:$G442,T!$H432:$H442),"-")))))))))))))))))))))))))))))))))))),"")))</f>
        <v/>
      </c>
      <c r="H80" s="157" t="str" cm="1">
        <f t="array" aca="1" ref="H80" ca="1">IF(H27="","",IF(OR(H51="4H1",H51="4H2",H51="4H3",H51="4H4"),IF(H27="","",IF(AND(H51="4H1",H53=2),LOOKUP(H77,T!$B308:$B315,T!$M308:$M321),IF(AND(H51="4H1",H53=3),LOOKUP(H77,T!$C308:$C315,T!$M308:$M321),IF(AND(H51="4H1",H53=4),LOOKUP(H77,T!$D308:$D318,T!$M308:$M321),IF(AND(H51="4H1",H53=5),LOOKUP(H77,T!$E308:$E318,T!$M308:$M321),IF(AND(H51="4H1",H53=6),LOOKUP(H77,T!$F308:$F321,T!$M308:$M321),IF(AND(H51="4H1",H53=7),LOOKUP(H77,T!$G308:$G321,T!$M308:$M321),IF(AND(H51="4H1",H53=8),LOOKUP(H77,T!$H308:$H321,T!$M308:$M321),IF(AND(H51="4H1",H53=9),LOOKUP(H77,T!$I305:$I321,T!$M308:$M321),IF(AND(H51="4H1",H53=10),LOOKUP(H77,T!$J308:$J321,T!$M308:$M321),IF(AND(H51="4H1",H53=11),LOOKUP(H77,T!$K308:$K321,T!$M308:$M321),IF(AND(H51="4H1",H53=12),LOOKUP(H77,T!$L308:$L321,T!$M308:$M321),IF(AND(H51="4H2",H53=2),LOOKUP(H77,T!$B327:$B332,T!$J327:$J337),IF(AND(H51="4H2",H53=3),LOOKUP(H77,T!$C327:$C337,T!$J327:$J337),IF(AND(H51="4H2",H53=4),LOOKUP(H77,T!$D327:$D332,T!$J327:$J337),IF(AND(H51="4H2",H53=5),LOOKUP(H77,T!$E327:$E337,T!$J327:$J337),IF(AND(H51="4H2",H53=6),LOOKUP(H77,T!$F327:$F332,T!$J327:$J337),IF(AND(H51="4H2",H53=7),LOOKUP(H77,T!$G327:$G337,T!$G327:$J337),IF(AND(H51="4H2",H53=8),LOOKUP(H77,T!$H327:$H332,T!$J327:$J337),IF(AND(H51="4H2",H53=9),LOOKUP(H77,T!$I327:$I337,T!$J327:$J337),IF(AND(H51="4H3",H53=2),LOOKUP(H77,T!$B343:$B356,T!$M343:$M356),IF(AND(H51="4H3",H53=3),LOOKUP(H77,T!$C343:$C356,T!$M343:$M356),IF(AND(H51="4H3",H53=4),LOOKUP(H77,T!$D343:$D356,T!$M343:$M356),IF(AND(H51="4H3",H53=5),LOOKUP(H77,T!$E343:$E356,T!$M343:$M356),IF(AND(H51="4H3",H53=6),LOOKUP(H77,T!$F343:$F356,T!$M343:$M356),IF(AND(H51="4H3",H53=7),LOOKUP(H77,T!$G343:$G356,T!$M343:$M356),IF(AND(H51="4H3",H53=8),LOOKUP(H77,T!$H343:$H356,T!$M343:$M356),IF(AND(H51="4H3",H53=9),LOOKUP(H77,T!$I343:$I356,T!$M343:$M356),IF(AND(H51="4H3",H53=10),LOOKUP(H77,T!$J343:$J356,T!$M343:$M356),IF(AND(H51="4H3",H53=11),LOOKUP(H77,T!$K343:$K356,T!$M343:$M356),IF(AND(H51="4H3",H53=12),LOOKUP(H77,T!$L343:$L356,T!$M343:$M356),IF(AND(H51="4H4",H53=2),LOOKUP(H77,T!$B362:$B367,T!$H362:$H372),IF(AND(H51="4H4",H53=3),LOOKUP(H77,T!$C362:$C372,T!$H362:$H372),IF(AND(H51="4H4",H53=4),LOOKUP(H77,T!$D362:$D367,T!$H362:$H372),IF(AND(H51="4H4",H53=5),LOOKUP(H77,T!$E362:$E372,T!$H362:$H372),IF(AND(H51="4H4",H53=6),LOOKUP(H77,T!$F363:$F367,T!$H363:$H372),IF(AND(H51="4H4",H53=7),LOOKUP(T!$G363:$G372,T!$H363:$H372),"-"))))))))))))))))))))))))))))))))))))),IF(OR(H51="4J1",H51="4J2",H51="4J3",H51="4J4"),IF(AND(H51="4J1",H53=2),LOOKUP(H77,T!$B378:$B385,T!$M378:$M391),IF(AND(H51="4J1",H53=3),LOOKUP(H77,T!$C378:$C385,T!$M378:$M391),IF(AND(H51="4J1",H53=4),LOOKUP(H77,T!$D378:$D385,T!$M378:$M391),IF(AND(H51="4J1",H53=5),LOOKUP(H77,T!$E378:$E385,T!$M378:$M391),IF(AND(H51="4J1",H53=6),LOOKUP(H77,T!$F378:$F391,T!$M378:$M391),IF(AND(H51="4J1",H53=7),LOOKUP(H77,T!$G378:$G391,T!$M378:$M391),IF(AND(H51="4J1",H53=8),LOOKUP(H77,T!$H378:$H391,T!$M378:$M391),IF(AND(H51="4J1",H53=9),LOOKUP(H77,T!$I378:$I391,T!$M378:$M391),IF(AND(H51="4J1",H53=10),LOOKUP(H77,T!$J378:$J391,T!$M378:$M391),IF(AND(H51="4J1",H53=11),LOOKUP(H77,T!$K378:$K391,T!$M378:$M391),IF(AND(H51="4J1",H53=12),LOOKUP(H77,T!$L378:$L391,T!$M378:$M391),IF(AND(H51="4J2",H53=2),LOOKUP(H77,T!$B397:$B402,T!$J397:$J407),IF(AND(H51="4J2",H53=3),LOOKUP(H77,T!$C397:$C407,T!$J397:$J407),IF(AND(H51="4J2",H53=4),LOOKUP(H77,T!$D397:$D$402,T!$J397:$J407),IF(AND(H51="4J2",H53=5),LOOKUP(H77,T!$E397:$E407),IF(AND(H51="4J2",H53=6),LOOKUP(H77,T!$F397:$F402,T!$J397:$J407),IF(AND(H51="4J2",H53=7),LOOKUP(H77,T!$G397:$G407,T!$J397:$J407),IF(AND(H51="4J2",H53=8),LOOKUP(H77,T!$H397:$H402,T!$J397:$J407),IF(AND(H51="4J2",H53=9),LOOKUP(H77,T!$I397:$I407,T!$J397:$J407),IF(AND(H51="4J3",H53=2),LOOKUP(H77,T!$B413:$B426,T!$M413:$M426),IF(AND(H51="4J3",H53=3),LOOKUP(H77,T!$C413:$C426,T!$M413:$M426),IF(AND(H51="4J3",H53=4),LOOKUP(H77,T!$D413:$D426,T!$M413:$M426),IF(AND(H51="4J3",H53=5),LOOKUP(H77,T!$E413:$E426,T!$M413:$M426),IF(AND(H51="4J3",H53=6),LOOKUP(H77,T!$F413:$F426,T!$M413:$M426),IF(AND(H51="4J3",H53=7),LOOKUP(H77,T!$G413:$G426,T!$M413:$M426),IF(AND(H51="4J3",H53=8),LOOKUP(H77,T!$H413:$H426,T!$M413:$M426),IF(AND(H51="4J3",H53=9),LOOKUP(H77,T!$I413:$I426,T!$M413:$M426),IF(AND(H51="4J3",H53=10),LOOKUP(H77,T!$J413:$J426,T!$M413:$M426),IF(AND(H51="4J3",H53=11),LOOKUP(H77,T!$K413:$K426,T!$M413:$M426),IF(AND(H51="4J3",H53=12),LOOKUP(H77,T!$L413:$L426,T!$M413:$M426),IF(AND(H51="4J4",H53=2),LOOKUP(H77,T!$B432:$B437,T!$H432:$H442),IF(AND(H51="4J4",H53=3),LOOKUP(H77,T!$C432:$C442,T!$H432:$H442),IF(AND(H51="4J4",H53=4),LOOKUP(H77,T!$D872:$D877,T!$H432:$H442),IF(AND(H51="4J4",H53=5),LOOKUP(H77,T!$E432:$E442,T!$H432:$H442),IF(AND(H51="4J4",H53=6),LOOKUP(H77,T!$F432:$F437,T!$H432:$H442),IF(AND(H51="4J4",H53=7),LOOKUP(H77,T!$G432:$G442,T!$H432:$H442),"-")))))))))))))))))))))))))))))))))))),"")))</f>
        <v/>
      </c>
      <c r="I80" s="157" t="str" cm="1">
        <f t="array" ref="I80">IF(I27="","",IF(OR(I51="4H1",I51="4H2",I51="4H3",I51="4H4"),IF(I27="","",IF(AND(I51="4H1",I53=2),LOOKUP(I77,T!$B308:$B315,T!$M308:$M321),IF(AND(I51="4H1",I53=3),LOOKUP(I77,T!$C308:$C315,T!$M308:$M321),IF(AND(I51="4H1",I53=4),LOOKUP(I77,T!$D308:$D318,T!$M308:$M321),IF(AND(I51="4H1",I53=5),LOOKUP(I77,T!$E308:$E318,T!$M308:$M321),IF(AND(I51="4H1",I53=6),LOOKUP(I77,T!$F308:$F321,T!$M308:$M321),IF(AND(I51="4H1",I53=7),LOOKUP(I77,T!$G308:$G321,T!$M308:$M321),IF(AND(I51="4H1",I53=8),LOOKUP(I77,T!$H308:$H321,T!$M308:$M321),IF(AND(I51="4H1",I53=9),LOOKUP(I77,T!$I305:$I321,T!$M308:$M321),IF(AND(I51="4H1",I53=10),LOOKUP(I77,T!$J308:$J321,T!$M308:$M321),IF(AND(I51="4H1",I53=11),LOOKUP(I77,T!$K308:$K321,T!$M308:$M321),IF(AND(I51="4H1",I53=12),LOOKUP(I77,T!$L308:$L321,T!$M308:$M321),IF(AND(I51="4H2",I53=2),LOOKUP(I77,T!$B327:$B332,T!$J327:$J337),IF(AND(I51="4H2",I53=3),LOOKUP(I77,T!$C327:$C337,T!$J327:$J337),IF(AND(I51="4H2",I53=4),LOOKUP(I77,T!$D327:$D332,T!$J327:$J337),IF(AND(I51="4H2",I53=5),LOOKUP(I77,T!$E327:$E337,T!$J327:$J337),IF(AND(I51="4H2",I53=6),LOOKUP(I77,T!$F327:$F332,T!$J327:$J337),IF(AND(I51="4H2",I53=7),LOOKUP(I77,T!$G327:$G337,T!$G327:$J337),IF(AND(I51="4H2",I53=8),LOOKUP(I77,T!$H327:$H332,T!$J327:$J337),IF(AND(I51="4H2",I53=9),LOOKUP(I77,T!$I327:$I337,T!$J327:$J337),IF(AND(I51="4H3",I53=2),LOOKUP(I77,T!$B343:$B356,T!$M343:$M356),IF(AND(I51="4H3",I53=3),LOOKUP(I77,T!$C343:$C356,T!$M343:$M356),IF(AND(I51="4H3",I53=4),LOOKUP(I77,T!$D343:$D356,T!$M343:$M356),IF(AND(I51="4H3",I53=5),LOOKUP(I77,T!$E343:$E356,T!$M343:$M356),IF(AND(I51="4H3",I53=6),LOOKUP(I77,T!$F343:$F356,T!$M343:$M356),IF(AND(I51="4H3",I53=7),LOOKUP(I77,T!$G343:$G356,T!$M343:$M356),IF(AND(I51="4H3",I53=8),LOOKUP(I77,T!$H343:$H356,T!$M343:$M356),IF(AND(I51="4H3",I53=9),LOOKUP(I77,T!$I343:$I356,T!$M343:$M356),IF(AND(I51="4H3",I53=10),LOOKUP(I77,T!$J343:$J356,T!$M343:$M356),IF(AND(I51="4H3",I53=11),LOOKUP(I77,T!$K343:$K356,T!$M343:$M356),IF(AND(I51="4H3",I53=12),LOOKUP(I77,T!$L343:$L356,T!$M343:$M356),IF(AND(I51="4H4",I53=2),LOOKUP(I77,T!$B362:$B367,T!$H362:$H372),IF(AND(I51="4H4",I53=3),LOOKUP(I77,T!$C362:$C372,T!$H362:$H372),IF(AND(I51="4H4",I53=4),LOOKUP(I77,T!$D362:$D367,T!$H362:$H372),IF(AND(I51="4H4",I53=5),LOOKUP(I77,T!$E362:$E372,T!$H362:$H372),IF(AND(I51="4H4",I53=6),LOOKUP(I77,T!$F363:$F367,T!$H363:$H372),IF(AND(I51="4H4",I53=7),LOOKUP(T!$G363:$G372,T!$H363:$H372),"-"))))))))))))))))))))))))))))))))))))),IF(OR(I51="4J1",I51="4J2",I51="4J3",I51="4J4"),IF(AND(I51="4J1",I53=2),LOOKUP(I77,T!$B378:$B385,T!$M378:$M391),IF(AND(I51="4J1",I53=3),LOOKUP(I77,T!$C378:$C385,T!$M378:$M391),IF(AND(I51="4J1",I53=4),LOOKUP(I77,T!$D378:$D385,T!$M378:$M391),IF(AND(I51="4J1",I53=5),LOOKUP(I77,T!$E378:$E385,T!$M378:$M391),IF(AND(I51="4J1",I53=6),LOOKUP(I77,T!$F378:$F391,T!$M378:$M391),IF(AND(I51="4J1",I53=7),LOOKUP(I77,T!$G378:$G391,T!$M378:$M391),IF(AND(I51="4J1",I53=8),LOOKUP(I77,T!$H378:$H391,T!$M378:$M391),IF(AND(I51="4J1",I53=9),LOOKUP(I77,T!$I378:$I391,T!$M378:$M391),IF(AND(I51="4J1",I53=10),LOOKUP(I77,T!$J378:$J391,T!$M378:$M391),IF(AND(I51="4J1",I53=11),LOOKUP(I77,T!$K378:$K391,T!$M378:$M391),IF(AND(I51="4J1",I53=12),LOOKUP(I77,T!$L378:$L391,T!$M378:$M391),IF(AND(I51="4J2",I53=2),LOOKUP(I77,T!$B397:$B402,T!$J397:$J407),IF(AND(I51="4J2",I53=3),LOOKUP(I77,T!$C397:$C407,T!$J397:$J407),IF(AND(I51="4J2",I53=4),LOOKUP(I77,T!$D397:$D$402,T!$J397:$J407),IF(AND(I51="4J2",I53=5),LOOKUP(I77,T!$E397:$E407),IF(AND(I51="4J2",I53=6),LOOKUP(I77,T!$F397:$F402,T!$J397:$J407),IF(AND(I51="4J2",I53=7),LOOKUP(I77,T!$G397:$G407,T!$J397:$J407),IF(AND(I51="4J2",I53=8),LOOKUP(I77,T!$H397:$H402,T!$J397:$J407),IF(AND(I51="4J2",I53=9),LOOKUP(I77,T!$I397:$I407,T!$J397:$J407),IF(AND(I51="4J3",I53=2),LOOKUP(I77,T!$B413:$B426,T!$M413:$M426),IF(AND(I51="4J3",I53=3),LOOKUP(I77,T!$C413:$C426,T!$M413:$M426),IF(AND(I51="4J3",I53=4),LOOKUP(I77,T!$D413:$D426,T!$M413:$M426),IF(AND(I51="4J3",I53=5),LOOKUP(I77,T!$E413:$E426,T!$M413:$M426),IF(AND(I51="4J3",I53=6),LOOKUP(I77,T!$F413:$F426,T!$M413:$M426),IF(AND(I51="4J3",I53=7),LOOKUP(I77,T!$G413:$G426,T!$M413:$M426),IF(AND(I51="4J3",I53=8),LOOKUP(I77,T!$H413:$H426,T!$M413:$M426),IF(AND(I51="4J3",I53=9),LOOKUP(I77,T!$I413:$I426,T!$M413:$M426),IF(AND(I51="4J3",I53=10),LOOKUP(I77,T!$J413:$J426,T!$M413:$M426),IF(AND(I51="4J3",I53=11),LOOKUP(I77,T!$K413:$K426,T!$M413:$M426),IF(AND(I51="4J3",I53=12),LOOKUP(I77,T!$L413:$L426,T!$M413:$M426),IF(AND(I51="4J4",I53=2),LOOKUP(I77,T!$B432:$B437,T!$H432:$H442),IF(AND(I51="4J4",I53=3),LOOKUP(I77,T!$C432:$C442,T!$H432:$H442),IF(AND(I51="4J4",I53=4),LOOKUP(I77,T!$D872:$D877,T!$H432:$H442),IF(AND(I51="4J4",I53=5),LOOKUP(I77,T!$E432:$E442,T!$H432:$H442),IF(AND(I51="4J4",I53=6),LOOKUP(I77,T!$F432:$F437,T!$H432:$H442),IF(AND(I51="4J4",I53=7),LOOKUP(I77,T!$G432:$G442,T!$H432:$H442),"-")))))))))))))))))))))))))))))))))))),"")))</f>
        <v/>
      </c>
      <c r="J80" s="157" t="str" cm="1">
        <f t="array" ref="J80">IF(J27="","",IF(OR(J51="4H1",J51="4H2",J51="4H3",J51="4H4"),IF(J27="","",IF(AND(J51="4H1",J53=2),LOOKUP(J77,T!$B308:$B315,T!$M308:$M321),IF(AND(J51="4H1",J53=3),LOOKUP(J77,T!$C308:$C315,T!$M308:$M321),IF(AND(J51="4H1",J53=4),LOOKUP(J77,T!$D308:$D318,T!$M308:$M321),IF(AND(J51="4H1",J53=5),LOOKUP(J77,T!$E308:$E318,T!$M308:$M321),IF(AND(J51="4H1",J53=6),LOOKUP(J77,T!$F308:$F321,T!$M308:$M321),IF(AND(J51="4H1",J53=7),LOOKUP(J77,T!$G308:$G321,T!$M308:$M321),IF(AND(J51="4H1",J53=8),LOOKUP(J77,T!$H308:$H321,T!$M308:$M321),IF(AND(J51="4H1",J53=9),LOOKUP(J77,T!$I305:$I321,T!$M308:$M321),IF(AND(J51="4H1",J53=10),LOOKUP(J77,T!$J308:$J321,T!$M308:$M321),IF(AND(J51="4H1",J53=11),LOOKUP(J77,T!$K308:$K321,T!$M308:$M321),IF(AND(J51="4H1",J53=12),LOOKUP(J77,T!$L308:$L321,T!$M308:$M321),IF(AND(J51="4H2",J53=2),LOOKUP(J77,T!$B327:$B332,T!$J327:$J337),IF(AND(J51="4H2",J53=3),LOOKUP(J77,T!$C327:$C337,T!$J327:$J337),IF(AND(J51="4H2",J53=4),LOOKUP(J77,T!$D327:$D332,T!$J327:$J337),IF(AND(J51="4H2",J53=5),LOOKUP(J77,T!$E327:$E337,T!$J327:$J337),IF(AND(J51="4H2",J53=6),LOOKUP(J77,T!$F327:$F332,T!$J327:$J337),IF(AND(J51="4H2",J53=7),LOOKUP(J77,T!$G327:$G337,T!$G327:$J337),IF(AND(J51="4H2",J53=8),LOOKUP(J77,T!$H327:$H332,T!$J327:$J337),IF(AND(J51="4H2",J53=9),LOOKUP(J77,T!$I327:$I337,T!$J327:$J337),IF(AND(J51="4H3",J53=2),LOOKUP(J77,T!$B343:$B356,T!$M343:$M356),IF(AND(J51="4H3",J53=3),LOOKUP(J77,T!$C343:$C356,T!$M343:$M356),IF(AND(J51="4H3",J53=4),LOOKUP(J77,T!$D343:$D356,T!$M343:$M356),IF(AND(J51="4H3",J53=5),LOOKUP(J77,T!$E343:$E356,T!$M343:$M356),IF(AND(J51="4H3",J53=6),LOOKUP(J77,T!$F343:$F356,T!$M343:$M356),IF(AND(J51="4H3",J53=7),LOOKUP(J77,T!$G343:$G356,T!$M343:$M356),IF(AND(J51="4H3",J53=8),LOOKUP(J77,T!$H343:$H356,T!$M343:$M356),IF(AND(J51="4H3",J53=9),LOOKUP(J77,T!$I343:$I356,T!$M343:$M356),IF(AND(J51="4H3",J53=10),LOOKUP(J77,T!$J343:$J356,T!$M343:$M356),IF(AND(J51="4H3",J53=11),LOOKUP(J77,T!$K343:$K356,T!$M343:$M356),IF(AND(J51="4H3",J53=12),LOOKUP(J77,T!$L343:$L356,T!$M343:$M356),IF(AND(J51="4H4",J53=2),LOOKUP(J77,T!$B362:$B367,T!$H362:$H372),IF(AND(J51="4H4",J53=3),LOOKUP(J77,T!$C362:$C372,T!$H362:$H372),IF(AND(J51="4H4",J53=4),LOOKUP(J77,T!$D362:$D367,T!$H362:$H372),IF(AND(J51="4H4",J53=5),LOOKUP(J77,T!$E362:$E372,T!$H362:$H372),IF(AND(J51="4H4",J53=6),LOOKUP(J77,T!$F363:$F367,T!$H363:$H372),IF(AND(J51="4H4",J53=7),LOOKUP(T!$G363:$G372,T!$H363:$H372),"-"))))))))))))))))))))))))))))))))))))),IF(OR(J51="4J1",J51="4J2",J51="4J3",J51="4J4"),IF(AND(J51="4J1",J53=2),LOOKUP(J77,T!$B378:$B385,T!$M378:$M391),IF(AND(J51="4J1",J53=3),LOOKUP(J77,T!$C378:$C385,T!$M378:$M391),IF(AND(J51="4J1",J53=4),LOOKUP(J77,T!$D378:$D385,T!$M378:$M391),IF(AND(J51="4J1",J53=5),LOOKUP(J77,T!$E378:$E385,T!$M378:$M391),IF(AND(J51="4J1",J53=6),LOOKUP(J77,T!$F378:$F391,T!$M378:$M391),IF(AND(J51="4J1",J53=7),LOOKUP(J77,T!$G378:$G391,T!$M378:$M391),IF(AND(J51="4J1",J53=8),LOOKUP(J77,T!$H378:$H391,T!$M378:$M391),IF(AND(J51="4J1",J53=9),LOOKUP(J77,T!$I378:$I391,T!$M378:$M391),IF(AND(J51="4J1",J53=10),LOOKUP(J77,T!$J378:$J391,T!$M378:$M391),IF(AND(J51="4J1",J53=11),LOOKUP(J77,T!$K378:$K391,T!$M378:$M391),IF(AND(J51="4J1",J53=12),LOOKUP(J77,T!$L378:$L391,T!$M378:$M391),IF(AND(J51="4J2",J53=2),LOOKUP(J77,T!$B397:$B402,T!$J397:$J407),IF(AND(J51="4J2",J53=3),LOOKUP(J77,T!$C397:$C407,T!$J397:$J407),IF(AND(J51="4J2",J53=4),LOOKUP(J77,T!$D397:$D$402,T!$J397:$J407),IF(AND(J51="4J2",J53=5),LOOKUP(J77,T!$E397:$E407),IF(AND(J51="4J2",J53=6),LOOKUP(J77,T!$F397:$F402,T!$J397:$J407),IF(AND(J51="4J2",J53=7),LOOKUP(J77,T!$G397:$G407,T!$J397:$J407),IF(AND(J51="4J2",J53=8),LOOKUP(J77,T!$H397:$H402,T!$J397:$J407),IF(AND(J51="4J2",J53=9),LOOKUP(J77,T!$I397:$I407,T!$J397:$J407),IF(AND(J51="4J3",J53=2),LOOKUP(J77,T!$B413:$B426,T!$M413:$M426),IF(AND(J51="4J3",J53=3),LOOKUP(J77,T!$C413:$C426,T!$M413:$M426),IF(AND(J51="4J3",J53=4),LOOKUP(J77,T!$D413:$D426,T!$M413:$M426),IF(AND(J51="4J3",J53=5),LOOKUP(J77,T!$E413:$E426,T!$M413:$M426),IF(AND(J51="4J3",J53=6),LOOKUP(J77,T!$F413:$F426,T!$M413:$M426),IF(AND(J51="4J3",J53=7),LOOKUP(J77,T!$G413:$G426,T!$M413:$M426),IF(AND(J51="4J3",J53=8),LOOKUP(J77,T!$H413:$H426,T!$M413:$M426),IF(AND(J51="4J3",J53=9),LOOKUP(J77,T!$I413:$I426,T!$M413:$M426),IF(AND(J51="4J3",J53=10),LOOKUP(J77,T!$J413:$J426,T!$M413:$M426),IF(AND(J51="4J3",J53=11),LOOKUP(J77,T!$K413:$K426,T!$M413:$M426),IF(AND(J51="4J3",J53=12),LOOKUP(J77,T!$L413:$L426,T!$M413:$M426),IF(AND(J51="4J4",J53=2),LOOKUP(J77,T!$B432:$B437,T!$H432:$H442),IF(AND(J51="4J4",J53=3),LOOKUP(J77,T!$C432:$C442,T!$H432:$H442),IF(AND(J51="4J4",J53=4),LOOKUP(J77,T!$D872:$D877,T!$H432:$H442),IF(AND(J51="4J4",J53=5),LOOKUP(J77,T!$E432:$E442,T!$H432:$H442),IF(AND(J51="4J4",J53=6),LOOKUP(J77,T!$F432:$F437,T!$H432:$H442),IF(AND(J51="4J4",J53=7),LOOKUP(J77,T!$G432:$G442,T!$H432:$H442),"-")))))))))))))))))))))))))))))))))))),"")))</f>
        <v/>
      </c>
      <c r="K80" s="157" t="str" cm="1">
        <f t="array" ref="K80">IF(K27="","",IF(OR(K51="4H1",K51="4H2",K51="4H3",K51="4H4"),IF(K27="","",IF(AND(K51="4H1",K53=2),LOOKUP(K77,T!$B308:$B315,T!$M308:$M321),IF(AND(K51="4H1",K53=3),LOOKUP(K77,T!$C308:$C315,T!$M308:$M321),IF(AND(K51="4H1",K53=4),LOOKUP(K77,T!$D308:$D318,T!$M308:$M321),IF(AND(K51="4H1",K53=5),LOOKUP(K77,T!$E308:$E318,T!$M308:$M321),IF(AND(K51="4H1",K53=6),LOOKUP(K77,T!$F308:$F321,T!$M308:$M321),IF(AND(K51="4H1",K53=7),LOOKUP(K77,T!$G308:$G321,T!$M308:$M321),IF(AND(K51="4H1",K53=8),LOOKUP(K77,T!$H308:$H321,T!$M308:$M321),IF(AND(K51="4H1",K53=9),LOOKUP(K77,T!$I305:$I321,T!$M308:$M321),IF(AND(K51="4H1",K53=10),LOOKUP(K77,T!$J308:$J321,T!$M308:$M321),IF(AND(K51="4H1",K53=11),LOOKUP(K77,T!$K308:$K321,T!$M308:$M321),IF(AND(K51="4H1",K53=12),LOOKUP(K77,T!$L308:$L321,T!$M308:$M321),IF(AND(K51="4H2",K53=2),LOOKUP(K77,T!$B327:$B332,T!$J327:$J337),IF(AND(K51="4H2",K53=3),LOOKUP(K77,T!$C327:$C337,T!$J327:$J337),IF(AND(K51="4H2",K53=4),LOOKUP(K77,T!$D327:$D332,T!$J327:$J337),IF(AND(K51="4H2",K53=5),LOOKUP(K77,T!$E327:$E337,T!$J327:$J337),IF(AND(K51="4H2",K53=6),LOOKUP(K77,T!$F327:$F332,T!$J327:$J337),IF(AND(K51="4H2",K53=7),LOOKUP(K77,T!$G327:$G337,T!$G327:$J337),IF(AND(K51="4H2",K53=8),LOOKUP(K77,T!$H327:$H332,T!$J327:$J337),IF(AND(K51="4H2",K53=9),LOOKUP(K77,T!$I327:$I337,T!$J327:$J337),IF(AND(K51="4H3",K53=2),LOOKUP(K77,T!$B343:$B356,T!$M343:$M356),IF(AND(K51="4H3",K53=3),LOOKUP(K77,T!$C343:$C356,T!$M343:$M356),IF(AND(K51="4H3",K53=4),LOOKUP(K77,T!$D343:$D356,T!$M343:$M356),IF(AND(K51="4H3",K53=5),LOOKUP(K77,T!$E343:$E356,T!$M343:$M356),IF(AND(K51="4H3",K53=6),LOOKUP(K77,T!$F343:$F356,T!$M343:$M356),IF(AND(K51="4H3",K53=7),LOOKUP(K77,T!$G343:$G356,T!$M343:$M356),IF(AND(K51="4H3",K53=8),LOOKUP(K77,T!$H343:$H356,T!$M343:$M356),IF(AND(K51="4H3",K53=9),LOOKUP(K77,T!$I343:$I356,T!$M343:$M356),IF(AND(K51="4H3",K53=10),LOOKUP(K77,T!$J343:$J356,T!$M343:$M356),IF(AND(K51="4H3",K53=11),LOOKUP(K77,T!$K343:$K356,T!$M343:$M356),IF(AND(K51="4H3",K53=12),LOOKUP(K77,T!$L343:$L356,T!$M343:$M356),IF(AND(K51="4H4",K53=2),LOOKUP(K77,T!$B362:$B367,T!$H362:$H372),IF(AND(K51="4H4",K53=3),LOOKUP(K77,T!$C362:$C372,T!$H362:$H372),IF(AND(K51="4H4",K53=4),LOOKUP(K77,T!$D362:$D367,T!$H362:$H372),IF(AND(K51="4H4",K53=5),LOOKUP(K77,T!$E362:$E372,T!$H362:$H372),IF(AND(K51="4H4",K53=6),LOOKUP(K77,T!$F363:$F367,T!$H363:$H372),IF(AND(K51="4H4",K53=7),LOOKUP(T!$G363:$G372,T!$H363:$H372),"-"))))))))))))))))))))))))))))))))))))),IF(OR(K51="4J1",K51="4J2",K51="4J3",K51="4J4"),IF(AND(K51="4J1",K53=2),LOOKUP(K77,T!$B378:$B385,T!$M378:$M391),IF(AND(K51="4J1",K53=3),LOOKUP(K77,T!$C378:$C385,T!$M378:$M391),IF(AND(K51="4J1",K53=4),LOOKUP(K77,T!$D378:$D385,T!$M378:$M391),IF(AND(K51="4J1",K53=5),LOOKUP(K77,T!$E378:$E385,T!$M378:$M391),IF(AND(K51="4J1",K53=6),LOOKUP(K77,T!$F378:$F391,T!$M378:$M391),IF(AND(K51="4J1",K53=7),LOOKUP(K77,T!$G378:$G391,T!$M378:$M391),IF(AND(K51="4J1",K53=8),LOOKUP(K77,T!$H378:$H391,T!$M378:$M391),IF(AND(K51="4J1",K53=9),LOOKUP(K77,T!$I378:$I391,T!$M378:$M391),IF(AND(K51="4J1",K53=10),LOOKUP(K77,T!$J378:$J391,T!$M378:$M391),IF(AND(K51="4J1",K53=11),LOOKUP(K77,T!$K378:$K391,T!$M378:$M391),IF(AND(K51="4J1",K53=12),LOOKUP(K77,T!$L378:$L391,T!$M378:$M391),IF(AND(K51="4J2",K53=2),LOOKUP(K77,T!$B397:$B402,T!$J397:$J407),IF(AND(K51="4J2",K53=3),LOOKUP(K77,T!$C397:$C407,T!$J397:$J407),IF(AND(K51="4J2",K53=4),LOOKUP(K77,T!$D397:$D$402,T!$J397:$J407),IF(AND(K51="4J2",K53=5),LOOKUP(K77,T!$E397:$E407),IF(AND(K51="4J2",K53=6),LOOKUP(K77,T!$F397:$F402,T!$J397:$J407),IF(AND(K51="4J2",K53=7),LOOKUP(K77,T!$G397:$G407,T!$J397:$J407),IF(AND(K51="4J2",K53=8),LOOKUP(K77,T!$H397:$H402,T!$J397:$J407),IF(AND(K51="4J2",K53=9),LOOKUP(K77,T!$I397:$I407,T!$J397:$J407),IF(AND(K51="4J3",K53=2),LOOKUP(K77,T!$B413:$B426,T!$M413:$M426),IF(AND(K51="4J3",K53=3),LOOKUP(K77,T!$C413:$C426,T!$M413:$M426),IF(AND(K51="4J3",K53=4),LOOKUP(K77,T!$D413:$D426,T!$M413:$M426),IF(AND(K51="4J3",K53=5),LOOKUP(K77,T!$E413:$E426,T!$M413:$M426),IF(AND(K51="4J3",K53=6),LOOKUP(K77,T!$F413:$F426,T!$M413:$M426),IF(AND(K51="4J3",K53=7),LOOKUP(K77,T!$G413:$G426,T!$M413:$M426),IF(AND(K51="4J3",K53=8),LOOKUP(K77,T!$H413:$H426,T!$M413:$M426),IF(AND(K51="4J3",K53=9),LOOKUP(K77,T!$I413:$I426,T!$M413:$M426),IF(AND(K51="4J3",K53=10),LOOKUP(K77,T!$J413:$J426,T!$M413:$M426),IF(AND(K51="4J3",K53=11),LOOKUP(K77,T!$K413:$K426,T!$M413:$M426),IF(AND(K51="4J3",K53=12),LOOKUP(K77,T!$L413:$L426,T!$M413:$M426),IF(AND(K51="4J4",K53=2),LOOKUP(K77,T!$B432:$B437,T!$H432:$H442),IF(AND(K51="4J4",K53=3),LOOKUP(K77,T!$C432:$C442,T!$H432:$H442),IF(AND(K51="4J4",K53=4),LOOKUP(K77,T!$D872:$D877,T!$H432:$H442),IF(AND(K51="4J4",K53=5),LOOKUP(K77,T!$E432:$E442,T!$H432:$H442),IF(AND(K51="4J4",K53=6),LOOKUP(K77,T!$F432:$F437,T!$H432:$H442),IF(AND(K51="4J4",K53=7),LOOKUP(K77,T!$G432:$G442,T!$H432:$H442),"-")))))))))))))))))))))))))))))))))))),"")))</f>
        <v/>
      </c>
      <c r="L80" s="157" t="str" cm="1">
        <f t="array" ref="L80">IF(L27="","",IF(OR(L51="4H1",L51="4H2",L51="4H3",L51="4H4"),IF(L27="","",IF(AND(L51="4H1",L53=2),LOOKUP(L77,T!$B308:$B315,T!$M308:$M321),IF(AND(L51="4H1",L53=3),LOOKUP(L77,T!$C308:$C315,T!$M308:$M321),IF(AND(L51="4H1",L53=4),LOOKUP(L77,T!$D308:$D318,T!$M308:$M321),IF(AND(L51="4H1",L53=5),LOOKUP(L77,T!$E308:$E318,T!$M308:$M321),IF(AND(L51="4H1",L53=6),LOOKUP(L77,T!$F308:$F321,T!$M308:$M321),IF(AND(L51="4H1",L53=7),LOOKUP(L77,T!$G308:$G321,T!$M308:$M321),IF(AND(L51="4H1",L53=8),LOOKUP(L77,T!$H308:$H321,T!$M308:$M321),IF(AND(L51="4H1",L53=9),LOOKUP(L77,T!$I305:$I321,T!$M308:$M321),IF(AND(L51="4H1",L53=10),LOOKUP(L77,T!$J308:$J321,T!$M308:$M321),IF(AND(L51="4H1",L53=11),LOOKUP(L77,T!$K308:$K321,T!$M308:$M321),IF(AND(L51="4H1",L53=12),LOOKUP(L77,T!$L308:$L321,T!$M308:$M321),IF(AND(L51="4H2",L53=2),LOOKUP(L77,T!$B327:$B332,T!$J327:$J337),IF(AND(L51="4H2",L53=3),LOOKUP(L77,T!$C327:$C337,T!$J327:$J337),IF(AND(L51="4H2",L53=4),LOOKUP(L77,T!$D327:$D332,T!$J327:$J337),IF(AND(L51="4H2",L53=5),LOOKUP(L77,T!$E327:$E337,T!$J327:$J337),IF(AND(L51="4H2",L53=6),LOOKUP(L77,T!$F327:$F332,T!$J327:$J337),IF(AND(L51="4H2",L53=7),LOOKUP(L77,T!$G327:$G337,T!$G327:$J337),IF(AND(L51="4H2",L53=8),LOOKUP(L77,T!$H327:$H332,T!$J327:$J337),IF(AND(L51="4H2",L53=9),LOOKUP(L77,T!$I327:$I337,T!$J327:$J337),IF(AND(L51="4H3",L53=2),LOOKUP(L77,T!$B343:$B356,T!$M343:$M356),IF(AND(L51="4H3",L53=3),LOOKUP(L77,T!$C343:$C356,T!$M343:$M356),IF(AND(L51="4H3",L53=4),LOOKUP(L77,T!$D343:$D356,T!$M343:$M356),IF(AND(L51="4H3",L53=5),LOOKUP(L77,T!$E343:$E356,T!$M343:$M356),IF(AND(L51="4H3",L53=6),LOOKUP(L77,T!$F343:$F356,T!$M343:$M356),IF(AND(L51="4H3",L53=7),LOOKUP(L77,T!$G343:$G356,T!$M343:$M356),IF(AND(L51="4H3",L53=8),LOOKUP(L77,T!$H343:$H356,T!$M343:$M356),IF(AND(L51="4H3",L53=9),LOOKUP(L77,T!$I343:$I356,T!$M343:$M356),IF(AND(L51="4H3",L53=10),LOOKUP(L77,T!$J343:$J356,T!$M343:$M356),IF(AND(L51="4H3",L53=11),LOOKUP(L77,T!$K343:$K356,T!$M343:$M356),IF(AND(L51="4H3",L53=12),LOOKUP(L77,T!$L343:$L356,T!$M343:$M356),IF(AND(L51="4H4",L53=2),LOOKUP(L77,T!$B362:$B367,T!$H362:$H372),IF(AND(L51="4H4",L53=3),LOOKUP(L77,T!$C362:$C372,T!$H362:$H372),IF(AND(L51="4H4",L53=4),LOOKUP(L77,T!$D362:$D367,T!$H362:$H372),IF(AND(L51="4H4",L53=5),LOOKUP(L77,T!$E362:$E372,T!$H362:$H372),IF(AND(L51="4H4",L53=6),LOOKUP(L77,T!$F363:$F367,T!$H363:$H372),IF(AND(L51="4H4",L53=7),LOOKUP(T!$G363:$G372,T!$H363:$H372),"-"))))))))))))))))))))))))))))))))))))),IF(OR(L51="4J1",L51="4J2",L51="4J3",L51="4J4"),IF(AND(L51="4J1",L53=2),LOOKUP(L77,T!$B378:$B385,T!$M378:$M391),IF(AND(L51="4J1",L53=3),LOOKUP(L77,T!$C378:$C385,T!$M378:$M391),IF(AND(L51="4J1",L53=4),LOOKUP(L77,T!$D378:$D385,T!$M378:$M391),IF(AND(L51="4J1",L53=5),LOOKUP(L77,T!$E378:$E385,T!$M378:$M391),IF(AND(L51="4J1",L53=6),LOOKUP(L77,T!$F378:$F391,T!$M378:$M391),IF(AND(L51="4J1",L53=7),LOOKUP(L77,T!$G378:$G391,T!$M378:$M391),IF(AND(L51="4J1",L53=8),LOOKUP(L77,T!$H378:$H391,T!$M378:$M391),IF(AND(L51="4J1",L53=9),LOOKUP(L77,T!$I378:$I391,T!$M378:$M391),IF(AND(L51="4J1",L53=10),LOOKUP(L77,T!$J378:$J391,T!$M378:$M391),IF(AND(L51="4J1",L53=11),LOOKUP(L77,T!$K378:$K391,T!$M378:$M391),IF(AND(L51="4J1",L53=12),LOOKUP(L77,T!$L378:$L391,T!$M378:$M391),IF(AND(L51="4J2",L53=2),LOOKUP(L77,T!$B397:$B402,T!$J397:$J407),IF(AND(L51="4J2",L53=3),LOOKUP(L77,T!$C397:$C407,T!$J397:$J407),IF(AND(L51="4J2",L53=4),LOOKUP(L77,T!$D397:$D$402,T!$J397:$J407),IF(AND(L51="4J2",L53=5),LOOKUP(L77,T!$E397:$E407),IF(AND(L51="4J2",L53=6),LOOKUP(L77,T!$F397:$F402,T!$J397:$J407),IF(AND(L51="4J2",L53=7),LOOKUP(L77,T!$G397:$G407,T!$J397:$J407),IF(AND(L51="4J2",L53=8),LOOKUP(L77,T!$H397:$H402,T!$J397:$J407),IF(AND(L51="4J2",L53=9),LOOKUP(L77,T!$I397:$I407,T!$J397:$J407),IF(AND(L51="4J3",L53=2),LOOKUP(L77,T!$B413:$B426,T!$M413:$M426),IF(AND(L51="4J3",L53=3),LOOKUP(L77,T!$C413:$C426,T!$M413:$M426),IF(AND(L51="4J3",L53=4),LOOKUP(L77,T!$D413:$D426,T!$M413:$M426),IF(AND(L51="4J3",L53=5),LOOKUP(L77,T!$E413:$E426,T!$M413:$M426),IF(AND(L51="4J3",L53=6),LOOKUP(L77,T!$F413:$F426,T!$M413:$M426),IF(AND(L51="4J3",L53=7),LOOKUP(L77,T!$G413:$G426,T!$M413:$M426),IF(AND(L51="4J3",L53=8),LOOKUP(L77,T!$H413:$H426,T!$M413:$M426),IF(AND(L51="4J3",L53=9),LOOKUP(L77,T!$I413:$I426,T!$M413:$M426),IF(AND(L51="4J3",L53=10),LOOKUP(L77,T!$J413:$J426,T!$M413:$M426),IF(AND(L51="4J3",L53=11),LOOKUP(L77,T!$K413:$K426,T!$M413:$M426),IF(AND(L51="4J3",L53=12),LOOKUP(L77,T!$L413:$L426,T!$M413:$M426),IF(AND(L51="4J4",L53=2),LOOKUP(L77,T!$B432:$B437,T!$H432:$H442),IF(AND(L51="4J4",L53=3),LOOKUP(L77,T!$C432:$C442,T!$H432:$H442),IF(AND(L51="4J4",L53=4),LOOKUP(L77,T!$D872:$D877,T!$H432:$H442),IF(AND(L51="4J4",L53=5),LOOKUP(L77,T!$E432:$E442,T!$H432:$H442),IF(AND(L51="4J4",L53=6),LOOKUP(L77,T!$F432:$F437,T!$H432:$H442),IF(AND(L51="4J4",L53=7),LOOKUP(L77,T!$G432:$G442,T!$H432:$H442),"-")))))))))))))))))))))))))))))))))))),"")))</f>
        <v/>
      </c>
      <c r="M80" s="157" t="str" cm="1">
        <f t="array" ref="M80">IF(M27="","",IF(OR(M51="4H1",M51="4H2",M51="4H3",M51="4H4"),IF(M27="","",IF(AND(M51="4H1",M53=2),LOOKUP(M77,T!$B308:$B315,T!$M308:$M321),IF(AND(M51="4H1",M53=3),LOOKUP(M77,T!$C308:$C315,T!$M308:$M321),IF(AND(M51="4H1",M53=4),LOOKUP(M77,T!$D308:$D318,T!$M308:$M321),IF(AND(M51="4H1",M53=5),LOOKUP(M77,T!$E308:$E318,T!$M308:$M321),IF(AND(M51="4H1",M53=6),LOOKUP(M77,T!$F308:$F321,T!$M308:$M321),IF(AND(M51="4H1",M53=7),LOOKUP(M77,T!$G308:$G321,T!$M308:$M321),IF(AND(M51="4H1",M53=8),LOOKUP(M77,T!$H308:$H321,T!$M308:$M321),IF(AND(M51="4H1",M53=9),LOOKUP(M77,T!$I305:$I321,T!$M308:$M321),IF(AND(M51="4H1",M53=10),LOOKUP(M77,T!$J308:$J321,T!$M308:$M321),IF(AND(M51="4H1",M53=11),LOOKUP(M77,T!$K308:$K321,T!$M308:$M321),IF(AND(M51="4H1",M53=12),LOOKUP(M77,T!$L308:$L321,T!$M308:$M321),IF(AND(M51="4H2",M53=2),LOOKUP(M77,T!$B327:$B332,T!$J327:$J337),IF(AND(M51="4H2",M53=3),LOOKUP(M77,T!$C327:$C337,T!$J327:$J337),IF(AND(M51="4H2",M53=4),LOOKUP(M77,T!$D327:$D332,T!$J327:$J337),IF(AND(M51="4H2",M53=5),LOOKUP(M77,T!$E327:$E337,T!$J327:$J337),IF(AND(M51="4H2",M53=6),LOOKUP(M77,T!$F327:$F332,T!$J327:$J337),IF(AND(M51="4H2",M53=7),LOOKUP(M77,T!$G327:$G337,T!$G327:$J337),IF(AND(M51="4H2",M53=8),LOOKUP(M77,T!$H327:$H332,T!$J327:$J337),IF(AND(M51="4H2",M53=9),LOOKUP(M77,T!$I327:$I337,T!$J327:$J337),IF(AND(M51="4H3",M53=2),LOOKUP(M77,T!$B343:$B356,T!$M343:$M356),IF(AND(M51="4H3",M53=3),LOOKUP(M77,T!$C343:$C356,T!$M343:$M356),IF(AND(M51="4H3",M53=4),LOOKUP(M77,T!$D343:$D356,T!$M343:$M356),IF(AND(M51="4H3",M53=5),LOOKUP(M77,T!$E343:$E356,T!$M343:$M356),IF(AND(M51="4H3",M53=6),LOOKUP(M77,T!$F343:$F356,T!$M343:$M356),IF(AND(M51="4H3",M53=7),LOOKUP(M77,T!$G343:$G356,T!$M343:$M356),IF(AND(M51="4H3",M53=8),LOOKUP(M77,T!$H343:$H356,T!$M343:$M356),IF(AND(M51="4H3",M53=9),LOOKUP(M77,T!$I343:$I356,T!$M343:$M356),IF(AND(M51="4H3",M53=10),LOOKUP(M77,T!$J343:$J356,T!$M343:$M356),IF(AND(M51="4H3",M53=11),LOOKUP(M77,T!$K343:$K356,T!$M343:$M356),IF(AND(M51="4H3",M53=12),LOOKUP(M77,T!$L343:$L356,T!$M343:$M356),IF(AND(M51="4H4",M53=2),LOOKUP(M77,T!$B362:$B367,T!$H362:$H372),IF(AND(M51="4H4",M53=3),LOOKUP(M77,T!$C362:$C372,T!$H362:$H372),IF(AND(M51="4H4",M53=4),LOOKUP(M77,T!$D362:$D367,T!$H362:$H372),IF(AND(M51="4H4",M53=5),LOOKUP(M77,T!$E362:$E372,T!$H362:$H372),IF(AND(M51="4H4",M53=6),LOOKUP(M77,T!$F363:$F367,T!$H363:$H372),IF(AND(M51="4H4",M53=7),LOOKUP(T!$G363:$G372,T!$H363:$H372),"-"))))))))))))))))))))))))))))))))))))),IF(OR(M51="4J1",M51="4J2",M51="4J3",M51="4J4"),IF(AND(M51="4J1",M53=2),LOOKUP(M77,T!$B378:$B385,T!$M378:$M391),IF(AND(M51="4J1",M53=3),LOOKUP(M77,T!$C378:$C385,T!$M378:$M391),IF(AND(M51="4J1",M53=4),LOOKUP(M77,T!$D378:$D385,T!$M378:$M391),IF(AND(M51="4J1",M53=5),LOOKUP(M77,T!$E378:$E385,T!$M378:$M391),IF(AND(M51="4J1",M53=6),LOOKUP(M77,T!$F378:$F391,T!$M378:$M391),IF(AND(M51="4J1",M53=7),LOOKUP(M77,T!$G378:$G391,T!$M378:$M391),IF(AND(M51="4J1",M53=8),LOOKUP(M77,T!$H378:$H391,T!$M378:$M391),IF(AND(M51="4J1",M53=9),LOOKUP(M77,T!$I378:$I391,T!$M378:$M391),IF(AND(M51="4J1",M53=10),LOOKUP(M77,T!$J378:$J391,T!$M378:$M391),IF(AND(M51="4J1",M53=11),LOOKUP(M77,T!$K378:$K391,T!$M378:$M391),IF(AND(M51="4J1",M53=12),LOOKUP(M77,T!$L378:$L391,T!$M378:$M391),IF(AND(M51="4J2",M53=2),LOOKUP(M77,T!$B397:$B402,T!$J397:$J407),IF(AND(M51="4J2",M53=3),LOOKUP(M77,T!$C397:$C407,T!$J397:$J407),IF(AND(M51="4J2",M53=4),LOOKUP(M77,T!$D397:$D$402,T!$J397:$J407),IF(AND(M51="4J2",M53=5),LOOKUP(M77,T!$E397:$E407),IF(AND(M51="4J2",M53=6),LOOKUP(M77,T!$F397:$F402,T!$J397:$J407),IF(AND(M51="4J2",M53=7),LOOKUP(M77,T!$G397:$G407,T!$J397:$J407),IF(AND(M51="4J2",M53=8),LOOKUP(M77,T!$H397:$H402,T!$J397:$J407),IF(AND(M51="4J2",M53=9),LOOKUP(M77,T!$I397:$I407,T!$J397:$J407),IF(AND(M51="4J3",M53=2),LOOKUP(M77,T!$B413:$B426,T!$M413:$M426),IF(AND(M51="4J3",M53=3),LOOKUP(M77,T!$C413:$C426,T!$M413:$M426),IF(AND(M51="4J3",M53=4),LOOKUP(M77,T!$D413:$D426,T!$M413:$M426),IF(AND(M51="4J3",M53=5),LOOKUP(M77,T!$E413:$E426,T!$M413:$M426),IF(AND(M51="4J3",M53=6),LOOKUP(M77,T!$F413:$F426,T!$M413:$M426),IF(AND(M51="4J3",M53=7),LOOKUP(M77,T!$G413:$G426,T!$M413:$M426),IF(AND(M51="4J3",M53=8),LOOKUP(M77,T!$H413:$H426,T!$M413:$M426),IF(AND(M51="4J3",M53=9),LOOKUP(M77,T!$I413:$I426,T!$M413:$M426),IF(AND(M51="4J3",M53=10),LOOKUP(M77,T!$J413:$J426,T!$M413:$M426),IF(AND(M51="4J3",M53=11),LOOKUP(M77,T!$K413:$K426,T!$M413:$M426),IF(AND(M51="4J3",M53=12),LOOKUP(M77,T!$L413:$L426,T!$M413:$M426),IF(AND(M51="4J4",M53=2),LOOKUP(M77,T!$B432:$B437,T!$H432:$H442),IF(AND(M51="4J4",M53=3),LOOKUP(M77,T!$C432:$C442,T!$H432:$H442),IF(AND(M51="4J4",M53=4),LOOKUP(M77,T!$D872:$D877,T!$H432:$H442),IF(AND(M51="4J4",M53=5),LOOKUP(M77,T!$E432:$E442,T!$H432:$H442),IF(AND(M51="4J4",M53=6),LOOKUP(M77,T!$F432:$F437,T!$H432:$H442),IF(AND(M51="4J4",M53=7),LOOKUP(M77,T!$G432:$G442,T!$H432:$H442),"-")))))))))))))))))))))))))))))))))))),"")))</f>
        <v/>
      </c>
      <c r="N80" s="157" t="str" cm="1">
        <f t="array" ref="N80">IF(N27="","",IF(OR(N51="4H1",N51="4H2",N51="4H3",N51="4H4"),IF(N27="","",IF(AND(N51="4H1",N53=2),LOOKUP(N77,T!$B308:$B315,T!$M308:$M321),IF(AND(N51="4H1",N53=3),LOOKUP(N77,T!$C308:$C315,T!$M308:$M321),IF(AND(N51="4H1",N53=4),LOOKUP(N77,T!$D308:$D318,T!$M308:$M321),IF(AND(N51="4H1",N53=5),LOOKUP(N77,T!$E308:$E318,T!$M308:$M321),IF(AND(N51="4H1",N53=6),LOOKUP(N77,T!$F308:$F321,T!$M308:$M321),IF(AND(N51="4H1",N53=7),LOOKUP(N77,T!$G308:$G321,T!$M308:$M321),IF(AND(N51="4H1",N53=8),LOOKUP(N77,T!$H308:$H321,T!$M308:$M321),IF(AND(N51="4H1",N53=9),LOOKUP(N77,T!$I305:$I321,T!$M308:$M321),IF(AND(N51="4H1",N53=10),LOOKUP(N77,T!$J308:$J321,T!$M308:$M321),IF(AND(N51="4H1",N53=11),LOOKUP(N77,T!$K308:$K321,T!$M308:$M321),IF(AND(N51="4H1",N53=12),LOOKUP(N77,T!$L308:$L321,T!$M308:$M321),IF(AND(N51="4H2",N53=2),LOOKUP(N77,T!$B327:$B332,T!$J327:$J337),IF(AND(N51="4H2",N53=3),LOOKUP(N77,T!$C327:$C337,T!$J327:$J337),IF(AND(N51="4H2",N53=4),LOOKUP(N77,T!$D327:$D332,T!$J327:$J337),IF(AND(N51="4H2",N53=5),LOOKUP(N77,T!$E327:$E337,T!$J327:$J337),IF(AND(N51="4H2",N53=6),LOOKUP(N77,T!$F327:$F332,T!$J327:$J337),IF(AND(N51="4H2",N53=7),LOOKUP(N77,T!$G327:$G337,T!$G327:$J337),IF(AND(N51="4H2",N53=8),LOOKUP(N77,T!$H327:$H332,T!$J327:$J337),IF(AND(N51="4H2",N53=9),LOOKUP(N77,T!$I327:$I337,T!$J327:$J337),IF(AND(N51="4H3",N53=2),LOOKUP(N77,T!$B343:$B356,T!$M343:$M356),IF(AND(N51="4H3",N53=3),LOOKUP(N77,T!$C343:$C356,T!$M343:$M356),IF(AND(N51="4H3",N53=4),LOOKUP(N77,T!$D343:$D356,T!$M343:$M356),IF(AND(N51="4H3",N53=5),LOOKUP(N77,T!$E343:$E356,T!$M343:$M356),IF(AND(N51="4H3",N53=6),LOOKUP(N77,T!$F343:$F356,T!$M343:$M356),IF(AND(N51="4H3",N53=7),LOOKUP(N77,T!$G343:$G356,T!$M343:$M356),IF(AND(N51="4H3",N53=8),LOOKUP(N77,T!$H343:$H356,T!$M343:$M356),IF(AND(N51="4H3",N53=9),LOOKUP(N77,T!$I343:$I356,T!$M343:$M356),IF(AND(N51="4H3",N53=10),LOOKUP(N77,T!$J343:$J356,T!$M343:$M356),IF(AND(N51="4H3",N53=11),LOOKUP(N77,T!$K343:$K356,T!$M343:$M356),IF(AND(N51="4H3",N53=12),LOOKUP(N77,T!$L343:$L356,T!$M343:$M356),IF(AND(N51="4H4",N53=2),LOOKUP(N77,T!$B362:$B367,T!$H362:$H372),IF(AND(N51="4H4",N53=3),LOOKUP(N77,T!$C362:$C372,T!$H362:$H372),IF(AND(N51="4H4",N53=4),LOOKUP(N77,T!$D362:$D367,T!$H362:$H372),IF(AND(N51="4H4",N53=5),LOOKUP(N77,T!$E362:$E372,T!$H362:$H372),IF(AND(N51="4H4",N53=6),LOOKUP(N77,T!$F363:$F367,T!$H363:$H372),IF(AND(N51="4H4",N53=7),LOOKUP(T!$G363:$G372,T!$H363:$H372),"-"))))))))))))))))))))))))))))))))))))),IF(OR(N51="4J1",N51="4J2",N51="4J3",N51="4J4"),IF(AND(N51="4J1",N53=2),LOOKUP(N77,T!$B378:$B385,T!$M378:$M391),IF(AND(N51="4J1",N53=3),LOOKUP(N77,T!$C378:$C385,T!$M378:$M391),IF(AND(N51="4J1",N53=4),LOOKUP(N77,T!$D378:$D385,T!$M378:$M391),IF(AND(N51="4J1",N53=5),LOOKUP(N77,T!$E378:$E385,T!$M378:$M391),IF(AND(N51="4J1",N53=6),LOOKUP(N77,T!$F378:$F391,T!$M378:$M391),IF(AND(N51="4J1",N53=7),LOOKUP(N77,T!$G378:$G391,T!$M378:$M391),IF(AND(N51="4J1",N53=8),LOOKUP(N77,T!$H378:$H391,T!$M378:$M391),IF(AND(N51="4J1",N53=9),LOOKUP(N77,T!$I378:$I391,T!$M378:$M391),IF(AND(N51="4J1",N53=10),LOOKUP(N77,T!$J378:$J391,T!$M378:$M391),IF(AND(N51="4J1",N53=11),LOOKUP(N77,T!$K378:$K391,T!$M378:$M391),IF(AND(N51="4J1",N53=12),LOOKUP(N77,T!$L378:$L391,T!$M378:$M391),IF(AND(N51="4J2",N53=2),LOOKUP(N77,T!$B397:$B402,T!$J397:$J407),IF(AND(N51="4J2",N53=3),LOOKUP(N77,T!$C397:$C407,T!$J397:$J407),IF(AND(N51="4J2",N53=4),LOOKUP(N77,T!$D397:$D$402,T!$J397:$J407),IF(AND(N51="4J2",N53=5),LOOKUP(N77,T!$E397:$E407),IF(AND(N51="4J2",N53=6),LOOKUP(N77,T!$F397:$F402,T!$J397:$J407),IF(AND(N51="4J2",N53=7),LOOKUP(N77,T!$G397:$G407,T!$J397:$J407),IF(AND(N51="4J2",N53=8),LOOKUP(N77,T!$H397:$H402,T!$J397:$J407),IF(AND(N51="4J2",N53=9),LOOKUP(N77,T!$I397:$I407,T!$J397:$J407),IF(AND(N51="4J3",N53=2),LOOKUP(N77,T!$B413:$B426,T!$M413:$M426),IF(AND(N51="4J3",N53=3),LOOKUP(N77,T!$C413:$C426,T!$M413:$M426),IF(AND(N51="4J3",N53=4),LOOKUP(N77,T!$D413:$D426,T!$M413:$M426),IF(AND(N51="4J3",N53=5),LOOKUP(N77,T!$E413:$E426,T!$M413:$M426),IF(AND(N51="4J3",N53=6),LOOKUP(N77,T!$F413:$F426,T!$M413:$M426),IF(AND(N51="4J3",N53=7),LOOKUP(N77,T!$G413:$G426,T!$M413:$M426),IF(AND(N51="4J3",N53=8),LOOKUP(N77,T!$H413:$H426,T!$M413:$M426),IF(AND(N51="4J3",N53=9),LOOKUP(N77,T!$I413:$I426,T!$M413:$M426),IF(AND(N51="4J3",N53=10),LOOKUP(N77,T!$J413:$J426,T!$M413:$M426),IF(AND(N51="4J3",N53=11),LOOKUP(N77,T!$K413:$K426,T!$M413:$M426),IF(AND(N51="4J3",N53=12),LOOKUP(N77,T!$L413:$L426,T!$M413:$M426),IF(AND(N51="4J4",N53=2),LOOKUP(N77,T!$B432:$B437,T!$H432:$H442),IF(AND(N51="4J4",N53=3),LOOKUP(N77,T!$C432:$C442,T!$H432:$H442),IF(AND(N51="4J4",N53=4),LOOKUP(N77,T!$D872:$D877,T!$H432:$H442),IF(AND(N51="4J4",N53=5),LOOKUP(N77,T!$E432:$E442,T!$H432:$H442),IF(AND(N51="4J4",N53=6),LOOKUP(N77,T!$F432:$F437,T!$H432:$H442),IF(AND(N51="4J4",N53=7),LOOKUP(N77,T!$G432:$G442,T!$H432:$H442),"-")))))))))))))))))))))))))))))))))))),"")))</f>
        <v/>
      </c>
      <c r="O80" s="148" t="str">
        <f t="shared" si="18"/>
        <v/>
      </c>
    </row>
    <row r="81" spans="1:15" s="128" customFormat="1" ht="16">
      <c r="A81" s="134"/>
      <c r="B81" s="181" t="s">
        <v>2127</v>
      </c>
      <c r="C81" s="134"/>
      <c r="D81" s="134" cm="1">
        <f t="array" ref="D81">IF(D$29="","",IF(OR(D78&lt;&gt;"",D79&lt;&gt;"",D80&lt;&gt;""),IF(D94&gt;20,INDEX(T!$P$6:$P$29,MATCH(TRUE,INDEX(T!$P$6:$P$29&gt;D78,0),)),D78)))</f>
        <v>4</v>
      </c>
      <c r="E81" s="134" cm="1">
        <f t="array" aca="1" ref="E81" ca="1">IF(E$29="","",IF(OR(E78&lt;&gt;"",E79&lt;&gt;"",E80&lt;&gt;""),IF(E94&gt;20,INDEX(T!$P$6:$P$29,MATCH(TRUE,INDEX(T!$P$6:$P$29&gt;E78,0),)),E78)))</f>
        <v>10</v>
      </c>
      <c r="F81" s="134" cm="1">
        <f t="array" aca="1" ref="F81" ca="1">IF(F$29="","",IF(OR(F78&lt;&gt;"",F79&lt;&gt;"",F80&lt;&gt;""),IF(F94&gt;20,INDEX(T!$P$6:$P$29,MATCH(TRUE,INDEX(T!$P$6:$P$29&gt;F78,0),)),F78)))</f>
        <v>10</v>
      </c>
      <c r="G81" s="134" cm="1">
        <f t="array" aca="1" ref="G81" ca="1">IF(G$29="","",IF(OR(G78&lt;&gt;"",G79&lt;&gt;"",G80&lt;&gt;""),IF(G94&gt;20,INDEX(T!$P$6:$P$29,MATCH(TRUE,INDEX(T!$P$6:$P$29&gt;G78,0),)),G78)))</f>
        <v>10</v>
      </c>
      <c r="H81" s="134" cm="1">
        <f t="array" aca="1" ref="H81" ca="1">IF(H$29="","",IF(OR(H78&lt;&gt;"",H79&lt;&gt;"",H80&lt;&gt;""),IF(H94&gt;20,INDEX(T!$P$6:$P$29,MATCH(TRUE,INDEX(T!$P$6:$P$29&gt;H78,0),)),H78)))</f>
        <v>10</v>
      </c>
      <c r="I81" s="134" cm="1">
        <f t="array" ref="I81">IF(I$29="","",IF(OR(I78&lt;&gt;"",I79&lt;&gt;"",I80&lt;&gt;""),IF(I94&gt;20,INDEX(T!$P$6:$P$29,MATCH(TRUE,INDEX(T!$P$6:$P$29&gt;I78,0),)),I78)))</f>
        <v>25</v>
      </c>
      <c r="J81" s="134" cm="1">
        <f t="array" ref="J81">IF(J$29="","",IF(OR(J78&lt;&gt;"",J79&lt;&gt;"",J80&lt;&gt;""),IF(J94&gt;20,INDEX(T!$P$6:$P$29,MATCH(TRUE,INDEX(T!$P$6:$P$29&gt;J78,0),)),J78)))</f>
        <v>4</v>
      </c>
      <c r="K81" s="134" cm="1">
        <f t="array" ref="K81">IF(K$29="","",IF(OR(K78&lt;&gt;"",K79&lt;&gt;"",K80&lt;&gt;""),IF(K94&gt;20,INDEX(T!$P$6:$P$29,MATCH(TRUE,INDEX(T!$P$6:$P$29&gt;K78,0),)),K78)))</f>
        <v>1.5</v>
      </c>
      <c r="L81" s="134" cm="1">
        <f t="array" ref="L81">IF(L$29="","",IF(OR(L78&lt;&gt;"",L79&lt;&gt;"",L80&lt;&gt;""),IF(L94&gt;20,INDEX(T!$P$6:$P$29,MATCH(TRUE,INDEX(T!$P$6:$P$29&gt;L78,0),)),L78)))</f>
        <v>1.5</v>
      </c>
      <c r="M81" s="134"/>
      <c r="N81" s="134" cm="1">
        <f t="array" ref="N81">IF(N$29="","",IF(OR(N78&lt;&gt;"",N79&lt;&gt;"",N80&lt;&gt;""),IF(N94&gt;20,INDEX(T!$P$6:$P$29,MATCH(TRUE,INDEX(T!$P$6:$P$29&gt;N78,0),)),N78)))</f>
        <v>120</v>
      </c>
      <c r="O81" s="133" t="str">
        <f t="shared" si="18"/>
        <v>mm²</v>
      </c>
    </row>
    <row r="82" spans="1:15" s="128" customFormat="1" ht="16">
      <c r="A82" s="157"/>
      <c r="B82" s="183"/>
      <c r="C82" s="157"/>
      <c r="D82" s="157" cm="1">
        <f t="array" ref="D82">IF(D$29="","",IF(D94&lt;&gt;"",IF(D95&gt;20,INDEX(T!$P$6:$P$29,MATCH(TRUE,INDEX(T!$P$6:$P$29&gt;D81,0),)),D81)))</f>
        <v>4</v>
      </c>
      <c r="E82" s="157" cm="1">
        <f t="array" aca="1" ref="E82" ca="1">IF(E$29="","",IF(E94&lt;&gt;"",IF(E95&gt;20,INDEX(T!$P$6:$P$29,MATCH(TRUE,INDEX(T!$P$6:$P$29&gt;E81,0),)),E81)))</f>
        <v>10</v>
      </c>
      <c r="F82" s="157" cm="1">
        <f t="array" aca="1" ref="F82" ca="1">IF(F$29="","",IF(F94&lt;&gt;"",IF(F95&gt;20,INDEX(T!$P$6:$P$29,MATCH(TRUE,INDEX(T!$P$6:$P$29&gt;F81,0),)),F81)))</f>
        <v>10</v>
      </c>
      <c r="G82" s="157" cm="1">
        <f t="array" aca="1" ref="G82" ca="1">IF(G$29="","",IF(G94&lt;&gt;"",IF(G95&gt;20,INDEX(T!$P$6:$P$29,MATCH(TRUE,INDEX(T!$P$6:$P$29&gt;G81,0),)),G81)))</f>
        <v>10</v>
      </c>
      <c r="H82" s="157" cm="1">
        <f t="array" aca="1" ref="H82" ca="1">IF(H$29="","",IF(H94&lt;&gt;"",IF(H95&gt;20,INDEX(T!$P$6:$P$29,MATCH(TRUE,INDEX(T!$P$6:$P$29&gt;H81,0),)),H81)))</f>
        <v>10</v>
      </c>
      <c r="I82" s="157" cm="1">
        <f t="array" ref="I82">IF(I$29="","",IF(I94&lt;&gt;"",IF(I95&gt;20,INDEX(T!$P$6:$P$29,MATCH(TRUE,INDEX(T!$P$6:$P$29&gt;I81,0),)),I81)))</f>
        <v>25</v>
      </c>
      <c r="J82" s="157" cm="1">
        <f t="array" ref="J82">IF(J$29="","",IF(J94&lt;&gt;"",IF(J95&gt;20,INDEX(T!$P$6:$P$29,MATCH(TRUE,INDEX(T!$P$6:$P$29&gt;J81,0),)),J81)))</f>
        <v>4</v>
      </c>
      <c r="K82" s="157" cm="1">
        <f t="array" ref="K82">IF(K$29="","",IF(K94&lt;&gt;"",IF(K95&gt;20,INDEX(T!$P$6:$P$29,MATCH(TRUE,INDEX(T!$P$6:$P$29&gt;K81,0),)),K81)))</f>
        <v>1.5</v>
      </c>
      <c r="L82" s="157" cm="1">
        <f t="array" ref="L82">IF(L$29="","",IF(L94&lt;&gt;"",IF(L95&gt;20,INDEX(T!$P$6:$P$29,MATCH(TRUE,INDEX(T!$P$6:$P$29&gt;L81,0),)),L81)))</f>
        <v>1.5</v>
      </c>
      <c r="M82" s="157"/>
      <c r="N82" s="157" cm="1">
        <f t="array" ref="N82">IF(N$29="","",IF(N94&lt;&gt;"",IF(N95&gt;20,INDEX(T!$P$6:$P$29,MATCH(TRUE,INDEX(T!$P$6:$P$29&gt;N81,0),)),N81)))</f>
        <v>120</v>
      </c>
      <c r="O82" s="148" t="str">
        <f t="shared" si="18"/>
        <v>mm²</v>
      </c>
    </row>
    <row r="83" spans="1:15" s="128" customFormat="1" ht="16">
      <c r="A83" s="141"/>
      <c r="B83" s="188"/>
      <c r="C83" s="141"/>
      <c r="D83" s="141" cm="1">
        <f t="array" ref="D83">IF(D$29="","",IF(D95&lt;&gt;"",IF(D96&gt;20,INDEX(T!$P$6:$P$29,MATCH(TRUE,INDEX(T!$P$6:$P$29&gt;D82,0),)),D82)))</f>
        <v>4</v>
      </c>
      <c r="E83" s="141" cm="1">
        <f t="array" aca="1" ref="E83" ca="1">IF(E$29="","",IF(E95&lt;&gt;"",IF(E96&gt;20,INDEX(T!$P$6:$P$29,MATCH(TRUE,INDEX(T!$P$6:$P$29&gt;E82,0),)),E82)))</f>
        <v>10</v>
      </c>
      <c r="F83" s="141" cm="1">
        <f t="array" aca="1" ref="F83" ca="1">IF(F$29="","",IF(F95&lt;&gt;"",IF(F96&gt;20,INDEX(T!$P$6:$P$29,MATCH(TRUE,INDEX(T!$P$6:$P$29&gt;F82,0),)),F82)))</f>
        <v>10</v>
      </c>
      <c r="G83" s="141" cm="1">
        <f t="array" aca="1" ref="G83" ca="1">IF(G$29="","",IF(G95&lt;&gt;"",IF(G96&gt;20,INDEX(T!$P$6:$P$29,MATCH(TRUE,INDEX(T!$P$6:$P$29&gt;G82,0),)),G82)))</f>
        <v>10</v>
      </c>
      <c r="H83" s="141" cm="1">
        <f t="array" aca="1" ref="H83" ca="1">IF(H$29="","",IF(H95&lt;&gt;"",IF(H96&gt;20,INDEX(T!$P$6:$P$29,MATCH(TRUE,INDEX(T!$P$6:$P$29&gt;H82,0),)),H82)))</f>
        <v>10</v>
      </c>
      <c r="I83" s="141" cm="1">
        <f t="array" ref="I83">IF(I$29="","",IF(I95&lt;&gt;"",IF(I96&gt;20,INDEX(T!$P$6:$P$29,MATCH(TRUE,INDEX(T!$P$6:$P$29&gt;I82,0),)),I82)))</f>
        <v>25</v>
      </c>
      <c r="J83" s="141" cm="1">
        <f t="array" ref="J83">IF(J$29="","",IF(J95&lt;&gt;"",IF(J96&gt;20,INDEX(T!$P$6:$P$29,MATCH(TRUE,INDEX(T!$P$6:$P$29&gt;J82,0),)),J82)))</f>
        <v>4</v>
      </c>
      <c r="K83" s="141" cm="1">
        <f t="array" ref="K83">IF(K$29="","",IF(K95&lt;&gt;"",IF(K96&gt;20,INDEX(T!$P$6:$P$29,MATCH(TRUE,INDEX(T!$P$6:$P$29&gt;K82,0),)),K82)))</f>
        <v>1.5</v>
      </c>
      <c r="L83" s="141" cm="1">
        <f t="array" ref="L83">IF(L$29="","",IF(L95&lt;&gt;"",IF(L96&gt;20,INDEX(T!$P$6:$P$29,MATCH(TRUE,INDEX(T!$P$6:$P$29&gt;L82,0),)),L82)))</f>
        <v>1.5</v>
      </c>
      <c r="M83" s="141"/>
      <c r="N83" s="141" cm="1">
        <f t="array" ref="N83">IF(N$29="","",IF(N95&lt;&gt;"",IF(N96&gt;20,INDEX(T!$P$6:$P$29,MATCH(TRUE,INDEX(T!$P$6:$P$29&gt;N82,0),)),N82)))</f>
        <v>120</v>
      </c>
      <c r="O83" s="140" t="str">
        <f t="shared" si="18"/>
        <v>mm²</v>
      </c>
    </row>
    <row r="84" spans="1:15" s="128" customFormat="1" ht="16">
      <c r="A84" s="189"/>
      <c r="B84" s="190" t="s">
        <v>2128</v>
      </c>
      <c r="C84" s="189"/>
      <c r="D84" s="189" cm="1">
        <f t="array" ref="D84">IF(D29="","",IF(D92&gt;(IF(COUNT(D19:D21)=1,230,IF(COUNT(D19:D21)=3,400))/(D27*IF(D37="B",5,IF(D37="C",10,IF(D37="D",20))))),INDEX(T!$P6:$P29,MATCH(TRUE,INDEX(T!$P6:$P29&gt;D83,0),)),D83))</f>
        <v>4</v>
      </c>
      <c r="E84" s="189">
        <v>4</v>
      </c>
      <c r="F84" s="189">
        <v>6</v>
      </c>
      <c r="G84" s="189">
        <v>10</v>
      </c>
      <c r="H84" s="189">
        <v>16</v>
      </c>
      <c r="I84" s="189" cm="1">
        <f t="array" ref="I84">IF(I29="","",IF(I92&gt;(IF(COUNT(I19:I21)=1,230,IF(COUNT(I19:I21)=3,400))/(I27*IF(I37="B",5,IF(I37="C",10,IF(I37="D",20))))),INDEX(T!$P6:$P29,MATCH(TRUE,INDEX(T!$P6:$P29&gt;I83,0),)),I83))</f>
        <v>25</v>
      </c>
      <c r="J84" s="189" cm="1">
        <f t="array" ref="J84">IF(J29="","",IF(J92&gt;(IF(COUNT(J19:J21)=1,230,IF(COUNT(J19:J21)=3,400))/(J27*IF(J37="B",5,IF(J37="C",10,IF(J37="D",20))))),INDEX(T!$P6:$P29,MATCH(TRUE,INDEX(T!$P6:$P29&gt;J83,0),)),J83))</f>
        <v>4</v>
      </c>
      <c r="K84" s="189">
        <v>4</v>
      </c>
      <c r="L84" s="189">
        <v>6</v>
      </c>
      <c r="M84" s="189" t="str" cm="1">
        <f t="array" ref="M84">IF(M29="","",IF(M92&gt;(IF(COUNT(M19:M21)=1,230,IF(COUNT(M19:M21)=3,400))/(M27*IF(M37="B",5,IF(M37="C",10,IF(M37="D",20))))),INDEX(T!$P6:$P29,MATCH(TRUE,INDEX(T!$P6:$P29&gt;M83,0),)),M83))</f>
        <v/>
      </c>
      <c r="N84" s="189" cm="1">
        <f t="array" ref="N84">IF(N29="","",IF(N92&gt;(IF(COUNT(N19:N21)=1,230,IF(COUNT(N19:N21)=3,400))/(N27*IF(N37="B",5,IF(N37="C",10,IF(N37="D",20))))),INDEX(T!$P6:$P29,MATCH(TRUE,INDEX(T!$P6:$P29&gt;N83,0),)),N83))</f>
        <v>120</v>
      </c>
      <c r="O84" s="136" t="str">
        <f>IF(L84&lt;&gt;"","mm²","")</f>
        <v>mm²</v>
      </c>
    </row>
    <row r="85" spans="1:15" s="173" customFormat="1" ht="15.75" customHeight="1">
      <c r="A85" s="141"/>
      <c r="B85" s="175" t="s">
        <v>2129</v>
      </c>
      <c r="C85" s="164"/>
      <c r="D85" s="141">
        <f>IF(ISNUMBER(D78),IF(D78&lt;=16,D78,IF(AND(D78&gt;=16,D78&lt;=35),16,IF(D78&lt;=50,25,IF(D78&lt;=70,35,IF(D78&lt;=95,50,IF(D78&lt;=120,70,IF(D78&lt;=150,95,IF(D78&lt;=185,95,IF(D78&lt;=240,120,IF(D78&lt;=300,150,IF(D78&lt;=380,240,IF(D78&lt;=480,240,IF(D78&lt;=600,300,IF(D78&lt;=740,380,IF(D78&lt;=960,480,IF(D78&lt;=1200,600)))))))))))))))),IF(ISNUMBER(D79),IF(D79&lt;=16,D79,IF(AND(D79&gt;=16,D79&lt;=35),16,IF(D79&lt;=50,25,IF(D79&lt;=70,35,IF(D79&lt;=95,50,IF(D79&lt;=120,70,IF(D79&lt;=150,95,IF(D79&lt;=185,95,IF(D79&lt;=240,120,IF(D79&lt;=300,150,IF(D79&lt;=380,240,IF(D79&lt;=480,240,IF(D79&lt;=600,300,IF(D79&lt;=740,380,IF(D79&lt;=960,480,IF(D79&lt;=1200,600,"")))))))))))))))),IF(ISNUMBER(D80),IF(D80&lt;=16,D80,IF(AND(D80&gt;=16,D80&lt;=35),16,IF(D80&lt;=50,25,IF(D80&lt;=70,35,IF(D80&lt;=95,50,IF(D80&lt;=120,70,IF(D80&lt;=150,95,IF(D80&lt;=185,95,IF(D80&lt;=240,120,IF(D80&lt;=300,150,IF(D80&lt;=380,240,IF(D80&lt;=480,240,IF(D80&lt;=600,300,IF(D80&lt;=740,380,IF(D80&lt;=960,480,IF(D80&lt;=1200,600,"")))))))))))))))),"")))</f>
        <v>4</v>
      </c>
      <c r="E85" s="141">
        <f ca="1">IF(ISNUMBER(E78),IF(E78&lt;=16,E78,IF(AND(E78&gt;=16,E78&lt;=35),16,IF(E78&lt;=50,25,IF(E78&lt;=70,35,IF(E78&lt;=95,50,IF(E78&lt;=120,70,IF(E78&lt;=150,95,IF(E78&lt;=185,95,IF(E78&lt;=240,120,IF(E78&lt;=300,150,IF(E78&lt;=380,240,IF(E78&lt;=480,240,IF(E78&lt;=600,300,IF(E78&lt;=740,380,IF(E78&lt;=960,480,IF(E78&lt;=1200,600)))))))))))))))),IF(ISNUMBER(E79),IF(E79&lt;=16,E79,IF(AND(E79&gt;=16,E79&lt;=35),16,IF(E79&lt;=50,25,IF(E79&lt;=70,35,IF(E79&lt;=95,50,IF(E79&lt;=120,70,IF(E79&lt;=150,95,IF(E79&lt;=185,95,IF(E79&lt;=240,120,IF(E79&lt;=300,150,IF(E79&lt;=380,240,IF(E79&lt;=480,240,IF(E79&lt;=600,300,IF(E79&lt;=740,380,IF(E79&lt;=960,480,IF(E79&lt;=1200,600,"")))))))))))))))),IF(ISNUMBER(E80),IF(E80&lt;=16,E80,IF(AND(E80&gt;=16,E80&lt;=35),16,IF(E80&lt;=50,25,IF(E80&lt;=70,35,IF(E80&lt;=95,50,IF(E80&lt;=120,70,IF(E80&lt;=150,95,IF(E80&lt;=185,95,IF(E80&lt;=240,120,IF(E80&lt;=300,150,IF(E80&lt;=380,240,IF(E80&lt;=480,240,IF(E80&lt;=600,300,IF(E80&lt;=740,380,IF(E80&lt;=960,480,IF(E80&lt;=1200,600,"")))))))))))))))),"")))</f>
        <v>10</v>
      </c>
      <c r="F85" s="141">
        <f t="shared" ref="F85:N85" ca="1" si="19">IF(ISNUMBER(F78),IF(F78&lt;=16,F78,IF(AND(F78&gt;=16,F78&lt;=35),16,IF(F78&lt;=50,25,IF(F78&lt;=70,35,IF(F78&lt;=95,50,IF(F78&lt;=120,70,IF(F78&lt;=150,95,IF(F78&lt;=185,95,IF(F78&lt;=240,120,IF(F78&lt;=300,150,IF(F78&lt;=380,240,IF(F78&lt;=480,240,IF(F78&lt;=600,300,IF(F78&lt;=740,380,IF(F78&lt;=960,480,IF(F78&lt;=1200,600)))))))))))))))),IF(ISNUMBER(F79),IF(F79&lt;=16,F79,IF(AND(F79&gt;=16,F79&lt;=35),16,IF(F79&lt;=50,25,IF(F79&lt;=70,35,IF(F79&lt;=95,50,IF(F79&lt;=120,70,IF(F79&lt;=150,95,IF(F79&lt;=185,95,IF(F79&lt;=240,120,IF(F79&lt;=300,150,IF(F79&lt;=380,240,IF(F79&lt;=480,240,IF(F79&lt;=600,300,IF(F79&lt;=740,380,IF(F79&lt;=960,480,IF(F79&lt;=1200,600,"")))))))))))))))),IF(ISNUMBER(F80),IF(F80&lt;=16,F80,IF(AND(F80&gt;=16,F80&lt;=35),16,IF(F80&lt;=50,25,IF(F80&lt;=70,35,IF(F80&lt;=95,50,IF(F80&lt;=120,70,IF(F80&lt;=150,95,IF(F80&lt;=185,95,IF(F80&lt;=240,120,IF(F80&lt;=300,150,IF(F80&lt;=380,240,IF(F80&lt;=480,240,IF(F80&lt;=600,300,IF(F80&lt;=740,380,IF(F80&lt;=960,480,IF(F80&lt;=1200,600,"")))))))))))))))),"")))</f>
        <v>10</v>
      </c>
      <c r="G85" s="141">
        <f t="shared" ca="1" si="19"/>
        <v>10</v>
      </c>
      <c r="H85" s="141">
        <f ca="1">IF(ISNUMBER(H78),IF(H78&lt;=16,H78,IF(AND(H78&gt;=16,H78&lt;=35),16,IF(H78&lt;=50,25,IF(H78&lt;=70,35,IF(H78&lt;=95,50,IF(H78&lt;=120,70,IF(H78&lt;=150,95,IF(H78&lt;=185,95,IF(H78&lt;=240,120,IF(H78&lt;=300,150,IF(H78&lt;=380,240,IF(H78&lt;=480,240,IF(H78&lt;=600,300,IF(H78&lt;=740,380,IF(H78&lt;=960,480,IF(H78&lt;=1200,600)))))))))))))))),IF(ISNUMBER(H79),IF(H79&lt;=16,H79,IF(AND(H79&gt;=16,H79&lt;=35),16,IF(H79&lt;=50,25,IF(H79&lt;=70,35,IF(H79&lt;=95,50,IF(H79&lt;=120,70,IF(H79&lt;=150,95,IF(H79&lt;=185,95,IF(H79&lt;=240,120,IF(H79&lt;=300,150,IF(H79&lt;=380,240,IF(H79&lt;=480,240,IF(H79&lt;=600,300,IF(H79&lt;=740,380,IF(H79&lt;=960,480,IF(H79&lt;=1200,600,"")))))))))))))))),IF(ISNUMBER(H80),IF(H80&lt;=16,H80,IF(AND(H80&gt;=16,H80&lt;=35),16,IF(H80&lt;=50,25,IF(H80&lt;=70,35,IF(H80&lt;=95,50,IF(H80&lt;=120,70,IF(H80&lt;=150,95,IF(H80&lt;=185,95,IF(H80&lt;=240,120,IF(H80&lt;=300,150,IF(H80&lt;=380,240,IF(H80&lt;=480,240,IF(H80&lt;=600,300,IF(H80&lt;=740,380,IF(H80&lt;=960,480,IF(H80&lt;=1200,600,"")))))))))))))))),"")))</f>
        <v>10</v>
      </c>
      <c r="I85" s="141">
        <f t="shared" si="19"/>
        <v>16</v>
      </c>
      <c r="J85" s="141">
        <f t="shared" si="19"/>
        <v>4</v>
      </c>
      <c r="K85" s="141">
        <f>IF(ISNUMBER(K78),IF(K78&lt;=16,K78,IF(AND(K78&gt;=16,K78&lt;=35),16,IF(K78&lt;=50,25,IF(K78&lt;=70,35,IF(K78&lt;=95,50,IF(K78&lt;=120,70,IF(K78&lt;=150,95,IF(K78&lt;=185,95,IF(K78&lt;=240,120,IF(K78&lt;=300,150,IF(K78&lt;=380,240,IF(K78&lt;=480,240,IF(K78&lt;=600,300,IF(K78&lt;=740,380,IF(K78&lt;=960,480,IF(K78&lt;=1200,600)))))))))))))))),IF(ISNUMBER(K79),IF(K79&lt;=16,K79,IF(AND(K79&gt;=16,K79&lt;=35),16,IF(K79&lt;=50,25,IF(K79&lt;=70,35,IF(K79&lt;=95,50,IF(K79&lt;=120,70,IF(K79&lt;=150,95,IF(K79&lt;=185,95,IF(K79&lt;=240,120,IF(K79&lt;=300,150,IF(K79&lt;=380,240,IF(K79&lt;=480,240,IF(K79&lt;=600,300,IF(K79&lt;=740,380,IF(K79&lt;=960,480,IF(K79&lt;=1200,600,"")))))))))))))))),IF(ISNUMBER(K80),IF(K80&lt;=16,K80,IF(AND(K80&gt;=16,K80&lt;=35),16,IF(K80&lt;=50,25,IF(K80&lt;=70,35,IF(K80&lt;=95,50,IF(K80&lt;=120,70,IF(K80&lt;=150,95,IF(K80&lt;=185,95,IF(K80&lt;=240,120,IF(K80&lt;=300,150,IF(K80&lt;=380,240,IF(K80&lt;=480,240,IF(K80&lt;=600,300,IF(K80&lt;=740,380,IF(K80&lt;=960,480,IF(K80&lt;=1200,600,"")))))))))))))))),"")))</f>
        <v>1.5</v>
      </c>
      <c r="L85" s="141">
        <f>IF(ISNUMBER(L78),IF(L78&lt;=16,L78,IF(AND(L78&gt;=16,L78&lt;=35),16,IF(L78&lt;=50,25,IF(L78&lt;=70,35,IF(L78&lt;=95,50,IF(L78&lt;=120,70,IF(L78&lt;=150,95,IF(L78&lt;=185,95,IF(L78&lt;=240,120,IF(L78&lt;=300,150,IF(L78&lt;=380,240,IF(L78&lt;=480,240,IF(L78&lt;=600,300,IF(L78&lt;=740,380,IF(L78&lt;=960,480,IF(L78&lt;=1200,600)))))))))))))))),IF(ISNUMBER(L79),IF(L79&lt;=16,L79,IF(AND(L79&gt;=16,L79&lt;=35),16,IF(L79&lt;=50,25,IF(L79&lt;=70,35,IF(L79&lt;=95,50,IF(L79&lt;=120,70,IF(L79&lt;=150,95,IF(L79&lt;=185,95,IF(L79&lt;=240,120,IF(L79&lt;=300,150,IF(L79&lt;=380,240,IF(L79&lt;=480,240,IF(L79&lt;=600,300,IF(L79&lt;=740,380,IF(L79&lt;=960,480,IF(L79&lt;=1200,600,"")))))))))))))))),IF(ISNUMBER(L80),IF(L80&lt;=16,L80,IF(AND(L80&gt;=16,L80&lt;=35),16,IF(L80&lt;=50,25,IF(L80&lt;=70,35,IF(L80&lt;=95,50,IF(L80&lt;=120,70,IF(L80&lt;=150,95,IF(L80&lt;=185,95,IF(L80&lt;=240,120,IF(L80&lt;=300,150,IF(L80&lt;=380,240,IF(L80&lt;=480,240,IF(L80&lt;=600,300,IF(L80&lt;=740,380,IF(L80&lt;=960,480,IF(L80&lt;=1200,600,"")))))))))))))))),"")))</f>
        <v>1.5</v>
      </c>
      <c r="M85" s="141" t="str">
        <f t="shared" si="19"/>
        <v/>
      </c>
      <c r="N85" s="141">
        <f t="shared" si="19"/>
        <v>70</v>
      </c>
      <c r="O85" s="136" t="str">
        <f>IF(N85&lt;&gt;"","mm²","")</f>
        <v>mm²</v>
      </c>
    </row>
    <row r="86" spans="1:15" s="128" customFormat="1" ht="16">
      <c r="B86" s="191"/>
    </row>
    <row r="87" spans="1:15" s="128" customFormat="1" ht="16">
      <c r="B87" s="191"/>
    </row>
    <row r="88" spans="1:15" s="173" customFormat="1" ht="19">
      <c r="A88" s="134"/>
      <c r="B88" s="172" t="s">
        <v>2130</v>
      </c>
      <c r="C88" s="161"/>
      <c r="D88" s="161">
        <f>IF(D$25=0,"",IF(ISNUMBER(D83),LOOKUP(D83,T!$P$6:$P$29,T!$Q$6:$Q$29),IF(ISNUMBER(D79),LOOKUP(D79,T!$P$6:$P$29,T!$Q$6:$Q$29),IF(ISNUMBER(D80),LOOKUP(D80,T!$P$6:$P$29,T!$Q$6:$Q$29),0))))</f>
        <v>4.6100000000000003</v>
      </c>
      <c r="E88" s="161">
        <f ca="1">IF(E$25=0,"",IF(ISNUMBER(E83),LOOKUP(E83,T!$P$6:$P$29,T!$Q$6:$Q$29),IF(ISNUMBER(E79),LOOKUP(E79,T!$P$6:$P$29,T!$Q$6:$Q$29),IF(ISNUMBER(E80),LOOKUP(E80,T!$P$6:$P$29,T!$Q$6:$Q$29),0))))</f>
        <v>1.83</v>
      </c>
      <c r="F88" s="161">
        <f ca="1">IF(F$25=0,"",IF(ISNUMBER(F83),LOOKUP(F83,T!$P$6:$P$29,T!$Q$6:$Q$29),IF(ISNUMBER(F79),LOOKUP(F79,T!$P$6:$P$29,T!$Q$6:$Q$29),IF(ISNUMBER(F80),LOOKUP(F80,T!$P$6:$P$29,T!$Q$6:$Q$29),0))))</f>
        <v>1.83</v>
      </c>
      <c r="G88" s="161">
        <f ca="1">IF(G$25=0,"",IF(ISNUMBER(G83),LOOKUP(G83,T!$P$6:$P$29,T!$Q$6:$Q$29),IF(ISNUMBER(G79),LOOKUP(G79,T!$P$6:$P$29,T!$Q$6:$Q$29),IF(ISNUMBER(G80),LOOKUP(G80,T!$P$6:$P$29,T!$Q$6:$Q$29),0))))</f>
        <v>1.83</v>
      </c>
      <c r="H88" s="161">
        <f ca="1">IF(H$25=0,"",IF(ISNUMBER(H83),LOOKUP(H83,T!$P$6:$P$29,T!$Q$6:$Q$29),IF(ISNUMBER(H79),LOOKUP(H79,T!$P$6:$P$29,T!$Q$6:$Q$29),IF(ISNUMBER(H80),LOOKUP(H80,T!$P$6:$P$29,T!$Q$6:$Q$29),0))))</f>
        <v>1.83</v>
      </c>
      <c r="I88" s="161">
        <f>IF(I$25=0,"",IF(ISNUMBER(I83),LOOKUP(I83,T!$P$6:$P$29,T!$Q$6:$Q$29),IF(ISNUMBER(I79),LOOKUP(I79,T!$P$6:$P$29,T!$Q$6:$Q$29),IF(ISNUMBER(I80),LOOKUP(I80,T!$P$6:$P$29,T!$Q$6:$Q$29),0))))</f>
        <v>0.72699999999999998</v>
      </c>
      <c r="J88" s="161">
        <f>IF(J$25=0,"",IF(ISNUMBER(J83),LOOKUP(J83,T!$P$6:$P$29,T!$Q$6:$Q$29),IF(ISNUMBER(J79),LOOKUP(J79,T!$P$6:$P$29,T!$Q$6:$Q$29),IF(ISNUMBER(J80),LOOKUP(J80,T!$P$6:$P$29,T!$Q$6:$Q$29),0))))</f>
        <v>4.6100000000000003</v>
      </c>
      <c r="K88" s="161">
        <f>IF(K$25=0,"",IF(ISNUMBER(K83),LOOKUP(K83,T!$P$6:$P$29,T!$Q$6:$Q$29),IF(ISNUMBER(K79),LOOKUP(K79,T!$P$6:$P$29,T!$Q$6:$Q$29),IF(ISNUMBER(K80),LOOKUP(K80,T!$P$6:$P$29,T!$Q$6:$Q$29),0))))</f>
        <v>12.1</v>
      </c>
      <c r="L88" s="161">
        <f>IF(L$25=0,"",IF(ISNUMBER(L83),LOOKUP(L83,T!$P$6:$P$29,T!$Q$6:$Q$29),IF(ISNUMBER(L79),LOOKUP(L79,T!$P$6:$P$29,T!$Q$6:$Q$29),IF(ISNUMBER(L80),LOOKUP(L80,T!$P$6:$P$29,T!$Q$6:$Q$29),0))))</f>
        <v>12.1</v>
      </c>
      <c r="M88" s="161" t="str">
        <f>IF(M$25=0,"",IF(ISNUMBER(M83),LOOKUP(M83,T!$P$6:$P$29,T!$Q$6:$Q$29),IF(ISNUMBER(M79),LOOKUP(M79,T!$P$6:$P$29,T!$Q$6:$Q$29),IF(ISNUMBER(M80),LOOKUP(M80,T!$P$6:$P$29,T!$Q$6:$Q$29),0))))</f>
        <v/>
      </c>
      <c r="N88" s="161">
        <f>IF(N$25=0,"",IF(ISNUMBER(N83),LOOKUP(N83,T!$P$6:$P$29,T!$Q$6:$Q$29),IF(ISNUMBER(N79),LOOKUP(N79,T!$P$6:$P$29,T!$Q$6:$Q$29),IF(ISNUMBER(N80),LOOKUP(N80,T!$P$6:$P$29,T!$Q$6:$Q$29),0))))</f>
        <v>0.153</v>
      </c>
      <c r="O88" s="133" t="str">
        <f>IF(N88&lt;&gt;"","Ω","")</f>
        <v>Ω</v>
      </c>
    </row>
    <row r="89" spans="1:15" s="173" customFormat="1" ht="19">
      <c r="A89" s="157"/>
      <c r="B89" s="186" t="s">
        <v>2131</v>
      </c>
      <c r="C89" s="163"/>
      <c r="D89" s="163">
        <f>IF(D$25=0,"",IF(ISNUMBER(D85),LOOKUP(D85,T!$P$6:$P$28,T!$Q$6:$Q$28),0))</f>
        <v>4.6100000000000003</v>
      </c>
      <c r="E89" s="163">
        <f ca="1">IF(E$25=0,"",IF(ISNUMBER(E85),LOOKUP(E85,T!$P$6:$P$28,T!$Q$6:$Q$28),0))</f>
        <v>1.83</v>
      </c>
      <c r="F89" s="163">
        <f ca="1">IF(F$25=0,"",IF(ISNUMBER(F85),LOOKUP(F85,T!$P$6:$P$28,T!$Q$6:$Q$28),0))</f>
        <v>1.83</v>
      </c>
      <c r="G89" s="163">
        <f ca="1">IF(G$25=0,"",IF(ISNUMBER(G85),LOOKUP(G85,T!$P$6:$P$28,T!$Q$6:$Q$28),0))</f>
        <v>1.83</v>
      </c>
      <c r="H89" s="163">
        <f ca="1">IF(H$25=0,"",IF(ISNUMBER(H85),LOOKUP(H85,T!$P$6:$P$28,T!$Q$6:$Q$28),0))</f>
        <v>1.83</v>
      </c>
      <c r="I89" s="163">
        <f>IF(I$25=0,"",IF(ISNUMBER(I85),LOOKUP(I85,T!$P$6:$P$28,T!$Q$6:$Q$28),0))</f>
        <v>1.1499999999999999</v>
      </c>
      <c r="J89" s="163">
        <f>IF(J$25=0,"",IF(ISNUMBER(J85),LOOKUP(J85,T!$P$6:$P$28,T!$Q$6:$Q$28),0))</f>
        <v>4.6100000000000003</v>
      </c>
      <c r="K89" s="163">
        <f>IF(K$25=0,"",IF(ISNUMBER(K85),LOOKUP(K85,T!$P$6:$P$28,T!$Q$6:$Q$28),0))</f>
        <v>12.1</v>
      </c>
      <c r="L89" s="163">
        <f>IF(L$25=0,"",IF(ISNUMBER(L85),LOOKUP(L85,T!$P$6:$P$28,T!$Q$6:$Q$28),0))</f>
        <v>12.1</v>
      </c>
      <c r="M89" s="163" t="str">
        <f>IF(M$25=0,"",IF(ISNUMBER(M85),LOOKUP(M85,T!$P$6:$P$28,T!$Q$6:$Q$28),0))</f>
        <v/>
      </c>
      <c r="N89" s="163">
        <f>IF(N$25=0,"",IF(ISNUMBER(N85),LOOKUP(N85,T!$P$6:$P$28,T!$Q$6:$Q$28),0))</f>
        <v>0.26800000000000002</v>
      </c>
      <c r="O89" s="148" t="str">
        <f>IF(N89&lt;&gt;"","Ω","")</f>
        <v>Ω</v>
      </c>
    </row>
    <row r="90" spans="1:15" s="173" customFormat="1" ht="19">
      <c r="A90" s="157"/>
      <c r="B90" s="186" t="s">
        <v>2132</v>
      </c>
      <c r="C90" s="163"/>
      <c r="D90" s="163">
        <f>IF(D$25=0,"",IF(D71="TT",21,IF(D71="TNS",0.8,IF(D71="TNCS",0.35))))</f>
        <v>0.35</v>
      </c>
      <c r="E90" s="163">
        <f>IF(E$25=0,"",IF(E71="TT",21,IF(E71="TNS",0.8,IF(E71="TNCS",0.35))))</f>
        <v>0.35</v>
      </c>
      <c r="F90" s="163">
        <f t="shared" ref="F90:N90" si="20">IF(F$25=0,"",IF(F71="TT",21,IF(F71="TNS",0.8,IF(F71="TNCS",0.35))))</f>
        <v>0.35</v>
      </c>
      <c r="G90" s="163">
        <f t="shared" si="20"/>
        <v>0.35</v>
      </c>
      <c r="H90" s="163">
        <f>IF(H$25=0,"",IF(H71="TT",21,IF(H71="TNS",0.8,IF(H71="TNCS",0.35))))</f>
        <v>0.35</v>
      </c>
      <c r="I90" s="163">
        <f t="shared" si="20"/>
        <v>0.35</v>
      </c>
      <c r="J90" s="163">
        <f t="shared" si="20"/>
        <v>0.35</v>
      </c>
      <c r="K90" s="163">
        <f>IF(K$25=0,"",IF(K71="TT",21,IF(K71="TNS",0.8,IF(K71="TNCS",0.35))))</f>
        <v>0.35</v>
      </c>
      <c r="L90" s="163">
        <f>IF(L$25=0,"",IF(L71="TT",21,IF(L71="TNS",0.8,IF(L71="TNCS",0.35))))</f>
        <v>0.35</v>
      </c>
      <c r="M90" s="163" t="str">
        <f t="shared" si="20"/>
        <v/>
      </c>
      <c r="N90" s="163">
        <f t="shared" si="20"/>
        <v>0.35</v>
      </c>
      <c r="O90" s="148" t="str">
        <f>IF(N90&lt;&gt;"","Ω","")</f>
        <v>Ω</v>
      </c>
    </row>
    <row r="91" spans="1:15" s="173" customFormat="1" ht="19">
      <c r="A91" s="157"/>
      <c r="B91" s="186" t="s">
        <v>2133</v>
      </c>
      <c r="C91" s="163"/>
      <c r="D91" s="163">
        <f t="shared" ref="D91:J91" si="21">IF(D25&lt;&gt;0,(D88+D89)*D69,0)</f>
        <v>92.2</v>
      </c>
      <c r="E91" s="163">
        <f t="shared" ca="1" si="21"/>
        <v>65.88</v>
      </c>
      <c r="F91" s="163">
        <f t="shared" ca="1" si="21"/>
        <v>65.88</v>
      </c>
      <c r="G91" s="163">
        <f t="shared" ca="1" si="21"/>
        <v>65.88</v>
      </c>
      <c r="H91" s="163">
        <f ca="1">IF(H25&lt;&gt;0,(H88+H89)*H69,0)</f>
        <v>65.88</v>
      </c>
      <c r="I91" s="163">
        <f t="shared" si="21"/>
        <v>93.85</v>
      </c>
      <c r="J91" s="163">
        <f t="shared" si="21"/>
        <v>461.00000000000006</v>
      </c>
      <c r="K91" s="163">
        <f>IF(K25&lt;&gt;0,(K88+K89)*K69,0)</f>
        <v>435.59999999999997</v>
      </c>
      <c r="L91" s="163">
        <f>IF(L25&lt;&gt;0,(L88+L89)*L69,0)</f>
        <v>435.59999999999997</v>
      </c>
      <c r="M91" s="163">
        <f>IF(M25&lt;&gt;0,(M88+M89)*M69,0)</f>
        <v>0</v>
      </c>
      <c r="N91" s="163">
        <f>IF(N25&lt;&gt;0,(N88+N89)*N69,0)</f>
        <v>21.05</v>
      </c>
      <c r="O91" s="148" t="str">
        <f>IF(N91&gt;0,"Ω","")</f>
        <v>Ω</v>
      </c>
    </row>
    <row r="92" spans="1:15" s="173" customFormat="1" ht="19">
      <c r="A92" s="141"/>
      <c r="B92" s="175" t="s">
        <v>2134</v>
      </c>
      <c r="C92" s="164"/>
      <c r="D92" s="164">
        <f t="shared" ref="D92:J92" si="22">IF(D25&lt;&gt;0,((D90+D91)*1.2)/1000,0)</f>
        <v>0.11105999999999999</v>
      </c>
      <c r="E92" s="164">
        <f t="shared" ca="1" si="22"/>
        <v>7.9475999999999991E-2</v>
      </c>
      <c r="F92" s="164">
        <f t="shared" ca="1" si="22"/>
        <v>7.9475999999999991E-2</v>
      </c>
      <c r="G92" s="164">
        <f t="shared" ca="1" si="22"/>
        <v>7.9475999999999991E-2</v>
      </c>
      <c r="H92" s="164">
        <f ca="1">IF(H25&lt;&gt;0,((H90+H91)*1.2)/1000,0)</f>
        <v>7.9475999999999991E-2</v>
      </c>
      <c r="I92" s="164">
        <f t="shared" si="22"/>
        <v>0.11303999999999997</v>
      </c>
      <c r="J92" s="164">
        <f t="shared" si="22"/>
        <v>0.55362000000000011</v>
      </c>
      <c r="K92" s="164">
        <f>IF(K25&lt;&gt;0,((K90+K91)*1.2)/1000,0)</f>
        <v>0.52313999999999994</v>
      </c>
      <c r="L92" s="164">
        <f>IF(L25&lt;&gt;0,((L90+L91)*1.2)/1000,0)</f>
        <v>0.52313999999999994</v>
      </c>
      <c r="M92" s="164">
        <f>IF(M25&lt;&gt;0,((M90+M91)*1.2)/1000,0)</f>
        <v>0</v>
      </c>
      <c r="N92" s="164">
        <f>IF(N25&lt;&gt;0,((N90+N91)*1.2)/1000,0)</f>
        <v>2.5680000000000005E-2</v>
      </c>
      <c r="O92" s="140" t="str">
        <f>IF(N92&gt;0,"Ω","")</f>
        <v>Ω</v>
      </c>
    </row>
    <row r="93" spans="1:15" s="173" customFormat="1" ht="16">
      <c r="A93" s="128"/>
      <c r="B93" s="176"/>
    </row>
    <row r="94" spans="1:15" s="173" customFormat="1" ht="17">
      <c r="A94" s="192" t="s">
        <v>2135</v>
      </c>
      <c r="B94" s="398" t="s">
        <v>2500</v>
      </c>
      <c r="C94" s="395" t="s">
        <v>2136</v>
      </c>
      <c r="D94" s="161">
        <f>IF(D29="","",IF(OR(COUNT(D19:D21)=3,COUNT(D19:D21)=1),(IF(D29="",0,IF(ISNUMBER(SEARCH("4D",D51)),IF(AND(D51="4D1",OR(D53=2,D53=4,D53=6,D53=8,D53=11),D55="DC"),LOOKUP(D78,T!$AC6:$AC27,T!$U6:$U27),IF(AND(D51="4D1",OR(D53=2,D53=4),D55="AC"),LOOKUP(D78,T!$AC6:$AC27,T!$V6:$V27),IF(AND(D51="4D1",OR(D53=6,D53=8),D55="AC"),LOOKUP(D78,T!$AC6:$AC27,T!$W6:$W27),IF(AND(D51="4D1",OR(D53=11,D53=12),D55="AC",D57=1),LOOKUP(D78,T!$AC6:$AC27,T!$X6:$X27),IF(AND(D51="4D1",OR(D53=3,D53=5),D55="AC"),LOOKUP(D78,T!$AC6:$AC27,T!$Y6:$Y27),IF(AND(D51="4D1",OR(D53=7,D53=10),D55="AC"),LOOKUP(D78,T!$AC6:$AC27,T!$Z6:$Z27),IF(AND(D51="4D1",D53=9,D55="AC"),LOOKUP(D78,T!$AC6:$AC27,T!$AA6:$AA27),IF(AND(D51="4D1",OR(D53=11,D53=12),D55="AC",D57=3),LOOKUP(D78,T!$AC13:$AC27,T!$AB13:$AB27),IF(AND(D51="4D2",OR(D53=2,D53=4,D53=6,D53=8),D55="DC"),LOOKUP(D78,T!$X33:$X50,T!$U33:$U50),IF(AND(D51="4D2",OR(D53=2,D53=4,D53=6,D53=8),D55="AC"),LOOKUP(D78,T!$X33:$X50,T!$V33:$V50),IF(AND(D51="4D2",OR(D53=3,D53=5,D53=7,D53=9),D55="AC"),LOOKUP(D78,T!$X33:$X50,T!$W33:$W50),IF(AND(D51="4D3",OR(D53=2,D53=4,D53=7,D53=8),D55="DC"),LOOKUP(D78,T!$AA56:$AA68,T!$U56:$U68),IF(AND(D51="4D3",OR(D53=2,D53=4),D55="AC"),LOOKUP(D78,T!$AA56:$AA68,T!$V56:$V68),IF(AND(D51="4D3",OR(D53=9,D53=10),D55="AC"),LOOKUP(D78,T!$AA56:$AA$68,T!$W56:$W68),IF(AND(D51="4D3",D53=6,D55="AC"),LOOKUP(D78,T!$AA56:$AA68,T!$X56:$X68),IF(AND(D51="4D3",OR(D53=3,D53=5),D55="AC"),LOOKUP(D78,T!$AA56:$AA68,T!$Y56:$Y68),IF(AND(D51="4D3",OR(D53=11,D53=12),D55="AC"),LOOKUP(D78,T!$AA56:$AA68,T!$Z56:$Z68),IF(AND(D51="4D4",OR(D53=2,D53=4,D53=6),D55="DC"),LOOKUP(D78,T!$X74:$X90,T!$U74:$U90),IF(AND(D51="4D4",OR(D53=2,D53=4,D53=6),D55="AC"),LOOKUP(D78,T!$X74:$X90,T!$V74:$V90),IF(AND(D51="4D4",OR(D53=3,D53=5,D53=7),D55="AC"),LOOKUP(D78,T!$X74:$X90,T!$W74:$W90),IF(AND(D51="4D5",AND(D53&gt;=2,D53&lt;=7)),LOOKUP(D78,T!$I96:$I102,T!$H96:$H102),0))))))))))))))))))))),IF(ISNUMBER(SEARCH("4E",D51)),IF(AND(D51="4E1",OR(D53=2,D53=4,D53=6,D53=8,D53=11),D55="DC"),LOOKUP(D78,T!$AC108:$AC129,T!$U108:$U129),IF(AND(D51="4E1",OR(D53=2,D53=4),D55="AC"),LOOKUP(D78,T!$AC108:$AC129,T!$V108:$V129),IF(AND(D51="4E1",OR(D53=6,D53=8),D55="AC"),LOOKUP(D78,T!$AC108:$AC129,T!$W108:$W129),IF(AND(D51="4E1",OR(D53=11,D53=12),D55="AC",D57=1),LOOKUP(D78,T!$AC108:$AC127,T!$X108:$X129),IF(AND(D51="4E1",OR(D53=3,D53=5),D55="AC"),LOOKUP(D78,T!$AC108:$AC129,T!$Y108:$Y129),IF(AND(D51="4E1",OR(D53=7,D53=10),D55="AC"),LOOKUP(D78,T!$AC108:$AC129,T!$Z108:$Z129),IF(AND(D51="4E1",D53=9,D55="AC"),LOOKUP(D78,T!$AC115:$AC129,T!$AA115:$AA129),IF(AND(D51="4E1",OR(D53=11,D53=12),D55="AC",D57=3),LOOKUP(D78,T!$AC115:$AC129,T!$AB115:$AB129),IF(AND(D51="4E2",OR(D53=2,D53=4,D53=6,D53=8),D55="DC"),LOOKUP(D78,T!$X134:$X152,T!$U134:$U152),IF(AND(D51="4E2",OR(D53=2,D53=4,D53=6,D53=8),D55="AC"),LOOKUP(D78,T!$X134:$X152,T!$V134:$V152),IF(AND(D51="4E2",OR(D53=3,D53=5,D53=7,D53=9),D55="AC"),LOOKUP(D78,T!$X134:$X152,T!$W134:$W152),IF(AND(D51="4E3",OR(D53=2,D53=4,D53=7,D53=8),D55="DC"),LOOKUP(D78,T!$AA158:$AA170,T!$U158:$U170),IF(AND(D51="4E3",OR(D53=2,D53=4),D55="AC"),LOOKUP(D78,T!$AA158:$AA170,T!$V158:$V170),IF(AND(D51="4E3",OR(D53=9,D53=10),D55="AC"),LOOKUP(D78,T!$AA158:$AA170,T!$W158:$W170),IF(AND(D51="4E3",D53=6,D55="AC"),LOOKUP(D78,T!$AA158:$AA170,T!$X158:$X170),IF(AND(D51="4E3",OR(D53=3,D53=5),D55="AC"),LOOKUP(D78,T!$AA158:$AA170,T!$Y158:$Y170),IF(AND(D51="4E3",OR(D53=11,D53=12),D55="AC"),LOOKUP(D78,T!$AA158:$AA170,T!$Z158:$Z170),IF(AND(D51="4E4",OR(D53=2,D53=4,D53=6),D55="DC"),LOOKUP(D78,T!$X176:$X192,T!$U176:$U192),IF(AND(D51="4E4",OR(D53=2,D53=4,D53=6),D55="AC"),LOOKUP(D78,T!$X176:$X192,T!$V176:$V192),IF(AND(D51="4E4",OR(D53=3,D53=5,D53=7),D55="AC"),LOOKUP(D78,T!$X176:$X192,T!$W176:$W192),0)))))))))))))))))))),IF(ISNUMBER(SEARCH("4F",D51)),IF(AND(D51="4F1",D53=2,D55="DC"),LOOKUP(D78,T!$Z198:$Z214,T!$U198:$U214),IF(AND(D51="4F1",D53=2,D55="AC"),LOOKUP(D78,T!$Z198:$Z214,T!$V198:$V214),IF(AND(D51="4F1",D53=3,D55="AC"),LOOKUP(D78,T!$Z198:$Z214,T!$W198:$W214),IF(AND(D51="4F1",D53=4,D55="DC"),LOOKUP(D78,T!$Z198:$Z214,T!$X198:$X214),IF(AND(D51="4F1",D53=4,D55="AC"),LOOKUP(D78,T!$Z198:$Z214,T!$Y198:$Y214),IF(AND(D51="4F2",D53=2,D55="DC"),LOOKUP(D78,T!$Y220:$Y236,T!$U220:$U236),IF(AND(D51="4F2",D53=2,D55="AC"),LOOKUP(D78,T!$Y220:$Y236,T!$V220:$V236),IF(AND(D51="4F2",D53=3,D55="AC"),LOOKUP(D78,T!$Y220:$Y236,T!$W220:$W236),IF(AND(D51="4F2",D53=4,D55="DC"),LOOKUP(D78,T!$Y220:$Y236,T!$X220:$X236),IF(AND(D51="4F3",D53=2),LOOKUP(D78,T!$W242:$W248,T!$U242:$U248),IF(AND(D51="4F3",D53=3,D55="AC"),LOOKUP(D78,T!$W242:$W248,T!$V242:$V248),0))))))))))),IF(ISNUMBER(SEARCH("4G",D51)),IF(AND(D51="4G1",OR(D53=2,D53=5)),LOOKUP(D79,T!$AA254:$AA269,T!$U254:$U269),IF(AND(D51="4G1",OR(D53=3,D53=6)),LOOKUP(D79,T!$AA254:$AA269,T!$X254:$X269),IF(AND(D51="4G1",OR(D53=4,D53=7)),LOOKUP(D79,T!$AA254:$AA269,T!$Y254:$Y269),IF(AND(D51="4G1",OR(D53=8,D53=9)),LOOKUP(D79,T!$AA254:$AA269,T!$Z254:$Z269),IF(AND(D51="4G2",OR(D53=2,D53=5)),LOOKUP(D79,T!$AA281:$AA296,T!$U281:$U296),IF(AND(D51="4G2",OR(D53=3,D53=6)),LOOKUP(D79,T!$AA281:$AA296,T!$X281:$X296),IF(AND(D51="4G2",OR(D53=4,D53=7)),LOOKUP(D79,T!$AA281:$AA296,T!$Y281:$Y296),IF(AND(D51="4G2",OR(D53=8,D53=9)),LOOKUP(D79,T!$AA281:$AA296,T!$Z281:$Z296),0)))))))),0)))))*D23*D69)/1000))</f>
        <v>2.8645833333333339</v>
      </c>
      <c r="E94" s="161">
        <f ca="1">IF(E29="","",IF(OR(COUNT(E19:E21)=3,COUNT(E19:E21)=1),(IF(E29="",0,IF(ISNUMBER(SEARCH("4D",E51)),IF(AND(E51="4D1",OR(E53=2,E53=4,E53=6,E53=8,E53=11),E55="DC"),LOOKUP(E78,T!$AC6:$AC27,T!$U6:$U27),IF(AND(E51="4D1",OR(E53=2,E53=4),E55="AC"),LOOKUP(E78,T!$AC6:$AC27,T!$V6:$V27),IF(AND(E51="4D1",OR(E53=6,E53=8),E55="AC"),LOOKUP(E78,T!$AC6:$AC27,T!$W6:$W27),IF(AND(E51="4D1",OR(E53=11,E53=12),E55="AC",E57=1),LOOKUP(E78,T!$AC6:$AC27,T!$X6:$X27),IF(AND(E51="4D1",OR(E53=3,E53=5),E55="AC"),LOOKUP(E78,T!$AC6:$AC27,T!$Y6:$Y27),IF(AND(E51="4D1",OR(E53=7,E53=10),E55="AC"),LOOKUP(E78,T!$AC6:$AC27,T!$Z6:$Z27),IF(AND(E51="4D1",E53=9,E55="AC"),LOOKUP(E78,T!$AC6:$AC27,T!$AA6:$AA27),IF(AND(E51="4D1",OR(E53=11,E53=12),E55="AC",E57=3),LOOKUP(E78,T!$AC13:$AC27,T!$AB13:$AB27),IF(AND(E51="4D2",OR(E53=2,E53=4,E53=6,E53=8),E55="DC"),LOOKUP(E78,T!$X33:$X50,T!$U33:$U50),IF(AND(E51="4D2",OR(E53=2,E53=4,E53=6,E53=8),E55="AC"),LOOKUP(E78,T!$X33:$X50,T!$V33:$V50),IF(AND(E51="4D2",OR(E53=3,E53=5,E53=7,E53=9),E55="AC"),LOOKUP(E78,T!$X33:$X50,T!$W33:$W50),IF(AND(E51="4D3",OR(E53=2,E53=4,E53=7,E53=8),E55="DC"),LOOKUP(E78,T!$AA56:$AA68,T!$U56:$U68),IF(AND(E51="4D3",OR(E53=2,E53=4),E55="AC"),LOOKUP(E78,T!$AA56:$AA68,T!$V56:$V68),IF(AND(E51="4D3",OR(E53=9,E53=10),E55="AC"),LOOKUP(E78,T!$AA56:$AA$68,T!$W56:$W68),IF(AND(E51="4D3",E53=6,E55="AC"),LOOKUP(E78,T!$AA56:$AA68,T!$X56:$X68),IF(AND(E51="4D3",OR(E53=3,E53=5),E55="AC"),LOOKUP(E78,T!$AA56:$AA68,T!$Y56:$Y68),IF(AND(E51="4D3",OR(E53=11,E53=12),E55="AC"),LOOKUP(E78,T!$AA56:$AA68,T!$Z56:$Z68),IF(AND(E51="4D4",OR(E53=2,E53=4,E53=6),E55="DC"),LOOKUP(E78,T!$X74:$X90,T!$U74:$U90),IF(AND(E51="4D4",OR(E53=2,E53=4,E53=6),E55="AC"),LOOKUP(E78,T!$X74:$X90,T!$V74:$V90),IF(AND(E51="4D4",OR(E53=3,E53=5,E53=7),E55="AC"),LOOKUP(E78,T!$X74:$X90,T!$W74:$W90),IF(AND(E51="4D5",AND(E53&gt;=2,E53&lt;=7)),LOOKUP(E78,T!$I96:$I102,T!$H96:$H102),0))))))))))))))))))))),IF(ISNUMBER(SEARCH("4E",E51)),IF(AND(E51="4E1",OR(E53=2,E53=4,E53=6,E53=8,E53=11),E55="DC"),LOOKUP(E78,T!$AC108:$AC129,T!$U108:$U129),IF(AND(E51="4E1",OR(E53=2,E53=4),E55="AC"),LOOKUP(E78,T!$AC108:$AC129,T!$V108:$V129),IF(AND(E51="4E1",OR(E53=6,E53=8),E55="AC"),LOOKUP(E78,T!$AC108:$AC129,T!$W108:$W129),IF(AND(E51="4E1",OR(E53=11,E53=12),E55="AC",E57=1),LOOKUP(E78,T!$AC108:$AC127,T!$X108:$X129),IF(AND(E51="4E1",OR(E53=3,E53=5),E55="AC"),LOOKUP(E78,T!$AC108:$AC129,T!$Y108:$Y129),IF(AND(E51="4E1",OR(E53=7,E53=10),E55="AC"),LOOKUP(E78,T!$AC108:$AC129,T!$Z108:$Z129),IF(AND(E51="4E1",E53=9,E55="AC"),LOOKUP(E78,T!$AC115:$AC129,T!$AA115:$AA129),IF(AND(E51="4E1",OR(E53=11,E53=12),E55="AC",E57=3),LOOKUP(E78,T!$AC115:$AC129,T!$AB115:$AB129),IF(AND(E51="4E2",OR(E53=2,E53=4,E53=6,E53=8),E55="DC"),LOOKUP(E78,T!$X134:$X152,T!$U134:$U152),IF(AND(E51="4E2",OR(E53=2,E53=4,E53=6,E53=8),E55="AC"),LOOKUP(E78,T!$X134:$X152,T!$V134:$V152),IF(AND(E51="4E2",OR(E53=3,E53=5,E53=7,E53=9),E55="AC"),LOOKUP(E78,T!$X134:$X152,T!$W134:$W152),IF(AND(E51="4E3",OR(E53=2,E53=4,E53=7,E53=8),E55="DC"),LOOKUP(E78,T!$AA158:$AA170,T!$U158:$U170),IF(AND(E51="4E3",OR(E53=2,E53=4),E55="AC"),LOOKUP(E78,T!$AA158:$AA170,T!$V158:$V170),IF(AND(E51="4E3",OR(E53=9,E53=10),E55="AC"),LOOKUP(E78,T!$AA158:$AA170,T!$W158:$W170),IF(AND(E51="4E3",E53=6,E55="AC"),LOOKUP(E78,T!$AA158:$AA170,T!$X158:$X170),IF(AND(E51="4E3",OR(E53=3,E53=5),E55="AC"),LOOKUP(E78,T!$AA158:$AA170,T!$Y158:$Y170),IF(AND(E51="4E3",OR(E53=11,E53=12),E55="AC"),LOOKUP(E78,T!$AA158:$AA170,T!$Z158:$Z170),IF(AND(E51="4E4",OR(E53=2,E53=4,E53=6),E55="DC"),LOOKUP(E78,T!$X176:$X192,T!$U176:$U192),IF(AND(E51="4E4",OR(E53=2,E53=4,E53=6),E55="AC"),LOOKUP(E78,T!$X176:$X192,T!$V176:$V192),IF(AND(E51="4E4",OR(E53=3,E53=5,E53=7),E55="AC"),LOOKUP(E78,T!$X176:$X192,T!$W176:$W192),0)))))))))))))))))))),IF(ISNUMBER(SEARCH("4F",E51)),IF(AND(E51="4F1",E53=2,E55="DC"),LOOKUP(E78,T!$Z198:$Z214,T!$U198:$U214),IF(AND(E51="4F1",E53=2,E55="AC"),LOOKUP(E78,T!$Z198:$Z214,T!$V198:$V214),IF(AND(E51="4F1",E53=3,E55="AC"),LOOKUP(E78,T!$Z198:$Z214,T!$W198:$W214),IF(AND(E51="4F1",E53=4,E55="DC"),LOOKUP(E78,T!$Z198:$Z214,T!$X198:$X214),IF(AND(E51="4F1",E53=4,E55="AC"),LOOKUP(E78,T!$Z198:$Z214,T!$Y198:$Y214),IF(AND(E51="4F2",E53=2,E55="DC"),LOOKUP(E78,T!$Y220:$Y236,T!$U220:$U236),IF(AND(E51="4F2",E53=2,E55="AC"),LOOKUP(E78,T!$Y220:$Y236,T!$V220:$V236),IF(AND(E51="4F2",E53=3,E55="AC"),LOOKUP(E78,T!$Y220:$Y236,T!$W220:$W236),IF(AND(E51="4F2",E53=4,E55="DC"),LOOKUP(E78,T!$Y220:$Y236,T!$X220:$X236),IF(AND(E51="4F3",E53=2),LOOKUP(E78,T!$W242:$W248,T!$U242:$U248),IF(AND(E51="4F3",E53=3,E55="AC"),LOOKUP(E78,T!$W242:$W248,T!$V242:$V248),0))))))))))),IF(ISNUMBER(SEARCH("4G",E51)),IF(AND(E51="4G1",OR(E53=2,E53=5)),LOOKUP(E79,T!$AA254:$AA269,T!$U254:$U269),IF(AND(E51="4G1",OR(E53=3,E53=6)),LOOKUP(E79,T!$AA254:$AA269,T!$X254:$X269),IF(AND(E51="4G1",OR(E53=4,E53=7)),LOOKUP(E79,T!$AA254:$AA269,T!$Y254:$Y269),IF(AND(E51="4G1",OR(E53=8,E53=9)),LOOKUP(E79,T!$AA254:$AA269,T!$Z254:$Z269),IF(AND(E51="4G2",OR(E53=2,E53=5)),LOOKUP(E79,T!$AA281:$AA296,T!$U281:$U296),IF(AND(E51="4G2",OR(E53=3,E53=6)),LOOKUP(E79,T!$AA281:$AA296,T!$X281:$X296),IF(AND(E51="4G2",OR(E53=4,E53=7)),LOOKUP(E79,T!$AA281:$AA296,T!$Y281:$Y296),IF(AND(E51="4G2",OR(E53=8,E53=9)),LOOKUP(E79,T!$AA281:$AA296,T!$Z281:$Z296),0)))))))),0)))))*E23*E69)/1000))</f>
        <v>3.4000560000000002</v>
      </c>
      <c r="F94" s="161">
        <f ca="1">IF(F29="","",IF(OR(COUNT(F19:F21)=3,COUNT(F19:F21)=1),(IF(F29="",0,IF(ISNUMBER(SEARCH("4D",F51)),IF(AND(F51="4D1",OR(F53=2,F53=4,F53=6,F53=8,F53=11),F55="DC"),LOOKUP(F78,T!$AC6:$AC27,T!$U6:$U27),IF(AND(F51="4D1",OR(F53=2,F53=4),F55="AC"),LOOKUP(F78,T!$AC6:$AC27,T!$V6:$V27),IF(AND(F51="4D1",OR(F53=6,F53=8),F55="AC"),LOOKUP(F78,T!$AC6:$AC27,T!$W6:$W27),IF(AND(F51="4D1",OR(F53=11,F53=12),F55="AC",F57=1),LOOKUP(F78,T!$AC6:$AC27,T!$X6:$X27),IF(AND(F51="4D1",OR(F53=3,F53=5),F55="AC"),LOOKUP(F78,T!$AC6:$AC27,T!$Y6:$Y27),IF(AND(F51="4D1",OR(F53=7,F53=10),F55="AC"),LOOKUP(F78,T!$AC6:$AC27,T!$Z6:$Z27),IF(AND(F51="4D1",F53=9,F55="AC"),LOOKUP(F78,T!$AC6:$AC27,T!$AA6:$AA27),IF(AND(F51="4D1",OR(F53=11,F53=12),F55="AC",F57=3),LOOKUP(F78,T!$AC13:$AC27,T!$AB13:$AB27),IF(AND(F51="4D2",OR(F53=2,F53=4,F53=6,F53=8),F55="DC"),LOOKUP(F78,T!$X33:$X50,T!$U33:$U50),IF(AND(F51="4D2",OR(F53=2,F53=4,F53=6,F53=8),F55="AC"),LOOKUP(F78,T!$X33:$X50,T!$V33:$V50),IF(AND(F51="4D2",OR(F53=3,F53=5,F53=7,F53=9),F55="AC"),LOOKUP(F78,T!$X33:$X50,T!$W33:$W50),IF(AND(F51="4D3",OR(F53=2,F53=4,F53=7,F53=8),F55="DC"),LOOKUP(F78,T!$AA56:$AA68,T!$U56:$U68),IF(AND(F51="4D3",OR(F53=2,F53=4),F55="AC"),LOOKUP(F78,T!$AA56:$AA68,T!$V56:$V68),IF(AND(F51="4D3",OR(F53=9,F53=10),F55="AC"),LOOKUP(F78,T!$AA56:$AA$68,T!$W56:$W68),IF(AND(F51="4D3",F53=6,F55="AC"),LOOKUP(F78,T!$AA56:$AA68,T!$X56:$X68),IF(AND(F51="4D3",OR(F53=3,F53=5),F55="AC"),LOOKUP(F78,T!$AA56:$AA68,T!$Y56:$Y68),IF(AND(F51="4D3",OR(F53=11,F53=12),F55="AC"),LOOKUP(F78,T!$AA56:$AA68,T!$Z56:$Z68),IF(AND(F51="4D4",OR(F53=2,F53=4,F53=6),F55="DC"),LOOKUP(F78,T!$X74:$X90,T!$U74:$U90),IF(AND(F51="4D4",OR(F53=2,F53=4,F53=6),F55="AC"),LOOKUP(F78,T!$X74:$X90,T!$V74:$V90),IF(AND(F51="4D4",OR(F53=3,F53=5,F53=7),F55="AC"),LOOKUP(F78,T!$X74:$X90,T!$W74:$W90),IF(AND(F51="4D5",AND(F53&gt;=2,F53&lt;=7)),LOOKUP(F78,T!$I96:$I102,T!$H96:$H102),0))))))))))))))))))))),IF(ISNUMBER(SEARCH("4E",F51)),IF(AND(F51="4E1",OR(F53=2,F53=4,F53=6,F53=8,F53=11),F55="DC"),LOOKUP(F78,T!$AC108:$AC129,T!$U108:$U129),IF(AND(F51="4E1",OR(F53=2,F53=4),F55="AC"),LOOKUP(F78,T!$AC108:$AC129,T!$V108:$V129),IF(AND(F51="4E1",OR(F53=6,F53=8),F55="AC"),LOOKUP(F78,T!$AC108:$AC129,T!$W108:$W129),IF(AND(F51="4E1",OR(F53=11,F53=12),F55="AC",F57=1),LOOKUP(F78,T!$AC108:$AC127,T!$X108:$X129),IF(AND(F51="4E1",OR(F53=3,F53=5),F55="AC"),LOOKUP(F78,T!$AC108:$AC129,T!$Y108:$Y129),IF(AND(F51="4E1",OR(F53=7,F53=10),F55="AC"),LOOKUP(F78,T!$AC108:$AC129,T!$Z108:$Z129),IF(AND(F51="4E1",F53=9,F55="AC"),LOOKUP(F78,T!$AC115:$AC129,T!$AA115:$AA129),IF(AND(F51="4E1",OR(F53=11,F53=12),F55="AC",F57=3),LOOKUP(F78,T!$AC115:$AC129,T!$AB115:$AB129),IF(AND(F51="4E2",OR(F53=2,F53=4,F53=6,F53=8),F55="DC"),LOOKUP(F78,T!$X134:$X152,T!$U134:$U152),IF(AND(F51="4E2",OR(F53=2,F53=4,F53=6,F53=8),F55="AC"),LOOKUP(F78,T!$X134:$X152,T!$V134:$V152),IF(AND(F51="4E2",OR(F53=3,F53=5,F53=7,F53=9),F55="AC"),LOOKUP(F78,T!$X134:$X152,T!$W134:$W152),IF(AND(F51="4E3",OR(F53=2,F53=4,F53=7,F53=8),F55="DC"),LOOKUP(F78,T!$AA158:$AA170,T!$U158:$U170),IF(AND(F51="4E3",OR(F53=2,F53=4),F55="AC"),LOOKUP(F78,T!$AA158:$AA170,T!$V158:$V170),IF(AND(F51="4E3",OR(F53=9,F53=10),F55="AC"),LOOKUP(F78,T!$AA158:$AA170,T!$W158:$W170),IF(AND(F51="4E3",F53=6,F55="AC"),LOOKUP(F78,T!$AA158:$AA170,T!$X158:$X170),IF(AND(F51="4E3",OR(F53=3,F53=5),F55="AC"),LOOKUP(F78,T!$AA158:$AA170,T!$Y158:$Y170),IF(AND(F51="4E3",OR(F53=11,F53=12),F55="AC"),LOOKUP(F78,T!$AA158:$AA170,T!$Z158:$Z170),IF(AND(F51="4E4",OR(F53=2,F53=4,F53=6),F55="DC"),LOOKUP(F78,T!$X176:$X192,T!$U176:$U192),IF(AND(F51="4E4",OR(F53=2,F53=4,F53=6),F55="AC"),LOOKUP(F78,T!$X176:$X192,T!$V176:$V192),IF(AND(F51="4E4",OR(F53=3,F53=5,F53=7),F55="AC"),LOOKUP(F78,T!$X176:$X192,T!$W176:$W192),0)))))))))))))))))))),IF(ISNUMBER(SEARCH("4F",F51)),IF(AND(F51="4F1",F53=2,F55="DC"),LOOKUP(F78,T!$Z198:$Z214,T!$U198:$U214),IF(AND(F51="4F1",F53=2,F55="AC"),LOOKUP(F78,T!$Z198:$Z214,T!$V198:$V214),IF(AND(F51="4F1",F53=3,F55="AC"),LOOKUP(F78,T!$Z198:$Z214,T!$W198:$W214),IF(AND(F51="4F1",F53=4,F55="DC"),LOOKUP(F78,T!$Z198:$Z214,T!$X198:$X214),IF(AND(F51="4F1",F53=4,F55="AC"),LOOKUP(F78,T!$Z198:$Z214,T!$Y198:$Y214),IF(AND(F51="4F2",F53=2,F55="DC"),LOOKUP(F78,T!$Y220:$Y236,T!$U220:$U236),IF(AND(F51="4F2",F53=2,F55="AC"),LOOKUP(F78,T!$Y220:$Y236,T!$V220:$V236),IF(AND(F51="4F2",F53=3,F55="AC"),LOOKUP(F78,T!$Y220:$Y236,T!$W220:$W236),IF(AND(F51="4F2",F53=4,F55="DC"),LOOKUP(F78,T!$Y220:$Y236,T!$X220:$X236),IF(AND(F51="4F3",F53=2),LOOKUP(F78,T!$W242:$W248,T!$U242:$U248),IF(AND(F51="4F3",F53=3,F55="AC"),LOOKUP(F78,T!$W242:$W248,T!$V242:$V248),0))))))))))),IF(ISNUMBER(SEARCH("4G",F51)),IF(AND(F51="4G1",OR(F53=2,F53=5)),LOOKUP(F79,T!$AA254:$AA269,T!$U254:$U269),IF(AND(F51="4G1",OR(F53=3,F53=6)),LOOKUP(F79,T!$AA254:$AA269,T!$X254:$X269),IF(AND(F51="4G1",OR(F53=4,F53=7)),LOOKUP(F79,T!$AA254:$AA269,T!$Y254:$Y269),IF(AND(F51="4G1",OR(F53=8,F53=9)),LOOKUP(F79,T!$AA254:$AA269,T!$Z254:$Z269),IF(AND(F51="4G2",OR(F53=2,F53=5)),LOOKUP(F79,T!$AA281:$AA296,T!$U281:$U296),IF(AND(F51="4G2",OR(F53=3,F53=6)),LOOKUP(F79,T!$AA281:$AA296,T!$X281:$X296),IF(AND(F51="4G2",OR(F53=4,F53=7)),LOOKUP(F79,T!$AA281:$AA296,T!$Y281:$Y296),IF(AND(F51="4G2",OR(F53=8,F53=9)),LOOKUP(F79,T!$AA281:$AA296,T!$Z281:$Z296),0)))))))),0)))))*F23*F69)/1000))</f>
        <v>3.4000560000000002</v>
      </c>
      <c r="G94" s="161">
        <f ca="1">IF(G29="","",IF(OR(COUNT(G19:G21)=3,COUNT(G19:G21)=1),(IF(G29="",0,IF(ISNUMBER(SEARCH("4D",G51)),IF(AND(G51="4D1",OR(G53=2,G53=4,G53=6,G53=8,G53=11),G55="DC"),LOOKUP(G78,T!$AC6:$AC27,T!$U6:$U27),IF(AND(G51="4D1",OR(G53=2,G53=4),G55="AC"),LOOKUP(G78,T!$AC6:$AC27,T!$V6:$V27),IF(AND(G51="4D1",OR(G53=6,G53=8),G55="AC"),LOOKUP(G78,T!$AC6:$AC27,T!$W6:$W27),IF(AND(G51="4D1",OR(G53=11,G53=12),G55="AC",G57=1),LOOKUP(G78,T!$AC6:$AC27,T!$X6:$X27),IF(AND(G51="4D1",OR(G53=3,G53=5),G55="AC"),LOOKUP(G78,T!$AC6:$AC27,T!$Y6:$Y27),IF(AND(G51="4D1",OR(G53=7,G53=10),G55="AC"),LOOKUP(G78,T!$AC6:$AC27,T!$Z6:$Z27),IF(AND(G51="4D1",G53=9,G55="AC"),LOOKUP(G78,T!$AC6:$AC27,T!$AA6:$AA27),IF(AND(G51="4D1",OR(G53=11,G53=12),G55="AC",G57=3),LOOKUP(G78,T!$AC13:$AC27,T!$AB13:$AB27),IF(AND(G51="4D2",OR(G53=2,G53=4,G53=6,G53=8),G55="DC"),LOOKUP(G78,T!$X33:$X50,T!$U33:$U50),IF(AND(G51="4D2",OR(G53=2,G53=4,G53=6,G53=8),G55="AC"),LOOKUP(G78,T!$X33:$X50,T!$V33:$V50),IF(AND(G51="4D2",OR(G53=3,G53=5,G53=7,G53=9),G55="AC"),LOOKUP(G78,T!$X33:$X50,T!$W33:$W50),IF(AND(G51="4D3",OR(G53=2,G53=4,G53=7,G53=8),G55="DC"),LOOKUP(G78,T!$AA56:$AA68,T!$U56:$U68),IF(AND(G51="4D3",OR(G53=2,G53=4),G55="AC"),LOOKUP(G78,T!$AA56:$AA68,T!$V56:$V68),IF(AND(G51="4D3",OR(G53=9,G53=10),G55="AC"),LOOKUP(G78,T!$AA56:$AA$68,T!$W56:$W68),IF(AND(G51="4D3",G53=6,G55="AC"),LOOKUP(G78,T!$AA56:$AA68,T!$X56:$X68),IF(AND(G51="4D3",OR(G53=3,G53=5),G55="AC"),LOOKUP(G78,T!$AA56:$AA68,T!$Y56:$Y68),IF(AND(G51="4D3",OR(G53=11,G53=12),G55="AC"),LOOKUP(G78,T!$AA56:$AA68,T!$Z56:$Z68),IF(AND(G51="4D4",OR(G53=2,G53=4,G53=6),G55="DC"),LOOKUP(G78,T!$X74:$X90,T!$U74:$U90),IF(AND(G51="4D4",OR(G53=2,G53=4,G53=6),G55="AC"),LOOKUP(G78,T!$X74:$X90,T!$V74:$V90),IF(AND(G51="4D4",OR(G53=3,G53=5,G53=7),G55="AC"),LOOKUP(G78,T!$X74:$X90,T!$W74:$W90),IF(AND(G51="4D5",AND(G53&gt;=2,G53&lt;=7)),LOOKUP(G78,T!$I96:$I102,T!$H96:$H102),0))))))))))))))))))))),IF(ISNUMBER(SEARCH("4E",G51)),IF(AND(G51="4E1",OR(G53=2,G53=4,G53=6,G53=8,G53=11),G55="DC"),LOOKUP(G78,T!$AC108:$AC129,T!$U108:$U129),IF(AND(G51="4E1",OR(G53=2,G53=4),G55="AC"),LOOKUP(G78,T!$AC108:$AC129,T!$V108:$V129),IF(AND(G51="4E1",OR(G53=6,G53=8),G55="AC"),LOOKUP(G78,T!$AC108:$AC129,T!$W108:$W129),IF(AND(G51="4E1",OR(G53=11,G53=12),G55="AC",G57=1),LOOKUP(G78,T!$AC108:$AC127,T!$X108:$X129),IF(AND(G51="4E1",OR(G53=3,G53=5),G55="AC"),LOOKUP(G78,T!$AC108:$AC129,T!$Y108:$Y129),IF(AND(G51="4E1",OR(G53=7,G53=10),G55="AC"),LOOKUP(G78,T!$AC108:$AC129,T!$Z108:$Z129),IF(AND(G51="4E1",G53=9,G55="AC"),LOOKUP(G78,T!$AC115:$AC129,T!$AA115:$AA129),IF(AND(G51="4E1",OR(G53=11,G53=12),G55="AC",G57=3),LOOKUP(G78,T!$AC115:$AC129,T!$AB115:$AB129),IF(AND(G51="4E2",OR(G53=2,G53=4,G53=6,G53=8),G55="DC"),LOOKUP(G78,T!$X134:$X152,T!$U134:$U152),IF(AND(G51="4E2",OR(G53=2,G53=4,G53=6,G53=8),G55="AC"),LOOKUP(G78,T!$X134:$X152,T!$V134:$V152),IF(AND(G51="4E2",OR(G53=3,G53=5,G53=7,G53=9),G55="AC"),LOOKUP(G78,T!$X134:$X152,T!$W134:$W152),IF(AND(G51="4E3",OR(G53=2,G53=4,G53=7,G53=8),G55="DC"),LOOKUP(G78,T!$AA158:$AA170,T!$U158:$U170),IF(AND(G51="4E3",OR(G53=2,G53=4),G55="AC"),LOOKUP(G78,T!$AA158:$AA170,T!$V158:$V170),IF(AND(G51="4E3",OR(G53=9,G53=10),G55="AC"),LOOKUP(G78,T!$AA158:$AA170,T!$W158:$W170),IF(AND(G51="4E3",G53=6,G55="AC"),LOOKUP(G78,T!$AA158:$AA170,T!$X158:$X170),IF(AND(G51="4E3",OR(G53=3,G53=5),G55="AC"),LOOKUP(G78,T!$AA158:$AA170,T!$Y158:$Y170),IF(AND(G51="4E3",OR(G53=11,G53=12),G55="AC"),LOOKUP(G78,T!$AA158:$AA170,T!$Z158:$Z170),IF(AND(G51="4E4",OR(G53=2,G53=4,G53=6),G55="DC"),LOOKUP(G78,T!$X176:$X192,T!$U176:$U192),IF(AND(G51="4E4",OR(G53=2,G53=4,G53=6),G55="AC"),LOOKUP(G78,T!$X176:$X192,T!$V176:$V192),IF(AND(G51="4E4",OR(G53=3,G53=5,G53=7),G55="AC"),LOOKUP(G78,T!$X176:$X192,T!$W176:$W192),0)))))))))))))))))))),IF(ISNUMBER(SEARCH("4F",G51)),IF(AND(G51="4F1",G53=2,G55="DC"),LOOKUP(G78,T!$Z198:$Z214,T!$U198:$U214),IF(AND(G51="4F1",G53=2,G55="AC"),LOOKUP(G78,T!$Z198:$Z214,T!$V198:$V214),IF(AND(G51="4F1",G53=3,G55="AC"),LOOKUP(G78,T!$Z198:$Z214,T!$W198:$W214),IF(AND(G51="4F1",G53=4,G55="DC"),LOOKUP(G78,T!$Z198:$Z214,T!$X198:$X214),IF(AND(G51="4F1",G53=4,G55="AC"),LOOKUP(G78,T!$Z198:$Z214,T!$Y198:$Y214),IF(AND(G51="4F2",G53=2,G55="DC"),LOOKUP(G78,T!$Y220:$Y236,T!$U220:$U236),IF(AND(G51="4F2",G53=2,G55="AC"),LOOKUP(G78,T!$Y220:$Y236,T!$V220:$V236),IF(AND(G51="4F2",G53=3,G55="AC"),LOOKUP(G78,T!$Y220:$Y236,T!$W220:$W236),IF(AND(G51="4F2",G53=4,G55="DC"),LOOKUP(G78,T!$Y220:$Y236,T!$X220:$X236),IF(AND(G51="4F3",G53=2),LOOKUP(G78,T!$W242:$W248,T!$U242:$U248),IF(AND(G51="4F3",G53=3,G55="AC"),LOOKUP(G78,T!$W242:$W248,T!$V242:$V248),0))))))))))),IF(ISNUMBER(SEARCH("4G",G51)),IF(AND(G51="4G1",OR(G53=2,G53=5)),LOOKUP(G79,T!$AA254:$AA269,T!$U254:$U269),IF(AND(G51="4G1",OR(G53=3,G53=6)),LOOKUP(G79,T!$AA254:$AA269,T!$X254:$X269),IF(AND(G51="4G1",OR(G53=4,G53=7)),LOOKUP(G79,T!$AA254:$AA269,T!$Y254:$Y269),IF(AND(G51="4G1",OR(G53=8,G53=9)),LOOKUP(G79,T!$AA254:$AA269,T!$Z254:$Z269),IF(AND(G51="4G2",OR(G53=2,G53=5)),LOOKUP(G79,T!$AA281:$AA296,T!$U281:$U296),IF(AND(G51="4G2",OR(G53=3,G53=6)),LOOKUP(G79,T!$AA281:$AA296,T!$X281:$X296),IF(AND(G51="4G2",OR(G53=4,G53=7)),LOOKUP(G79,T!$AA281:$AA296,T!$Y281:$Y296),IF(AND(G51="4G2",OR(G53=8,G53=9)),LOOKUP(G79,T!$AA281:$AA296,T!$Z281:$Z296),0)))))))),0)))))*G23*G69)/1000))</f>
        <v>3.4000560000000002</v>
      </c>
      <c r="H94" s="161">
        <f ca="1">IF(H29="","",IF(OR(COUNT(H19:H21)=3,COUNT(H19:H21)=1),(IF(H29="",0,IF(ISNUMBER(SEARCH("4D",H51)),IF(AND(H51="4D1",OR(H53=2,H53=4,H53=6,H53=8,H53=11),H55="DC"),LOOKUP(H78,T!$AC6:$AC27,T!$U6:$U27),IF(AND(H51="4D1",OR(H53=2,H53=4),H55="AC"),LOOKUP(H78,T!$AC6:$AC27,T!$V6:$V27),IF(AND(H51="4D1",OR(H53=6,H53=8),H55="AC"),LOOKUP(H78,T!$AC6:$AC27,T!$W6:$W27),IF(AND(H51="4D1",OR(H53=11,H53=12),H55="AC",H57=1),LOOKUP(H78,T!$AC6:$AC27,T!$X6:$X27),IF(AND(H51="4D1",OR(H53=3,H53=5),H55="AC"),LOOKUP(H78,T!$AC6:$AC27,T!$Y6:$Y27),IF(AND(H51="4D1",OR(H53=7,H53=10),H55="AC"),LOOKUP(H78,T!$AC6:$AC27,T!$Z6:$Z27),IF(AND(H51="4D1",H53=9,H55="AC"),LOOKUP(H78,T!$AC6:$AC27,T!$AA6:$AA27),IF(AND(H51="4D1",OR(H53=11,H53=12),H55="AC",H57=3),LOOKUP(H78,T!$AC13:$AC27,T!$AB13:$AB27),IF(AND(H51="4D2",OR(H53=2,H53=4,H53=6,H53=8),H55="DC"),LOOKUP(H78,T!$X33:$X50,T!$U33:$U50),IF(AND(H51="4D2",OR(H53=2,H53=4,H53=6,H53=8),H55="AC"),LOOKUP(H78,T!$X33:$X50,T!$V33:$V50),IF(AND(H51="4D2",OR(H53=3,H53=5,H53=7,H53=9),H55="AC"),LOOKUP(H78,T!$X33:$X50,T!$W33:$W50),IF(AND(H51="4D3",OR(H53=2,H53=4,H53=7,H53=8),H55="DC"),LOOKUP(H78,T!$AA56:$AA68,T!$U56:$U68),IF(AND(H51="4D3",OR(H53=2,H53=4),H55="AC"),LOOKUP(H78,T!$AA56:$AA68,T!$V56:$V68),IF(AND(H51="4D3",OR(H53=9,H53=10),H55="AC"),LOOKUP(H78,T!$AA56:$AA$68,T!$W56:$W68),IF(AND(H51="4D3",H53=6,H55="AC"),LOOKUP(H78,T!$AA56:$AA68,T!$X56:$X68),IF(AND(H51="4D3",OR(H53=3,H53=5),H55="AC"),LOOKUP(H78,T!$AA56:$AA68,T!$Y56:$Y68),IF(AND(H51="4D3",OR(H53=11,H53=12),H55="AC"),LOOKUP(H78,T!$AA56:$AA68,T!$Z56:$Z68),IF(AND(H51="4D4",OR(H53=2,H53=4,H53=6),H55="DC"),LOOKUP(H78,T!$X74:$X90,T!$U74:$U90),IF(AND(H51="4D4",OR(H53=2,H53=4,H53=6),H55="AC"),LOOKUP(H78,T!$X74:$X90,T!$V74:$V90),IF(AND(H51="4D4",OR(H53=3,H53=5,H53=7),H55="AC"),LOOKUP(H78,T!$X74:$X90,T!$W74:$W90),IF(AND(H51="4D5",AND(H53&gt;=2,H53&lt;=7)),LOOKUP(H78,T!$I96:$I102,T!$H96:$H102),0))))))))))))))))))))),IF(ISNUMBER(SEARCH("4E",H51)),IF(AND(H51="4E1",OR(H53=2,H53=4,H53=6,H53=8,H53=11),H55="DC"),LOOKUP(H78,T!$AC108:$AC129,T!$U108:$U129),IF(AND(H51="4E1",OR(H53=2,H53=4),H55="AC"),LOOKUP(H78,T!$AC108:$AC129,T!$V108:$V129),IF(AND(H51="4E1",OR(H53=6,H53=8),H55="AC"),LOOKUP(H78,T!$AC108:$AC129,T!$W108:$W129),IF(AND(H51="4E1",OR(H53=11,H53=12),H55="AC",H57=1),LOOKUP(H78,T!$AC108:$AC127,T!$X108:$X129),IF(AND(H51="4E1",OR(H53=3,H53=5),H55="AC"),LOOKUP(H78,T!$AC108:$AC129,T!$Y108:$Y129),IF(AND(H51="4E1",OR(H53=7,H53=10),H55="AC"),LOOKUP(H78,T!$AC108:$AC129,T!$Z108:$Z129),IF(AND(H51="4E1",H53=9,H55="AC"),LOOKUP(H78,T!$AC115:$AC129,T!$AA115:$AA129),IF(AND(H51="4E1",OR(H53=11,H53=12),H55="AC",H57=3),LOOKUP(H78,T!$AC115:$AC129,T!$AB115:$AB129),IF(AND(H51="4E2",OR(H53=2,H53=4,H53=6,H53=8),H55="DC"),LOOKUP(H78,T!$X134:$X152,T!$U134:$U152),IF(AND(H51="4E2",OR(H53=2,H53=4,H53=6,H53=8),H55="AC"),LOOKUP(H78,T!$X134:$X152,T!$V134:$V152),IF(AND(H51="4E2",OR(H53=3,H53=5,H53=7,H53=9),H55="AC"),LOOKUP(H78,T!$X134:$X152,T!$W134:$W152),IF(AND(H51="4E3",OR(H53=2,H53=4,H53=7,H53=8),H55="DC"),LOOKUP(H78,T!$AA158:$AA170,T!$U158:$U170),IF(AND(H51="4E3",OR(H53=2,H53=4),H55="AC"),LOOKUP(H78,T!$AA158:$AA170,T!$V158:$V170),IF(AND(H51="4E3",OR(H53=9,H53=10),H55="AC"),LOOKUP(H78,T!$AA158:$AA170,T!$W158:$W170),IF(AND(H51="4E3",H53=6,H55="AC"),LOOKUP(H78,T!$AA158:$AA170,T!$X158:$X170),IF(AND(H51="4E3",OR(H53=3,H53=5),H55="AC"),LOOKUP(H78,T!$AA158:$AA170,T!$Y158:$Y170),IF(AND(H51="4E3",OR(H53=11,H53=12),H55="AC"),LOOKUP(H78,T!$AA158:$AA170,T!$Z158:$Z170),IF(AND(H51="4E4",OR(H53=2,H53=4,H53=6),H55="DC"),LOOKUP(H78,T!$X176:$X192,T!$U176:$U192),IF(AND(H51="4E4",OR(H53=2,H53=4,H53=6),H55="AC"),LOOKUP(H78,T!$X176:$X192,T!$V176:$V192),IF(AND(H51="4E4",OR(H53=3,H53=5,H53=7),H55="AC"),LOOKUP(H78,T!$X176:$X192,T!$W176:$W192),0)))))))))))))))))))),IF(ISNUMBER(SEARCH("4F",H51)),IF(AND(H51="4F1",H53=2,H55="DC"),LOOKUP(H78,T!$Z198:$Z214,T!$U198:$U214),IF(AND(H51="4F1",H53=2,H55="AC"),LOOKUP(H78,T!$Z198:$Z214,T!$V198:$V214),IF(AND(H51="4F1",H53=3,H55="AC"),LOOKUP(H78,T!$Z198:$Z214,T!$W198:$W214),IF(AND(H51="4F1",H53=4,H55="DC"),LOOKUP(H78,T!$Z198:$Z214,T!$X198:$X214),IF(AND(H51="4F1",H53=4,H55="AC"),LOOKUP(H78,T!$Z198:$Z214,T!$Y198:$Y214),IF(AND(H51="4F2",H53=2,H55="DC"),LOOKUP(H78,T!$Y220:$Y236,T!$U220:$U236),IF(AND(H51="4F2",H53=2,H55="AC"),LOOKUP(H78,T!$Y220:$Y236,T!$V220:$V236),IF(AND(H51="4F2",H53=3,H55="AC"),LOOKUP(H78,T!$Y220:$Y236,T!$W220:$W236),IF(AND(H51="4F2",H53=4,H55="DC"),LOOKUP(H78,T!$Y220:$Y236,T!$X220:$X236),IF(AND(H51="4F3",H53=2),LOOKUP(H78,T!$W242:$W248,T!$U242:$U248),IF(AND(H51="4F3",H53=3,H55="AC"),LOOKUP(H78,T!$W242:$W248,T!$V242:$V248),0))))))))))),IF(ISNUMBER(SEARCH("4G",H51)),IF(AND(H51="4G1",OR(H53=2,H53=5)),LOOKUP(H79,T!$AA254:$AA269,T!$U254:$U269),IF(AND(H51="4G1",OR(H53=3,H53=6)),LOOKUP(H79,T!$AA254:$AA269,T!$X254:$X269),IF(AND(H51="4G1",OR(H53=4,H53=7)),LOOKUP(H79,T!$AA254:$AA269,T!$Y254:$Y269),IF(AND(H51="4G1",OR(H53=8,H53=9)),LOOKUP(H79,T!$AA254:$AA269,T!$Z254:$Z269),IF(AND(H51="4G2",OR(H53=2,H53=5)),LOOKUP(H79,T!$AA281:$AA296,T!$U281:$U296),IF(AND(H51="4G2",OR(H53=3,H53=6)),LOOKUP(H79,T!$AA281:$AA296,T!$X281:$X296),IF(AND(H51="4G2",OR(H53=4,H53=7)),LOOKUP(H79,T!$AA281:$AA296,T!$Y281:$Y296),IF(AND(H51="4G2",OR(H53=8,H53=9)),LOOKUP(H79,T!$AA281:$AA296,T!$Z281:$Z296),0)))))))),0)))))*H23*H69)/1000))</f>
        <v>3.4000560000000002</v>
      </c>
      <c r="I94" s="161">
        <f>IF(I29="","",IF(OR(COUNT(I19:I21)=3,COUNT(I19:I21)=1),(IF(I29="",0,IF(ISNUMBER(SEARCH("4D",I51)),IF(AND(I51="4D1",OR(I53=2,I53=4,I53=6,I53=8,I53=11),I55="DC"),LOOKUP(I78,T!$AC6:$AC27,T!$U6:$U27),IF(AND(I51="4D1",OR(I53=2,I53=4),I55="AC"),LOOKUP(I78,T!$AC6:$AC27,T!$V6:$V27),IF(AND(I51="4D1",OR(I53=6,I53=8),I55="AC"),LOOKUP(I78,T!$AC6:$AC27,T!$W6:$W27),IF(AND(I51="4D1",OR(I53=11,I53=12),I55="AC",I57=1),LOOKUP(I78,T!$AC6:$AC27,T!$X6:$X27),IF(AND(I51="4D1",OR(I53=3,I53=5),I55="AC"),LOOKUP(I78,T!$AC6:$AC27,T!$Y6:$Y27),IF(AND(I51="4D1",OR(I53=7,I53=10),I55="AC"),LOOKUP(I78,T!$AC6:$AC27,T!$Z6:$Z27),IF(AND(I51="4D1",I53=9,I55="AC"),LOOKUP(I78,T!$AC6:$AC27,T!$AA6:$AA27),IF(AND(I51="4D1",OR(I53=11,I53=12),I55="AC",I57=3),LOOKUP(I78,T!$AC13:$AC27,T!$AB13:$AB27),IF(AND(I51="4D2",OR(I53=2,I53=4,I53=6,I53=8),I55="DC"),LOOKUP(I78,T!$X33:$X50,T!$U33:$U50),IF(AND(I51="4D2",OR(I53=2,I53=4,I53=6,I53=8),I55="AC"),LOOKUP(I78,T!$X33:$X50,T!$V33:$V50),IF(AND(I51="4D2",OR(I53=3,I53=5,I53=7,I53=9),I55="AC"),LOOKUP(I78,T!$X33:$X50,T!$W33:$W50),IF(AND(I51="4D3",OR(I53=2,I53=4,I53=7,I53=8),I55="DC"),LOOKUP(I78,T!$AA56:$AA68,T!$U56:$U68),IF(AND(I51="4D3",OR(I53=2,I53=4),I55="AC"),LOOKUP(I78,T!$AA56:$AA68,T!$V56:$V68),IF(AND(I51="4D3",OR(I53=9,I53=10),I55="AC"),LOOKUP(I78,T!$AA56:$AA$68,T!$W56:$W68),IF(AND(I51="4D3",I53=6,I55="AC"),LOOKUP(I78,T!$AA56:$AA68,T!$X56:$X68),IF(AND(I51="4D3",OR(I53=3,I53=5),I55="AC"),LOOKUP(I78,T!$AA56:$AA68,T!$Y56:$Y68),IF(AND(I51="4D3",OR(I53=11,I53=12),I55="AC"),LOOKUP(I78,T!$AA56:$AA68,T!$Z56:$Z68),IF(AND(I51="4D4",OR(I53=2,I53=4,I53=6),I55="DC"),LOOKUP(I78,T!$X74:$X90,T!$U74:$U90),IF(AND(I51="4D4",OR(I53=2,I53=4,I53=6),I55="AC"),LOOKUP(I78,T!$X74:$X90,T!$V74:$V90),IF(AND(I51="4D4",OR(I53=3,I53=5,I53=7),I55="AC"),LOOKUP(I78,T!$X74:$X90,T!$W74:$W90),IF(AND(I51="4D5",AND(I53&gt;=2,I53&lt;=7)),LOOKUP(I78,T!$I96:$I102,T!$H96:$H102),0))))))))))))))))))))),IF(ISNUMBER(SEARCH("4E",I51)),IF(AND(I51="4E1",OR(I53=2,I53=4,I53=6,I53=8,I53=11),I55="DC"),LOOKUP(I78,T!$AC108:$AC129,T!$U108:$U129),IF(AND(I51="4E1",OR(I53=2,I53=4),I55="AC"),LOOKUP(I78,T!$AC108:$AC129,T!$V108:$V129),IF(AND(I51="4E1",OR(I53=6,I53=8),I55="AC"),LOOKUP(I78,T!$AC108:$AC129,T!$W108:$W129),IF(AND(I51="4E1",OR(I53=11,I53=12),I55="AC",I57=1),LOOKUP(I78,T!$AC108:$AC127,T!$X108:$X129),IF(AND(I51="4E1",OR(I53=3,I53=5),I55="AC"),LOOKUP(I78,T!$AC108:$AC129,T!$Y108:$Y129),IF(AND(I51="4E1",OR(I53=7,I53=10),I55="AC"),LOOKUP(I78,T!$AC108:$AC129,T!$Z108:$Z129),IF(AND(I51="4E1",I53=9,I55="AC"),LOOKUP(I78,T!$AC115:$AC129,T!$AA115:$AA129),IF(AND(I51="4E1",OR(I53=11,I53=12),I55="AC",I57=3),LOOKUP(I78,T!$AC115:$AC129,T!$AB115:$AB129),IF(AND(I51="4E2",OR(I53=2,I53=4,I53=6,I53=8),I55="DC"),LOOKUP(I78,T!$X134:$X152,T!$U134:$U152),IF(AND(I51="4E2",OR(I53=2,I53=4,I53=6,I53=8),I55="AC"),LOOKUP(I78,T!$X134:$X152,T!$V134:$V152),IF(AND(I51="4E2",OR(I53=3,I53=5,I53=7,I53=9),I55="AC"),LOOKUP(I78,T!$X134:$X152,T!$W134:$W152),IF(AND(I51="4E3",OR(I53=2,I53=4,I53=7,I53=8),I55="DC"),LOOKUP(I78,T!$AA158:$AA170,T!$U158:$U170),IF(AND(I51="4E3",OR(I53=2,I53=4),I55="AC"),LOOKUP(I78,T!$AA158:$AA170,T!$V158:$V170),IF(AND(I51="4E3",OR(I53=9,I53=10),I55="AC"),LOOKUP(I78,T!$AA158:$AA170,T!$W158:$W170),IF(AND(I51="4E3",I53=6,I55="AC"),LOOKUP(I78,T!$AA158:$AA170,T!$X158:$X170),IF(AND(I51="4E3",OR(I53=3,I53=5),I55="AC"),LOOKUP(I78,T!$AA158:$AA170,T!$Y158:$Y170),IF(AND(I51="4E3",OR(I53=11,I53=12),I55="AC"),LOOKUP(I78,T!$AA158:$AA170,T!$Z158:$Z170),IF(AND(I51="4E4",OR(I53=2,I53=4,I53=6),I55="DC"),LOOKUP(I78,T!$X176:$X192,T!$U176:$U192),IF(AND(I51="4E4",OR(I53=2,I53=4,I53=6),I55="AC"),LOOKUP(I78,T!$X176:$X192,T!$V176:$V192),IF(AND(I51="4E4",OR(I53=3,I53=5,I53=7),I55="AC"),LOOKUP(I78,T!$X176:$X192,T!$W176:$W192),0)))))))))))))))))))),IF(ISNUMBER(SEARCH("4F",I51)),IF(AND(I51="4F1",I53=2,I55="DC"),LOOKUP(I78,T!$Z198:$Z214,T!$U198:$U214),IF(AND(I51="4F1",I53=2,I55="AC"),LOOKUP(I78,T!$Z198:$Z214,T!$V198:$V214),IF(AND(I51="4F1",I53=3,I55="AC"),LOOKUP(I78,T!$Z198:$Z214,T!$W198:$W214),IF(AND(I51="4F1",I53=4,I55="DC"),LOOKUP(I78,T!$Z198:$Z214,T!$X198:$X214),IF(AND(I51="4F1",I53=4,I55="AC"),LOOKUP(I78,T!$Z198:$Z214,T!$Y198:$Y214),IF(AND(I51="4F2",I53=2,I55="DC"),LOOKUP(I78,T!$Y220:$Y236,T!$U220:$U236),IF(AND(I51="4F2",I53=2,I55="AC"),LOOKUP(I78,T!$Y220:$Y236,T!$V220:$V236),IF(AND(I51="4F2",I53=3,I55="AC"),LOOKUP(I78,T!$Y220:$Y236,T!$W220:$W236),IF(AND(I51="4F2",I53=4,I55="DC"),LOOKUP(I78,T!$Y220:$Y236,T!$X220:$X236),IF(AND(I51="4F3",I53=2),LOOKUP(I78,T!$W242:$W248,T!$U242:$U248),IF(AND(I51="4F3",I53=3,I55="AC"),LOOKUP(I78,T!$W242:$W248,T!$V242:$V248),0))))))))))),IF(ISNUMBER(SEARCH("4G",I51)),IF(AND(I51="4G1",OR(I53=2,I53=5)),LOOKUP(I79,T!$AA254:$AA269,T!$U254:$U269),IF(AND(I51="4G1",OR(I53=3,I53=6)),LOOKUP(I79,T!$AA254:$AA269,T!$X254:$X269),IF(AND(I51="4G1",OR(I53=4,I53=7)),LOOKUP(I79,T!$AA254:$AA269,T!$Y254:$Y269),IF(AND(I51="4G1",OR(I53=8,I53=9)),LOOKUP(I79,T!$AA254:$AA269,T!$Z254:$Z269),IF(AND(I51="4G2",OR(I53=2,I53=5)),LOOKUP(I79,T!$AA281:$AA296,T!$U281:$U296),IF(AND(I51="4G2",OR(I53=3,I53=6)),LOOKUP(I79,T!$AA281:$AA296,T!$X281:$X296),IF(AND(I51="4G2",OR(I53=4,I53=7)),LOOKUP(I79,T!$AA281:$AA296,T!$Y281:$Y296),IF(AND(I51="4G2",OR(I53=8,I53=9)),LOOKUP(I79,T!$AA281:$AA296,T!$Z281:$Z296),0)))))))),0)))))*I23*I69)/1000))</f>
        <v>0</v>
      </c>
      <c r="J94" s="161">
        <f>IF(J29="","",IF(OR(COUNT(J19:J21)=3,COUNT(J19:J21)=1),(IF(J29="",0,IF(ISNUMBER(SEARCH("4D",J51)),IF(AND(J51="4D1",OR(J53=2,J53=4,J53=6,J53=8,J53=11),J55="DC"),LOOKUP(J78,T!$AC6:$AC27,T!$U6:$U27),IF(AND(J51="4D1",OR(J53=2,J53=4),J55="AC"),LOOKUP(J78,T!$AC6:$AC27,T!$V6:$V27),IF(AND(J51="4D1",OR(J53=6,J53=8),J55="AC"),LOOKUP(J78,T!$AC6:$AC27,T!$W6:$W27),IF(AND(J51="4D1",OR(J53=11,J53=12),J55="AC",J57=1),LOOKUP(J78,T!$AC6:$AC27,T!$X6:$X27),IF(AND(J51="4D1",OR(J53=3,J53=5),J55="AC"),LOOKUP(J78,T!$AC6:$AC27,T!$Y6:$Y27),IF(AND(J51="4D1",OR(J53=7,J53=10),J55="AC"),LOOKUP(J78,T!$AC6:$AC27,T!$Z6:$Z27),IF(AND(J51="4D1",J53=9,J55="AC"),LOOKUP(J78,T!$AC6:$AC27,T!$AA6:$AA27),IF(AND(J51="4D1",OR(J53=11,J53=12),J55="AC",J57=3),LOOKUP(J78,T!$AC13:$AC27,T!$AB13:$AB27),IF(AND(J51="4D2",OR(J53=2,J53=4,J53=6,J53=8),J55="DC"),LOOKUP(J78,T!$X33:$X50,T!$U33:$U50),IF(AND(J51="4D2",OR(J53=2,J53=4,J53=6,J53=8),J55="AC"),LOOKUP(J78,T!$X33:$X50,T!$V33:$V50),IF(AND(J51="4D2",OR(J53=3,J53=5,J53=7,J53=9),J55="AC"),LOOKUP(J78,T!$X33:$X50,T!$W33:$W50),IF(AND(J51="4D3",OR(J53=2,J53=4,J53=7,J53=8),J55="DC"),LOOKUP(J78,T!$AA56:$AA68,T!$U56:$U68),IF(AND(J51="4D3",OR(J53=2,J53=4),J55="AC"),LOOKUP(J78,T!$AA56:$AA68,T!$V56:$V68),IF(AND(J51="4D3",OR(J53=9,J53=10),J55="AC"),LOOKUP(J78,T!$AA56:$AA$68,T!$W56:$W68),IF(AND(J51="4D3",J53=6,J55="AC"),LOOKUP(J78,T!$AA56:$AA68,T!$X56:$X68),IF(AND(J51="4D3",OR(J53=3,J53=5),J55="AC"),LOOKUP(J78,T!$AA56:$AA68,T!$Y56:$Y68),IF(AND(J51="4D3",OR(J53=11,J53=12),J55="AC"),LOOKUP(J78,T!$AA56:$AA68,T!$Z56:$Z68),IF(AND(J51="4D4",OR(J53=2,J53=4,J53=6),J55="DC"),LOOKUP(J78,T!$X74:$X90,T!$U74:$U90),IF(AND(J51="4D4",OR(J53=2,J53=4,J53=6),J55="AC"),LOOKUP(J78,T!$X74:$X90,T!$V74:$V90),IF(AND(J51="4D4",OR(J53=3,J53=5,J53=7),J55="AC"),LOOKUP(J78,T!$X74:$X90,T!$W74:$W90),IF(AND(J51="4D5",AND(J53&gt;=2,J53&lt;=7)),LOOKUP(J78,T!$I96:$I102,T!$H96:$H102),0))))))))))))))))))))),IF(ISNUMBER(SEARCH("4E",J51)),IF(AND(J51="4E1",OR(J53=2,J53=4,J53=6,J53=8,J53=11),J55="DC"),LOOKUP(J78,T!$AC108:$AC129,T!$U108:$U129),IF(AND(J51="4E1",OR(J53=2,J53=4),J55="AC"),LOOKUP(J78,T!$AC108:$AC129,T!$V108:$V129),IF(AND(J51="4E1",OR(J53=6,J53=8),J55="AC"),LOOKUP(J78,T!$AC108:$AC129,T!$W108:$W129),IF(AND(J51="4E1",OR(J53=11,J53=12),J55="AC",J57=1),LOOKUP(J78,T!$AC108:$AC127,T!$X108:$X129),IF(AND(J51="4E1",OR(J53=3,J53=5),J55="AC"),LOOKUP(J78,T!$AC108:$AC129,T!$Y108:$Y129),IF(AND(J51="4E1",OR(J53=7,J53=10),J55="AC"),LOOKUP(J78,T!$AC108:$AC129,T!$Z108:$Z129),IF(AND(J51="4E1",J53=9,J55="AC"),LOOKUP(J78,T!$AC115:$AC129,T!$AA115:$AA129),IF(AND(J51="4E1",OR(J53=11,J53=12),J55="AC",J57=3),LOOKUP(J78,T!$AC115:$AC129,T!$AB115:$AB129),IF(AND(J51="4E2",OR(J53=2,J53=4,J53=6,J53=8),J55="DC"),LOOKUP(J78,T!$X134:$X152,T!$U134:$U152),IF(AND(J51="4E2",OR(J53=2,J53=4,J53=6,J53=8),J55="AC"),LOOKUP(J78,T!$X134:$X152,T!$V134:$V152),IF(AND(J51="4E2",OR(J53=3,J53=5,J53=7,J53=9),J55="AC"),LOOKUP(J78,T!$X134:$X152,T!$W134:$W152),IF(AND(J51="4E3",OR(J53=2,J53=4,J53=7,J53=8),J55="DC"),LOOKUP(J78,T!$AA158:$AA170,T!$U158:$U170),IF(AND(J51="4E3",OR(J53=2,J53=4),J55="AC"),LOOKUP(J78,T!$AA158:$AA170,T!$V158:$V170),IF(AND(J51="4E3",OR(J53=9,J53=10),J55="AC"),LOOKUP(J78,T!$AA158:$AA170,T!$W158:$W170),IF(AND(J51="4E3",J53=6,J55="AC"),LOOKUP(J78,T!$AA158:$AA170,T!$X158:$X170),IF(AND(J51="4E3",OR(J53=3,J53=5),J55="AC"),LOOKUP(J78,T!$AA158:$AA170,T!$Y158:$Y170),IF(AND(J51="4E3",OR(J53=11,J53=12),J55="AC"),LOOKUP(J78,T!$AA158:$AA170,T!$Z158:$Z170),IF(AND(J51="4E4",OR(J53=2,J53=4,J53=6),J55="DC"),LOOKUP(J78,T!$X176:$X192,T!$U176:$U192),IF(AND(J51="4E4",OR(J53=2,J53=4,J53=6),J55="AC"),LOOKUP(J78,T!$X176:$X192,T!$V176:$V192),IF(AND(J51="4E4",OR(J53=3,J53=5,J53=7),J55="AC"),LOOKUP(J78,T!$X176:$X192,T!$W176:$W192),0)))))))))))))))))))),IF(ISNUMBER(SEARCH("4F",J51)),IF(AND(J51="4F1",J53=2,J55="DC"),LOOKUP(J78,T!$Z198:$Z214,T!$U198:$U214),IF(AND(J51="4F1",J53=2,J55="AC"),LOOKUP(J78,T!$Z198:$Z214,T!$V198:$V214),IF(AND(J51="4F1",J53=3,J55="AC"),LOOKUP(J78,T!$Z198:$Z214,T!$W198:$W214),IF(AND(J51="4F1",J53=4,J55="DC"),LOOKUP(J78,T!$Z198:$Z214,T!$X198:$X214),IF(AND(J51="4F1",J53=4,J55="AC"),LOOKUP(J78,T!$Z198:$Z214,T!$Y198:$Y214),IF(AND(J51="4F2",J53=2,J55="DC"),LOOKUP(J78,T!$Y220:$Y236,T!$U220:$U236),IF(AND(J51="4F2",J53=2,J55="AC"),LOOKUP(J78,T!$Y220:$Y236,T!$V220:$V236),IF(AND(J51="4F2",J53=3,J55="AC"),LOOKUP(J78,T!$Y220:$Y236,T!$W220:$W236),IF(AND(J51="4F2",J53=4,J55="DC"),LOOKUP(J78,T!$Y220:$Y236,T!$X220:$X236),IF(AND(J51="4F3",J53=2),LOOKUP(J78,T!$W242:$W248,T!$U242:$U248),IF(AND(J51="4F3",J53=3,J55="AC"),LOOKUP(J78,T!$W242:$W248,T!$V242:$V248),0))))))))))),IF(ISNUMBER(SEARCH("4G",J51)),IF(AND(J51="4G1",OR(J53=2,J53=5)),LOOKUP(J79,T!$AA254:$AA269,T!$U254:$U269),IF(AND(J51="4G1",OR(J53=3,J53=6)),LOOKUP(J79,T!$AA254:$AA269,T!$X254:$X269),IF(AND(J51="4G1",OR(J53=4,J53=7)),LOOKUP(J79,T!$AA254:$AA269,T!$Y254:$Y269),IF(AND(J51="4G1",OR(J53=8,J53=9)),LOOKUP(J79,T!$AA254:$AA269,T!$Z254:$Z269),IF(AND(J51="4G2",OR(J53=2,J53=5)),LOOKUP(J79,T!$AA281:$AA296,T!$U281:$U296),IF(AND(J51="4G2",OR(J53=3,J53=6)),LOOKUP(J79,T!$AA281:$AA296,T!$X281:$X296),IF(AND(J51="4G2",OR(J53=4,J53=7)),LOOKUP(J79,T!$AA281:$AA296,T!$Y281:$Y296),IF(AND(J51="4G2",OR(J53=8,J53=9)),LOOKUP(J79,T!$AA281:$AA296,T!$Z281:$Z296),0)))))))),0)))))*J23*J69)/1000))</f>
        <v>14.322916666666668</v>
      </c>
      <c r="K94" s="161">
        <f>IF(K29="","",IF(OR(COUNT(K19:K21)=3,COUNT(K19:K21)=1),(IF(K29="",0,IF(ISNUMBER(SEARCH("4D",K51)),IF(AND(K51="4D1",OR(K53=2,K53=4,K53=6,K53=8,K53=11),K55="DC"),LOOKUP(K78,T!$AC6:$AC27,T!$U6:$U27),IF(AND(K51="4D1",OR(K53=2,K53=4),K55="AC"),LOOKUP(K78,T!$AC6:$AC27,T!$V6:$V27),IF(AND(K51="4D1",OR(K53=6,K53=8),K55="AC"),LOOKUP(K78,T!$AC6:$AC27,T!$W6:$W27),IF(AND(K51="4D1",OR(K53=11,K53=12),K55="AC",K57=1),LOOKUP(K78,T!$AC6:$AC27,T!$X6:$X27),IF(AND(K51="4D1",OR(K53=3,K53=5),K55="AC"),LOOKUP(K78,T!$AC6:$AC27,T!$Y6:$Y27),IF(AND(K51="4D1",OR(K53=7,K53=10),K55="AC"),LOOKUP(K78,T!$AC6:$AC27,T!$Z6:$Z27),IF(AND(K51="4D1",K53=9,K55="AC"),LOOKUP(K78,T!$AC6:$AC27,T!$AA6:$AA27),IF(AND(K51="4D1",OR(K53=11,K53=12),K55="AC",K57=3),LOOKUP(K78,T!$AC13:$AC27,T!$AB13:$AB27),IF(AND(K51="4D2",OR(K53=2,K53=4,K53=6,K53=8),K55="DC"),LOOKUP(K78,T!$X33:$X50,T!$U33:$U50),IF(AND(K51="4D2",OR(K53=2,K53=4,K53=6,K53=8),K55="AC"),LOOKUP(K78,T!$X33:$X50,T!$V33:$V50),IF(AND(K51="4D2",OR(K53=3,K53=5,K53=7,K53=9),K55="AC"),LOOKUP(K78,T!$X33:$X50,T!$W33:$W50),IF(AND(K51="4D3",OR(K53=2,K53=4,K53=7,K53=8),K55="DC"),LOOKUP(K78,T!$AA56:$AA68,T!$U56:$U68),IF(AND(K51="4D3",OR(K53=2,K53=4),K55="AC"),LOOKUP(K78,T!$AA56:$AA68,T!$V56:$V68),IF(AND(K51="4D3",OR(K53=9,K53=10),K55="AC"),LOOKUP(K78,T!$AA56:$AA$68,T!$W56:$W68),IF(AND(K51="4D3",K53=6,K55="AC"),LOOKUP(K78,T!$AA56:$AA68,T!$X56:$X68),IF(AND(K51="4D3",OR(K53=3,K53=5),K55="AC"),LOOKUP(K78,T!$AA56:$AA68,T!$Y56:$Y68),IF(AND(K51="4D3",OR(K53=11,K53=12),K55="AC"),LOOKUP(K78,T!$AA56:$AA68,T!$Z56:$Z68),IF(AND(K51="4D4",OR(K53=2,K53=4,K53=6),K55="DC"),LOOKUP(K78,T!$X74:$X90,T!$U74:$U90),IF(AND(K51="4D4",OR(K53=2,K53=4,K53=6),K55="AC"),LOOKUP(K78,T!$X74:$X90,T!$V74:$V90),IF(AND(K51="4D4",OR(K53=3,K53=5,K53=7),K55="AC"),LOOKUP(K78,T!$X74:$X90,T!$W74:$W90),IF(AND(K51="4D5",AND(K53&gt;=2,K53&lt;=7)),LOOKUP(K78,T!$I96:$I102,T!$H96:$H102),0))))))))))))))))))))),IF(ISNUMBER(SEARCH("4E",K51)),IF(AND(K51="4E1",OR(K53=2,K53=4,K53=6,K53=8,K53=11),K55="DC"),LOOKUP(K78,T!$AC108:$AC129,T!$U108:$U129),IF(AND(K51="4E1",OR(K53=2,K53=4),K55="AC"),LOOKUP(K78,T!$AC108:$AC129,T!$V108:$V129),IF(AND(K51="4E1",OR(K53=6,K53=8),K55="AC"),LOOKUP(K78,T!$AC108:$AC129,T!$W108:$W129),IF(AND(K51="4E1",OR(K53=11,K53=12),K55="AC",K57=1),LOOKUP(K78,T!$AC108:$AC127,T!$X108:$X129),IF(AND(K51="4E1",OR(K53=3,K53=5),K55="AC"),LOOKUP(K78,T!$AC108:$AC129,T!$Y108:$Y129),IF(AND(K51="4E1",OR(K53=7,K53=10),K55="AC"),LOOKUP(K78,T!$AC108:$AC129,T!$Z108:$Z129),IF(AND(K51="4E1",K53=9,K55="AC"),LOOKUP(K78,T!$AC115:$AC129,T!$AA115:$AA129),IF(AND(K51="4E1",OR(K53=11,K53=12),K55="AC",K57=3),LOOKUP(K78,T!$AC115:$AC129,T!$AB115:$AB129),IF(AND(K51="4E2",OR(K53=2,K53=4,K53=6,K53=8),K55="DC"),LOOKUP(K78,T!$X134:$X152,T!$U134:$U152),IF(AND(K51="4E2",OR(K53=2,K53=4,K53=6,K53=8),K55="AC"),LOOKUP(K78,T!$X134:$X152,T!$V134:$V152),IF(AND(K51="4E2",OR(K53=3,K53=5,K53=7,K53=9),K55="AC"),LOOKUP(K78,T!$X134:$X152,T!$W134:$W152),IF(AND(K51="4E3",OR(K53=2,K53=4,K53=7,K53=8),K55="DC"),LOOKUP(K78,T!$AA158:$AA170,T!$U158:$U170),IF(AND(K51="4E3",OR(K53=2,K53=4),K55="AC"),LOOKUP(K78,T!$AA158:$AA170,T!$V158:$V170),IF(AND(K51="4E3",OR(K53=9,K53=10),K55="AC"),LOOKUP(K78,T!$AA158:$AA170,T!$W158:$W170),IF(AND(K51="4E3",K53=6,K55="AC"),LOOKUP(K78,T!$AA158:$AA170,T!$X158:$X170),IF(AND(K51="4E3",OR(K53=3,K53=5),K55="AC"),LOOKUP(K78,T!$AA158:$AA170,T!$Y158:$Y170),IF(AND(K51="4E3",OR(K53=11,K53=12),K55="AC"),LOOKUP(K78,T!$AA158:$AA170,T!$Z158:$Z170),IF(AND(K51="4E4",OR(K53=2,K53=4,K53=6),K55="DC"),LOOKUP(K78,T!$X176:$X192,T!$U176:$U192),IF(AND(K51="4E4",OR(K53=2,K53=4,K53=6),K55="AC"),LOOKUP(K78,T!$X176:$X192,T!$V176:$V192),IF(AND(K51="4E4",OR(K53=3,K53=5,K53=7),K55="AC"),LOOKUP(K78,T!$X176:$X192,T!$W176:$W192),0)))))))))))))))))))),IF(ISNUMBER(SEARCH("4F",K51)),IF(AND(K51="4F1",K53=2,K55="DC"),LOOKUP(K78,T!$Z198:$Z214,T!$U198:$U214),IF(AND(K51="4F1",K53=2,K55="AC"),LOOKUP(K78,T!$Z198:$Z214,T!$V198:$V214),IF(AND(K51="4F1",K53=3,K55="AC"),LOOKUP(K78,T!$Z198:$Z214,T!$W198:$W214),IF(AND(K51="4F1",K53=4,K55="DC"),LOOKUP(K78,T!$Z198:$Z214,T!$X198:$X214),IF(AND(K51="4F1",K53=4,K55="AC"),LOOKUP(K78,T!$Z198:$Z214,T!$Y198:$Y214),IF(AND(K51="4F2",K53=2,K55="DC"),LOOKUP(K78,T!$Y220:$Y236,T!$U220:$U236),IF(AND(K51="4F2",K53=2,K55="AC"),LOOKUP(K78,T!$Y220:$Y236,T!$V220:$V236),IF(AND(K51="4F2",K53=3,K55="AC"),LOOKUP(K78,T!$Y220:$Y236,T!$W220:$W236),IF(AND(K51="4F2",K53=4,K55="DC"),LOOKUP(K78,T!$Y220:$Y236,T!$X220:$X236),IF(AND(K51="4F3",K53=2),LOOKUP(K78,T!$W242:$W248,T!$U242:$U248),IF(AND(K51="4F3",K53=3,K55="AC"),LOOKUP(K78,T!$W242:$W248,T!$V242:$V248),0))))))))))),IF(ISNUMBER(SEARCH("4G",K51)),IF(AND(K51="4G1",OR(K53=2,K53=5)),LOOKUP(K79,T!$AA254:$AA269,T!$U254:$U269),IF(AND(K51="4G1",OR(K53=3,K53=6)),LOOKUP(K79,T!$AA254:$AA269,T!$X254:$X269),IF(AND(K51="4G1",OR(K53=4,K53=7)),LOOKUP(K79,T!$AA254:$AA269,T!$Y254:$Y269),IF(AND(K51="4G1",OR(K53=8,K53=9)),LOOKUP(K79,T!$AA254:$AA269,T!$Z254:$Z269),IF(AND(K51="4G2",OR(K53=2,K53=5)),LOOKUP(K79,T!$AA281:$AA296,T!$U281:$U296),IF(AND(K51="4G2",OR(K53=3,K53=6)),LOOKUP(K79,T!$AA281:$AA296,T!$X281:$X296),IF(AND(K51="4G2",OR(K53=4,K53=7)),LOOKUP(K79,T!$AA281:$AA296,T!$Y281:$Y296),IF(AND(K51="4G2",OR(K53=8,K53=9)),LOOKUP(K79,T!$AA281:$AA296,T!$Z281:$Z296),0)))))))),0)))))*K23*K69)/1000))</f>
        <v>7.4698199999999986</v>
      </c>
      <c r="L94" s="161">
        <f>IF(L29="","",IF(OR(COUNT(L19:L21)=3,COUNT(L19:L21)=1),(IF(L29="",0,IF(ISNUMBER(SEARCH("4D",L51)),IF(AND(L51="4D1",OR(L53=2,L53=4,L53=6,L53=8,L53=11),L55="DC"),LOOKUP(L78,T!$AC6:$AC27,T!$U6:$U27),IF(AND(L51="4D1",OR(L53=2,L53=4),L55="AC"),LOOKUP(L78,T!$AC6:$AC27,T!$V6:$V27),IF(AND(L51="4D1",OR(L53=6,L53=8),L55="AC"),LOOKUP(L78,T!$AC6:$AC27,T!$W6:$W27),IF(AND(L51="4D1",OR(L53=11,L53=12),L55="AC",L57=1),LOOKUP(L78,T!$AC6:$AC27,T!$X6:$X27),IF(AND(L51="4D1",OR(L53=3,L53=5),L55="AC"),LOOKUP(L78,T!$AC6:$AC27,T!$Y6:$Y27),IF(AND(L51="4D1",OR(L53=7,L53=10),L55="AC"),LOOKUP(L78,T!$AC6:$AC27,T!$Z6:$Z27),IF(AND(L51="4D1",L53=9,L55="AC"),LOOKUP(L78,T!$AC6:$AC27,T!$AA6:$AA27),IF(AND(L51="4D1",OR(L53=11,L53=12),L55="AC",L57=3),LOOKUP(L78,T!$AC13:$AC27,T!$AB13:$AB27),IF(AND(L51="4D2",OR(L53=2,L53=4,L53=6,L53=8),L55="DC"),LOOKUP(L78,T!$X33:$X50,T!$U33:$U50),IF(AND(L51="4D2",OR(L53=2,L53=4,L53=6,L53=8),L55="AC"),LOOKUP(L78,T!$X33:$X50,T!$V33:$V50),IF(AND(L51="4D2",OR(L53=3,L53=5,L53=7,L53=9),L55="AC"),LOOKUP(L78,T!$X33:$X50,T!$W33:$W50),IF(AND(L51="4D3",OR(L53=2,L53=4,L53=7,L53=8),L55="DC"),LOOKUP(L78,T!$AA56:$AA68,T!$U56:$U68),IF(AND(L51="4D3",OR(L53=2,L53=4),L55="AC"),LOOKUP(L78,T!$AA56:$AA68,T!$V56:$V68),IF(AND(L51="4D3",OR(L53=9,L53=10),L55="AC"),LOOKUP(L78,T!$AA56:$AA$68,T!$W56:$W68),IF(AND(L51="4D3",L53=6,L55="AC"),LOOKUP(L78,T!$AA56:$AA68,T!$X56:$X68),IF(AND(L51="4D3",OR(L53=3,L53=5),L55="AC"),LOOKUP(L78,T!$AA56:$AA68,T!$Y56:$Y68),IF(AND(L51="4D3",OR(L53=11,L53=12),L55="AC"),LOOKUP(L78,T!$AA56:$AA68,T!$Z56:$Z68),IF(AND(L51="4D4",OR(L53=2,L53=4,L53=6),L55="DC"),LOOKUP(L78,T!$X74:$X90,T!$U74:$U90),IF(AND(L51="4D4",OR(L53=2,L53=4,L53=6),L55="AC"),LOOKUP(L78,T!$X74:$X90,T!$V74:$V90),IF(AND(L51="4D4",OR(L53=3,L53=5,L53=7),L55="AC"),LOOKUP(L78,T!$X74:$X90,T!$W74:$W90),IF(AND(L51="4D5",AND(L53&gt;=2,L53&lt;=7)),LOOKUP(L78,T!$I96:$I102,T!$H96:$H102),0))))))))))))))))))))),IF(ISNUMBER(SEARCH("4E",L51)),IF(AND(L51="4E1",OR(L53=2,L53=4,L53=6,L53=8,L53=11),L55="DC"),LOOKUP(L78,T!$AC108:$AC129,T!$U108:$U129),IF(AND(L51="4E1",OR(L53=2,L53=4),L55="AC"),LOOKUP(L78,T!$AC108:$AC129,T!$V108:$V129),IF(AND(L51="4E1",OR(L53=6,L53=8),L55="AC"),LOOKUP(L78,T!$AC108:$AC129,T!$W108:$W129),IF(AND(L51="4E1",OR(L53=11,L53=12),L55="AC",L57=1),LOOKUP(L78,T!$AC108:$AC127,T!$X108:$X129),IF(AND(L51="4E1",OR(L53=3,L53=5),L55="AC"),LOOKUP(L78,T!$AC108:$AC129,T!$Y108:$Y129),IF(AND(L51="4E1",OR(L53=7,L53=10),L55="AC"),LOOKUP(L78,T!$AC108:$AC129,T!$Z108:$Z129),IF(AND(L51="4E1",L53=9,L55="AC"),LOOKUP(L78,T!$AC115:$AC129,T!$AA115:$AA129),IF(AND(L51="4E1",OR(L53=11,L53=12),L55="AC",L57=3),LOOKUP(L78,T!$AC115:$AC129,T!$AB115:$AB129),IF(AND(L51="4E2",OR(L53=2,L53=4,L53=6,L53=8),L55="DC"),LOOKUP(L78,T!$X134:$X152,T!$U134:$U152),IF(AND(L51="4E2",OR(L53=2,L53=4,L53=6,L53=8),L55="AC"),LOOKUP(L78,T!$X134:$X152,T!$V134:$V152),IF(AND(L51="4E2",OR(L53=3,L53=5,L53=7,L53=9),L55="AC"),LOOKUP(L78,T!$X134:$X152,T!$W134:$W152),IF(AND(L51="4E3",OR(L53=2,L53=4,L53=7,L53=8),L55="DC"),LOOKUP(L78,T!$AA158:$AA170,T!$U158:$U170),IF(AND(L51="4E3",OR(L53=2,L53=4),L55="AC"),LOOKUP(L78,T!$AA158:$AA170,T!$V158:$V170),IF(AND(L51="4E3",OR(L53=9,L53=10),L55="AC"),LOOKUP(L78,T!$AA158:$AA170,T!$W158:$W170),IF(AND(L51="4E3",L53=6,L55="AC"),LOOKUP(L78,T!$AA158:$AA170,T!$X158:$X170),IF(AND(L51="4E3",OR(L53=3,L53=5),L55="AC"),LOOKUP(L78,T!$AA158:$AA170,T!$Y158:$Y170),IF(AND(L51="4E3",OR(L53=11,L53=12),L55="AC"),LOOKUP(L78,T!$AA158:$AA170,T!$Z158:$Z170),IF(AND(L51="4E4",OR(L53=2,L53=4,L53=6),L55="DC"),LOOKUP(L78,T!$X176:$X192,T!$U176:$U192),IF(AND(L51="4E4",OR(L53=2,L53=4,L53=6),L55="AC"),LOOKUP(L78,T!$X176:$X192,T!$V176:$V192),IF(AND(L51="4E4",OR(L53=3,L53=5,L53=7),L55="AC"),LOOKUP(L78,T!$X176:$X192,T!$W176:$W192),0)))))))))))))))))))),IF(ISNUMBER(SEARCH("4F",L51)),IF(AND(L51="4F1",L53=2,L55="DC"),LOOKUP(L78,T!$Z198:$Z214,T!$U198:$U214),IF(AND(L51="4F1",L53=2,L55="AC"),LOOKUP(L78,T!$Z198:$Z214,T!$V198:$V214),IF(AND(L51="4F1",L53=3,L55="AC"),LOOKUP(L78,T!$Z198:$Z214,T!$W198:$W214),IF(AND(L51="4F1",L53=4,L55="DC"),LOOKUP(L78,T!$Z198:$Z214,T!$X198:$X214),IF(AND(L51="4F1",L53=4,L55="AC"),LOOKUP(L78,T!$Z198:$Z214,T!$Y198:$Y214),IF(AND(L51="4F2",L53=2,L55="DC"),LOOKUP(L78,T!$Y220:$Y236,T!$U220:$U236),IF(AND(L51="4F2",L53=2,L55="AC"),LOOKUP(L78,T!$Y220:$Y236,T!$V220:$V236),IF(AND(L51="4F2",L53=3,L55="AC"),LOOKUP(L78,T!$Y220:$Y236,T!$W220:$W236),IF(AND(L51="4F2",L53=4,L55="DC"),LOOKUP(L78,T!$Y220:$Y236,T!$X220:$X236),IF(AND(L51="4F3",L53=2),LOOKUP(L78,T!$W242:$W248,T!$U242:$U248),IF(AND(L51="4F3",L53=3,L55="AC"),LOOKUP(L78,T!$W242:$W248,T!$V242:$V248),0))))))))))),IF(ISNUMBER(SEARCH("4G",L51)),IF(AND(L51="4G1",OR(L53=2,L53=5)),LOOKUP(L79,T!$AA254:$AA269,T!$U254:$U269),IF(AND(L51="4G1",OR(L53=3,L53=6)),LOOKUP(L79,T!$AA254:$AA269,T!$X254:$X269),IF(AND(L51="4G1",OR(L53=4,L53=7)),LOOKUP(L79,T!$AA254:$AA269,T!$Y254:$Y269),IF(AND(L51="4G1",OR(L53=8,L53=9)),LOOKUP(L79,T!$AA254:$AA269,T!$Z254:$Z269),IF(AND(L51="4G2",OR(L53=2,L53=5)),LOOKUP(L79,T!$AA281:$AA296,T!$U281:$U296),IF(AND(L51="4G2",OR(L53=3,L53=6)),LOOKUP(L79,T!$AA281:$AA296,T!$X281:$X296),IF(AND(L51="4G2",OR(L53=4,L53=7)),LOOKUP(L79,T!$AA281:$AA296,T!$Y281:$Y296),IF(AND(L51="4G2",OR(L53=8,L53=9)),LOOKUP(L79,T!$AA281:$AA296,T!$Z281:$Z296),0)))))))),0)))))*L23*L69)/1000))</f>
        <v>7.4698199999999986</v>
      </c>
      <c r="M94" s="161" t="str">
        <f>IF(M29="","",IF(OR(COUNT(M19:M21)=3,COUNT(M19:M21)=1),(IF(M29="",0,IF(ISNUMBER(SEARCH("4D",M51)),IF(AND(M51="4D1",OR(M53=2,M53=4,M53=6,M53=8,M53=11),M55="DC"),LOOKUP(M78,T!$AC6:$AC27,T!$U6:$U27),IF(AND(M51="4D1",OR(M53=2,M53=4),M55="AC"),LOOKUP(M78,T!$AC6:$AC27,T!$V6:$V27),IF(AND(M51="4D1",OR(M53=6,M53=8),M55="AC"),LOOKUP(M78,T!$AC6:$AC27,T!$W6:$W27),IF(AND(M51="4D1",OR(M53=11,M53=12),M55="AC",M57=1),LOOKUP(M78,T!$AC6:$AC27,T!$X6:$X27),IF(AND(M51="4D1",OR(M53=3,M53=5),M55="AC"),LOOKUP(M78,T!$AC6:$AC27,T!$Y6:$Y27),IF(AND(M51="4D1",OR(M53=7,M53=10),M55="AC"),LOOKUP(M78,T!$AC6:$AC27,T!$Z6:$Z27),IF(AND(M51="4D1",M53=9,M55="AC"),LOOKUP(M78,T!$AC6:$AC27,T!$AA6:$AA27),IF(AND(M51="4D1",OR(M53=11,M53=12),M55="AC",M57=3),LOOKUP(M78,T!$AC13:$AC27,T!$AB13:$AB27),IF(AND(M51="4D2",OR(M53=2,M53=4,M53=6,M53=8),M55="DC"),LOOKUP(M78,T!$X33:$X50,T!$U33:$U50),IF(AND(M51="4D2",OR(M53=2,M53=4,M53=6,M53=8),M55="AC"),LOOKUP(M78,T!$X33:$X50,T!$V33:$V50),IF(AND(M51="4D2",OR(M53=3,M53=5,M53=7,M53=9),M55="AC"),LOOKUP(M78,T!$X33:$X50,T!$W33:$W50),IF(AND(M51="4D3",OR(M53=2,M53=4,M53=7,M53=8),M55="DC"),LOOKUP(M78,T!$AA56:$AA68,T!$U56:$U68),IF(AND(M51="4D3",OR(M53=2,M53=4),M55="AC"),LOOKUP(M78,T!$AA56:$AA68,T!$V56:$V68),IF(AND(M51="4D3",OR(M53=9,M53=10),M55="AC"),LOOKUP(M78,T!$AA56:$AA$68,T!$W56:$W68),IF(AND(M51="4D3",M53=6,M55="AC"),LOOKUP(M78,T!$AA56:$AA68,T!$X56:$X68),IF(AND(M51="4D3",OR(M53=3,M53=5),M55="AC"),LOOKUP(M78,T!$AA56:$AA68,T!$Y56:$Y68),IF(AND(M51="4D3",OR(M53=11,M53=12),M55="AC"),LOOKUP(M78,T!$AA56:$AA68,T!$Z56:$Z68),IF(AND(M51="4D4",OR(M53=2,M53=4,M53=6),M55="DC"),LOOKUP(M78,T!$X74:$X90,T!$U74:$U90),IF(AND(M51="4D4",OR(M53=2,M53=4,M53=6),M55="AC"),LOOKUP(M78,T!$X74:$X90,T!$V74:$V90),IF(AND(M51="4D4",OR(M53=3,M53=5,M53=7),M55="AC"),LOOKUP(M78,T!$X74:$X90,T!$W74:$W90),IF(AND(M51="4D5",AND(M53&gt;=2,M53&lt;=7)),LOOKUP(M78,T!$I96:$I102,T!$H96:$H102),0))))))))))))))))))))),IF(ISNUMBER(SEARCH("4E",M51)),IF(AND(M51="4E1",OR(M53=2,M53=4,M53=6,M53=8,M53=11),M55="DC"),LOOKUP(M78,T!$AC108:$AC129,T!$U108:$U129),IF(AND(M51="4E1",OR(M53=2,M53=4),M55="AC"),LOOKUP(M78,T!$AC108:$AC129,T!$V108:$V129),IF(AND(M51="4E1",OR(M53=6,M53=8),M55="AC"),LOOKUP(M78,T!$AC108:$AC129,T!$W108:$W129),IF(AND(M51="4E1",OR(M53=11,M53=12),M55="AC",M57=1),LOOKUP(M78,T!$AC108:$AC127,T!$X108:$X129),IF(AND(M51="4E1",OR(M53=3,M53=5),M55="AC"),LOOKUP(M78,T!$AC108:$AC129,T!$Y108:$Y129),IF(AND(M51="4E1",OR(M53=7,M53=10),M55="AC"),LOOKUP(M78,T!$AC108:$AC129,T!$Z108:$Z129),IF(AND(M51="4E1",M53=9,M55="AC"),LOOKUP(M78,T!$AC115:$AC129,T!$AA115:$AA129),IF(AND(M51="4E1",OR(M53=11,M53=12),M55="AC",M57=3),LOOKUP(M78,T!$AC115:$AC129,T!$AB115:$AB129),IF(AND(M51="4E2",OR(M53=2,M53=4,M53=6,M53=8),M55="DC"),LOOKUP(M78,T!$X134:$X152,T!$U134:$U152),IF(AND(M51="4E2",OR(M53=2,M53=4,M53=6,M53=8),M55="AC"),LOOKUP(M78,T!$X134:$X152,T!$V134:$V152),IF(AND(M51="4E2",OR(M53=3,M53=5,M53=7,M53=9),M55="AC"),LOOKUP(M78,T!$X134:$X152,T!$W134:$W152),IF(AND(M51="4E3",OR(M53=2,M53=4,M53=7,M53=8),M55="DC"),LOOKUP(M78,T!$AA158:$AA170,T!$U158:$U170),IF(AND(M51="4E3",OR(M53=2,M53=4),M55="AC"),LOOKUP(M78,T!$AA158:$AA170,T!$V158:$V170),IF(AND(M51="4E3",OR(M53=9,M53=10),M55="AC"),LOOKUP(M78,T!$AA158:$AA170,T!$W158:$W170),IF(AND(M51="4E3",M53=6,M55="AC"),LOOKUP(M78,T!$AA158:$AA170,T!$X158:$X170),IF(AND(M51="4E3",OR(M53=3,M53=5),M55="AC"),LOOKUP(M78,T!$AA158:$AA170,T!$Y158:$Y170),IF(AND(M51="4E3",OR(M53=11,M53=12),M55="AC"),LOOKUP(M78,T!$AA158:$AA170,T!$Z158:$Z170),IF(AND(M51="4E4",OR(M53=2,M53=4,M53=6),M55="DC"),LOOKUP(M78,T!$X176:$X192,T!$U176:$U192),IF(AND(M51="4E4",OR(M53=2,M53=4,M53=6),M55="AC"),LOOKUP(M78,T!$X176:$X192,T!$V176:$V192),IF(AND(M51="4E4",OR(M53=3,M53=5,M53=7),M55="AC"),LOOKUP(M78,T!$X176:$X192,T!$W176:$W192),0)))))))))))))))))))),IF(ISNUMBER(SEARCH("4F",M51)),IF(AND(M51="4F1",M53=2,M55="DC"),LOOKUP(M78,T!$Z198:$Z214,T!$U198:$U214),IF(AND(M51="4F1",M53=2,M55="AC"),LOOKUP(M78,T!$Z198:$Z214,T!$V198:$V214),IF(AND(M51="4F1",M53=3,M55="AC"),LOOKUP(M78,T!$Z198:$Z214,T!$W198:$W214),IF(AND(M51="4F1",M53=4,M55="DC"),LOOKUP(M78,T!$Z198:$Z214,T!$X198:$X214),IF(AND(M51="4F1",M53=4,M55="AC"),LOOKUP(M78,T!$Z198:$Z214,T!$Y198:$Y214),IF(AND(M51="4F2",M53=2,M55="DC"),LOOKUP(M78,T!$Y220:$Y236,T!$U220:$U236),IF(AND(M51="4F2",M53=2,M55="AC"),LOOKUP(M78,T!$Y220:$Y236,T!$V220:$V236),IF(AND(M51="4F2",M53=3,M55="AC"),LOOKUP(M78,T!$Y220:$Y236,T!$W220:$W236),IF(AND(M51="4F2",M53=4,M55="DC"),LOOKUP(M78,T!$Y220:$Y236,T!$X220:$X236),IF(AND(M51="4F3",M53=2),LOOKUP(M78,T!$W242:$W248,T!$U242:$U248),IF(AND(M51="4F3",M53=3,M55="AC"),LOOKUP(M78,T!$W242:$W248,T!$V242:$V248),0))))))))))),IF(ISNUMBER(SEARCH("4G",M51)),IF(AND(M51="4G1",OR(M53=2,M53=5)),LOOKUP(M79,T!$AA254:$AA269,T!$U254:$U269),IF(AND(M51="4G1",OR(M53=3,M53=6)),LOOKUP(M79,T!$AA254:$AA269,T!$X254:$X269),IF(AND(M51="4G1",OR(M53=4,M53=7)),LOOKUP(M79,T!$AA254:$AA269,T!$Y254:$Y269),IF(AND(M51="4G1",OR(M53=8,M53=9)),LOOKUP(M79,T!$AA254:$AA269,T!$Z254:$Z269),IF(AND(M51="4G2",OR(M53=2,M53=5)),LOOKUP(M79,T!$AA281:$AA296,T!$U281:$U296),IF(AND(M51="4G2",OR(M53=3,M53=6)),LOOKUP(M79,T!$AA281:$AA296,T!$X281:$X296),IF(AND(M51="4G2",OR(M53=4,M53=7)),LOOKUP(M79,T!$AA281:$AA296,T!$Y281:$Y296),IF(AND(M51="4G2",OR(M53=8,M53=9)),LOOKUP(M79,T!$AA281:$AA296,T!$Z281:$Z296),0)))))))),0)))))*M23*M69)/1000))</f>
        <v/>
      </c>
      <c r="N94" s="161">
        <f>IF(N29="","",IF(OR(COUNT(N19:N21)=3,COUNT(N19:N21)=1),(IF(N29="",0,IF(ISNUMBER(SEARCH("4D",N51)),IF(AND(N51="4D1",OR(N53=2,N53=4,N53=6,N53=8,N53=11),N55="DC"),LOOKUP(N78,T!$AC6:$AC27,T!$U6:$U27),IF(AND(N51="4D1",OR(N53=2,N53=4),N55="AC"),LOOKUP(N78,T!$AC6:$AC27,T!$V6:$V27),IF(AND(N51="4D1",OR(N53=6,N53=8),N55="AC"),LOOKUP(N78,T!$AC6:$AC27,T!$W6:$W27),IF(AND(N51="4D1",OR(N53=11,N53=12),N55="AC",N57=1),LOOKUP(N78,T!$AC6:$AC27,T!$X6:$X27),IF(AND(N51="4D1",OR(N53=3,N53=5),N55="AC"),LOOKUP(N78,T!$AC6:$AC27,T!$Y6:$Y27),IF(AND(N51="4D1",OR(N53=7,N53=10),N55="AC"),LOOKUP(N78,T!$AC6:$AC27,T!$Z6:$Z27),IF(AND(N51="4D1",N53=9,N55="AC"),LOOKUP(N78,T!$AC6:$AC27,T!$AA6:$AA27),IF(AND(N51="4D1",OR(N53=11,N53=12),N55="AC",N57=3),LOOKUP(N78,T!$AC13:$AC27,T!$AB13:$AB27),IF(AND(N51="4D2",OR(N53=2,N53=4,N53=6,N53=8),N55="DC"),LOOKUP(N78,T!$X33:$X50,T!$U33:$U50),IF(AND(N51="4D2",OR(N53=2,N53=4,N53=6,N53=8),N55="AC"),LOOKUP(N78,T!$X33:$X50,T!$V33:$V50),IF(AND(N51="4D2",OR(N53=3,N53=5,N53=7,N53=9),N55="AC"),LOOKUP(N78,T!$X33:$X50,T!$W33:$W50),IF(AND(N51="4D3",OR(N53=2,N53=4,N53=7,N53=8),N55="DC"),LOOKUP(N78,T!$AA56:$AA68,T!$U56:$U68),IF(AND(N51="4D3",OR(N53=2,N53=4),N55="AC"),LOOKUP(N78,T!$AA56:$AA68,T!$V56:$V68),IF(AND(N51="4D3",OR(N53=9,N53=10),N55="AC"),LOOKUP(N78,T!$AA56:$AA$68,T!$W56:$W68),IF(AND(N51="4D3",N53=6,N55="AC"),LOOKUP(N78,T!$AA56:$AA68,T!$X56:$X68),IF(AND(N51="4D3",OR(N53=3,N53=5),N55="AC"),LOOKUP(N78,T!$AA56:$AA68,T!$Y56:$Y68),IF(AND(N51="4D3",OR(N53=11,N53=12),N55="AC"),LOOKUP(N78,T!$AA56:$AA68,T!$Z56:$Z68),IF(AND(N51="4D4",OR(N53=2,N53=4,N53=6),N55="DC"),LOOKUP(N78,T!$X74:$X90,T!$U74:$U90),IF(AND(N51="4D4",OR(N53=2,N53=4,N53=6),N55="AC"),LOOKUP(N78,T!$X74:$X90,T!$V74:$V90),IF(AND(N51="4D4",OR(N53=3,N53=5,N53=7),N55="AC"),LOOKUP(N78,T!$X74:$X90,T!$W74:$W90),IF(AND(N51="4D5",AND(N53&gt;=2,N53&lt;=7)),LOOKUP(N78,T!$I96:$I102,T!$H96:$H102),0))))))))))))))))))))),IF(ISNUMBER(SEARCH("4E",N51)),IF(AND(N51="4E1",OR(N53=2,N53=4,N53=6,N53=8,N53=11),N55="DC"),LOOKUP(N78,T!$AC108:$AC129,T!$U108:$U129),IF(AND(N51="4E1",OR(N53=2,N53=4),N55="AC"),LOOKUP(N78,T!$AC108:$AC129,T!$V108:$V129),IF(AND(N51="4E1",OR(N53=6,N53=8),N55="AC"),LOOKUP(N78,T!$AC108:$AC129,T!$W108:$W129),IF(AND(N51="4E1",OR(N53=11,N53=12),N55="AC",N57=1),LOOKUP(N78,T!$AC108:$AC127,T!$X108:$X129),IF(AND(N51="4E1",OR(N53=3,N53=5),N55="AC"),LOOKUP(N78,T!$AC108:$AC129,T!$Y108:$Y129),IF(AND(N51="4E1",OR(N53=7,N53=10),N55="AC"),LOOKUP(N78,T!$AC108:$AC129,T!$Z108:$Z129),IF(AND(N51="4E1",N53=9,N55="AC"),LOOKUP(N78,T!$AC115:$AC129,T!$AA115:$AA129),IF(AND(N51="4E1",OR(N53=11,N53=12),N55="AC",N57=3),LOOKUP(N78,T!$AC115:$AC129,T!$AB115:$AB129),IF(AND(N51="4E2",OR(N53=2,N53=4,N53=6,N53=8),N55="DC"),LOOKUP(N78,T!$X134:$X152,T!$U134:$U152),IF(AND(N51="4E2",OR(N53=2,N53=4,N53=6,N53=8),N55="AC"),LOOKUP(N78,T!$X134:$X152,T!$V134:$V152),IF(AND(N51="4E2",OR(N53=3,N53=5,N53=7,N53=9),N55="AC"),LOOKUP(N78,T!$X134:$X152,T!$W134:$W152),IF(AND(N51="4E3",OR(N53=2,N53=4,N53=7,N53=8),N55="DC"),LOOKUP(N78,T!$AA158:$AA170,T!$U158:$U170),IF(AND(N51="4E3",OR(N53=2,N53=4),N55="AC"),LOOKUP(N78,T!$AA158:$AA170,T!$V158:$V170),IF(AND(N51="4E3",OR(N53=9,N53=10),N55="AC"),LOOKUP(N78,T!$AA158:$AA170,T!$W158:$W170),IF(AND(N51="4E3",N53=6,N55="AC"),LOOKUP(N78,T!$AA158:$AA170,T!$X158:$X170),IF(AND(N51="4E3",OR(N53=3,N53=5),N55="AC"),LOOKUP(N78,T!$AA158:$AA170,T!$Y158:$Y170),IF(AND(N51="4E3",OR(N53=11,N53=12),N55="AC"),LOOKUP(N78,T!$AA158:$AA170,T!$Z158:$Z170),IF(AND(N51="4E4",OR(N53=2,N53=4,N53=6),N55="DC"),LOOKUP(N78,T!$X176:$X192,T!$U176:$U192),IF(AND(N51="4E4",OR(N53=2,N53=4,N53=6),N55="AC"),LOOKUP(N78,T!$X176:$X192,T!$V176:$V192),IF(AND(N51="4E4",OR(N53=3,N53=5,N53=7),N55="AC"),LOOKUP(N78,T!$X176:$X192,T!$W176:$W192),0)))))))))))))))))))),IF(ISNUMBER(SEARCH("4F",N51)),IF(AND(N51="4F1",N53=2,N55="DC"),LOOKUP(N78,T!$Z198:$Z214,T!$U198:$U214),IF(AND(N51="4F1",N53=2,N55="AC"),LOOKUP(N78,T!$Z198:$Z214,T!$V198:$V214),IF(AND(N51="4F1",N53=3,N55="AC"),LOOKUP(N78,T!$Z198:$Z214,T!$W198:$W214),IF(AND(N51="4F1",N53=4,N55="DC"),LOOKUP(N78,T!$Z198:$Z214,T!$X198:$X214),IF(AND(N51="4F1",N53=4,N55="AC"),LOOKUP(N78,T!$Z198:$Z214,T!$Y198:$Y214),IF(AND(N51="4F2",N53=2,N55="DC"),LOOKUP(N78,T!$Y220:$Y236,T!$U220:$U236),IF(AND(N51="4F2",N53=2,N55="AC"),LOOKUP(N78,T!$Y220:$Y236,T!$V220:$V236),IF(AND(N51="4F2",N53=3,N55="AC"),LOOKUP(N78,T!$Y220:$Y236,T!$W220:$W236),IF(AND(N51="4F2",N53=4,N55="DC"),LOOKUP(N78,T!$Y220:$Y236,T!$X220:$X236),IF(AND(N51="4F3",N53=2),LOOKUP(N78,T!$W242:$W248,T!$U242:$U248),IF(AND(N51="4F3",N53=3,N55="AC"),LOOKUP(N78,T!$W242:$W248,T!$V242:$V248),0))))))))))),IF(ISNUMBER(SEARCH("4G",N51)),IF(AND(N51="4G1",OR(N53=2,N53=5)),LOOKUP(N79,T!$AA254:$AA269,T!$U254:$U269),IF(AND(N51="4G1",OR(N53=3,N53=6)),LOOKUP(N79,T!$AA254:$AA269,T!$X254:$X269),IF(AND(N51="4G1",OR(N53=4,N53=7)),LOOKUP(N79,T!$AA254:$AA269,T!$Y254:$Y269),IF(AND(N51="4G1",OR(N53=8,N53=9)),LOOKUP(N79,T!$AA254:$AA269,T!$Z254:$Z269),IF(AND(N51="4G2",OR(N53=2,N53=5)),LOOKUP(N79,T!$AA281:$AA296,T!$U281:$U296),IF(AND(N51="4G2",OR(N53=3,N53=6)),LOOKUP(N79,T!$AA281:$AA296,T!$X281:$X296),IF(AND(N51="4G2",OR(N53=4,N53=7)),LOOKUP(N79,T!$AA281:$AA296,T!$Y281:$Y296),IF(AND(N51="4G2",OR(N53=8,N53=9)),LOOKUP(N79,T!$AA281:$AA296,T!$Z281:$Z296),0)))))))),0)))))*N23*N69)/1000))</f>
        <v>5.0083396845365131</v>
      </c>
      <c r="O94" s="133" t="str">
        <f t="shared" ref="O94:O101" si="23">IF(O$9="","",IF(N94&lt;&gt;0,"mV/A/m",""))</f>
        <v>mV/A/m</v>
      </c>
    </row>
    <row r="95" spans="1:15" s="173" customFormat="1" ht="17">
      <c r="A95" s="193"/>
      <c r="B95" s="399"/>
      <c r="C95" s="396"/>
      <c r="D95" s="163">
        <f>IF(D29="","",IF(OR(COUNT(D19:D21)=3,COUNT(D19:D21)=1),(IF(D29="",0,IF(ISNUMBER(SEARCH("4D",D51)),IF(AND(D51="4D1",OR(D53=2,D53=4,D53=6,D53=8,D53=11),D55="DC"),LOOKUP(D81,T!$AC6:$AC27,T!$U6:$U27),IF(AND(D51="4D1",OR(D53=2,D53=4),D55="AC"),LOOKUP(D81,T!$AC6:$AC27,T!$V6:$V27),IF(AND(D51="4D1",OR(D53=6,D53=8),D55="AC"),LOOKUP(D81,T!$AC6:$AC27,T!$W6:$W27),IF(AND(D51="4D1",OR(D53=11,D53=12),D55="AC",D57=1),LOOKUP(D81,T!$AC6:$AC27,T!$X6:$X27),IF(AND(D51="4D1",OR(D53=3,D53=5),D55="AC"),LOOKUP(D81,T!$AC6:$AC27,T!$Y6:$Y27),IF(AND(D51="4D1",OR(D53=7,D53=10),D55="AC"),LOOKUP(D81,T!$AC6:$AC27,T!$Z6:$Z27),IF(AND(D51="4D1",D53=9,D55="AC"),LOOKUP(D81,T!$AC6:$AC27,T!$AA6:$AA27),IF(AND(D51="4D1",OR(D53=11,D53=12),D55="AC",D57=3),LOOKUP(D81,T!$AC13:$AC27,T!$AB13:$AB27),IF(AND(D51="4D2",OR(D53=2,D53=4,D53=6,D53=8),D55="DC"),LOOKUP(D81,T!$X33:$X50,T!$U33:$U50),IF(AND(D51="4D2",OR(D53=2,D53=4,D53=6,D53=8),D55="AC"),LOOKUP(D81,T!$X33:$X50,T!$V33:$V50),IF(AND(D51="4D2",OR(D53=3,D53=5,D53=7,D53=9),D55="AC"),LOOKUP(D81,T!$X33:$X50,T!$W33:$W50),IF(AND(D51="4D3",OR(D53=2,D53=4,D53=7,D53=8),D55="DC"),LOOKUP(D81,T!$AA56:$AA68,T!$U56:$U68),IF(AND(D51="4D3",OR(D53=2,D53=4),D55="AC"),LOOKUP(D81,T!$AA56:$AA68,T!$V56:$V68),IF(AND(D51="4D3",OR(D53=9,D53=10),D55="AC"),LOOKUP(D81,T!$AA56:$AA$68,T!$W56:$W68),IF(AND(D51="4D3",D53=6,D55="AC"),LOOKUP(D81,T!$AA56:$AA68,T!$X56:$X68),IF(AND(D51="4D3",OR(D53=3,D53=5),D55="AC"),LOOKUP(D81,T!$AA56:$AA68,T!$Y56:$Y68),IF(AND(D51="4D3",OR(D53=11,D53=12),D55="AC"),LOOKUP(D81,T!$AA56:$AA68,T!$Z56:$Z68),IF(AND(D51="4D4",OR(D53=2,D53=4,D53=6),D55="DC"),LOOKUP(D81,T!$X74:$X90,T!$U74:$U90),IF(AND(D51="4D4",OR(D53=2,D53=4,D53=6),D55="AC"),LOOKUP(D81,T!$X74:$X90,T!$V74:$V90),IF(AND(D51="4D4",OR(D53=3,D53=5,D53=7),D55="AC"),LOOKUP(D81,T!$X74:$X90,T!$W74:$W90),IF(AND(D51="4D5",AND(D53&gt;=2,D53&lt;=7)),LOOKUP(D81,T!$I96:$I102,T!$H96:$H102),0))))))))))))))))))))),IF(ISNUMBER(SEARCH("4E",D51)),IF(AND(D51="4E1",OR(D53=2,D53=4,D53=6,D53=8,D53=11),D55="DC"),LOOKUP(D81,T!$AC108:$AC129,T!$U108:$U129),IF(AND(D51="4E1",OR(D53=2,D53=4),D55="AC"),LOOKUP(D81,T!$AC108:$AC129,T!$V108:$V129),IF(AND(D51="4E1",OR(D53=6,D53=8),D55="AC"),LOOKUP(D81,T!$AC108:$AC129,T!$W108:$W129),IF(AND(D51="4E1",OR(D53=11,D53=12),D55="AC",D57=1),LOOKUP(D81,T!$AC108:$AC127,T!$X108:$X129),IF(AND(D51="4E1",OR(D53=3,D53=5),D55="AC"),LOOKUP(D81,T!$AC108:$AC129,T!$Y108:$Y129),IF(AND(D51="4E1",OR(D53=7,D53=10),D55="AC"),LOOKUP(D81,T!$AC108:$AC129,T!$Z108:$Z129),IF(AND(D51="4E1",D53=9,D55="AC"),LOOKUP(D81,T!$AC115:$AC129,T!$AA115:$AA129),IF(AND(D51="4E1",OR(D53=11,D53=12),D55="AC",D57=3),LOOKUP(D81,T!$AC115:$AC129,T!$AB115:$AB129),IF(AND(D51="4E2",OR(D53=2,D53=4,D53=6,D53=8),D55="DC"),LOOKUP(D81,T!$X134:$X152,T!$U134:$U152),IF(AND(D51="4E2",OR(D53=2,D53=4,D53=6,D53=8),D55="AC"),LOOKUP(D81,T!$X134:$X152,T!$V134:$V152),IF(AND(D51="4E2",OR(D53=3,D53=5,D53=7,D53=9),D55="AC"),LOOKUP(D81,T!$X134:$X152,T!$W134:$W152),IF(AND(D51="4E3",OR(D53=2,D53=4,D53=7,D53=8),D55="DC"),LOOKUP(D81,T!$AA158:$AA170,T!$U158:$U170),IF(AND(D51="4E3",OR(D53=2,D53=4),D55="AC"),LOOKUP(D81,T!$AA158:$AA170,T!$V158:$V170),IF(AND(D51="4E3",OR(D53=9,D53=10),D55="AC"),LOOKUP(D81,T!$AA158:$AA170,T!$W158:$W170),IF(AND(D51="4E3",D53=6,D55="AC"),LOOKUP(D81,T!$AA158:$AA170,T!$X158:$X170),IF(AND(D51="4E3",OR(D53=3,D53=5),D55="AC"),LOOKUP(D81,T!$AA158:$AA170,T!$Y158:$Y170),IF(AND(D51="4E3",OR(D53=11,D53=12),D55="AC"),LOOKUP(D81,T!$AA158:$AA170,T!$Z158:$Z170),IF(AND(D51="4E4",OR(D53=2,D53=4,D53=6),D55="DC"),LOOKUP(D81,T!$X176:$X192,T!$U176:$U192),IF(AND(D51="4E4",OR(D53=2,D53=4,D53=6),D55="AC"),LOOKUP(D81,T!$X176:$X192,T!$V176:$V192),IF(AND(D51="4E4",OR(D53=3,D53=5,D53=7),D55="AC"),LOOKUP(D81,T!$X176:$X192,T!$W176:$W192),0)))))))))))))))))))),IF(ISNUMBER(SEARCH("4F",D51)),IF(AND(D51="4F1",D53=2,D55="DC"),LOOKUP(D81,T!$Z198:$Z214,T!$U198:$U214),IF(AND(D51="4F1",D53=2,D55="AC"),LOOKUP(D81,T!$Z198:$Z214,T!$V198:$V214),IF(AND(D51="4F1",D53=3,D55="AC"),LOOKUP(D81,T!$Z198:$Z214,T!$W198:$W214),IF(AND(D51="4F1",D53=4,D55="DC"),LOOKUP(D81,T!$Z198:$Z214,T!$X198:$X214),IF(AND(D51="4F1",D53=4,D55="AC"),LOOKUP(D81,T!$Z198:$Z214,T!$Y198:$Y214),IF(AND(D51="4F2",D53=2,D55="DC"),LOOKUP(D81,T!$Y220:$Y236,T!$U220:$U236),IF(AND(D51="4F2",D53=2,D55="AC"),LOOKUP(D81,T!$Y220:$Y236,T!$V220:$V236),IF(AND(D51="4F2",D53=3,D55="AC"),LOOKUP(D81,T!$Y220:$Y236,T!$W220:$W236),IF(AND(D51="4F2",D53=4,D55="DC"),LOOKUP(D81,T!$Y220:$Y236,T!$X220:$X236),IF(AND(D51="4F3",D53=2),LOOKUP(D81,T!$W242:$W248,T!$U242:$U248),IF(AND(D51="4F3",D53=3,D55="AC"),LOOKUP(D81,T!$W242:$W248,T!$V242:$V248),0))))))))))),IF(ISNUMBER(SEARCH("4G",D51)),IF(AND(D51="4G1",OR(D53=2,D53=5)),LOOKUP(D81,T!$AA254:$AA269,T!$U254:$U269),IF(AND(D51="4G1",OR(D53=3,D53=6)),LOOKUP(D81,T!$AA254:$AA269,T!$X254:$X269),IF(AND(D51="4G1",OR(D53=4,D53=7)),LOOKUP(D81,T!$AA254:$AA269,T!$Y254:$Y269),IF(AND(D51="4G1",OR(D53=8,D53=9)),LOOKUP(D81,T!$AA254:$AA269,T!$Z254:$Z269),IF(AND(D51="4G2",OR(D53=2,D53=5)),LOOKUP(D81,T!$AA281:$AA296,T!$U281:$U296),IF(AND(D51="4G2",OR(D53=3,D53=6)),LOOKUP(D81,T!$AA281:$AA296,T!$X281:$X296),IF(AND(D51="4G2",OR(D53=4,D53=7)),LOOKUP(D81,T!$AA281:$AA296,T!$Y281:$Y296),IF(AND(D51="4G2",OR(D53=8,D53=9)),LOOKUP(D81,T!$AA281:$AA296,T!$Z281:$Z296),0)))))))),0)))))*D23*D69)/1000))</f>
        <v>2.8645833333333339</v>
      </c>
      <c r="E95" s="163">
        <f ca="1">IF(E29="","",IF(OR(COUNT(E19:E21)=3,COUNT(E19:E21)=1),(IF(E29="",0,IF(ISNUMBER(SEARCH("4D",E51)),IF(AND(E51="4D1",OR(E53=2,E53=4,E53=6,E53=8,E53=11),E55="DC"),LOOKUP(E81,T!$AC6:$AC27,T!$U6:$U27),IF(AND(E51="4D1",OR(E53=2,E53=4),E55="AC"),LOOKUP(E81,T!$AC6:$AC27,T!$V6:$V27),IF(AND(E51="4D1",OR(E53=6,E53=8),E55="AC"),LOOKUP(E81,T!$AC6:$AC27,T!$W6:$W27),IF(AND(E51="4D1",OR(E53=11,E53=12),E55="AC",E57=1),LOOKUP(E81,T!$AC6:$AC27,T!$X6:$X27),IF(AND(E51="4D1",OR(E53=3,E53=5),E55="AC"),LOOKUP(E81,T!$AC6:$AC27,T!$Y6:$Y27),IF(AND(E51="4D1",OR(E53=7,E53=10),E55="AC"),LOOKUP(E81,T!$AC6:$AC27,T!$Z6:$Z27),IF(AND(E51="4D1",E53=9,E55="AC"),LOOKUP(E81,T!$AC6:$AC27,T!$AA6:$AA27),IF(AND(E51="4D1",OR(E53=11,E53=12),E55="AC",E57=3),LOOKUP(E81,T!$AC13:$AC27,T!$AB13:$AB27),IF(AND(E51="4D2",OR(E53=2,E53=4,E53=6,E53=8),E55="DC"),LOOKUP(E81,T!$X33:$X50,T!$U33:$U50),IF(AND(E51="4D2",OR(E53=2,E53=4,E53=6,E53=8),E55="AC"),LOOKUP(E81,T!$X33:$X50,T!$V33:$V50),IF(AND(E51="4D2",OR(E53=3,E53=5,E53=7,E53=9),E55="AC"),LOOKUP(E81,T!$X33:$X50,T!$W33:$W50),IF(AND(E51="4D3",OR(E53=2,E53=4,E53=7,E53=8),E55="DC"),LOOKUP(E81,T!$AA56:$AA68,T!$U56:$U68),IF(AND(E51="4D3",OR(E53=2,E53=4),E55="AC"),LOOKUP(E81,T!$AA56:$AA68,T!$V56:$V68),IF(AND(E51="4D3",OR(E53=9,E53=10),E55="AC"),LOOKUP(E81,T!$AA56:$AA$68,T!$W56:$W68),IF(AND(E51="4D3",E53=6,E55="AC"),LOOKUP(E81,T!$AA56:$AA68,T!$X56:$X68),IF(AND(E51="4D3",OR(E53=3,E53=5),E55="AC"),LOOKUP(E81,T!$AA56:$AA68,T!$Y56:$Y68),IF(AND(E51="4D3",OR(E53=11,E53=12),E55="AC"),LOOKUP(E81,T!$AA56:$AA68,T!$Z56:$Z68),IF(AND(E51="4D4",OR(E53=2,E53=4,E53=6),E55="DC"),LOOKUP(E81,T!$X74:$X90,T!$U74:$U90),IF(AND(E51="4D4",OR(E53=2,E53=4,E53=6),E55="AC"),LOOKUP(E81,T!$X74:$X90,T!$V74:$V90),IF(AND(E51="4D4",OR(E53=3,E53=5,E53=7),E55="AC"),LOOKUP(E81,T!$X74:$X90,T!$W74:$W90),IF(AND(E51="4D5",AND(E53&gt;=2,E53&lt;=7)),LOOKUP(E81,T!$I96:$I102,T!$H96:$H102),0))))))))))))))))))))),IF(ISNUMBER(SEARCH("4E",E51)),IF(AND(E51="4E1",OR(E53=2,E53=4,E53=6,E53=8,E53=11),E55="DC"),LOOKUP(E81,T!$AC108:$AC129,T!$U108:$U129),IF(AND(E51="4E1",OR(E53=2,E53=4),E55="AC"),LOOKUP(E81,T!$AC108:$AC129,T!$V108:$V129),IF(AND(E51="4E1",OR(E53=6,E53=8),E55="AC"),LOOKUP(E81,T!$AC108:$AC129,T!$W108:$W129),IF(AND(E51="4E1",OR(E53=11,E53=12),E55="AC",E57=1),LOOKUP(E81,T!$AC108:$AC127,T!$X108:$X129),IF(AND(E51="4E1",OR(E53=3,E53=5),E55="AC"),LOOKUP(E81,T!$AC108:$AC129,T!$Y108:$Y129),IF(AND(E51="4E1",OR(E53=7,E53=10),E55="AC"),LOOKUP(E81,T!$AC108:$AC129,T!$Z108:$Z129),IF(AND(E51="4E1",E53=9,E55="AC"),LOOKUP(E81,T!$AC115:$AC129,T!$AA115:$AA129),IF(AND(E51="4E1",OR(E53=11,E53=12),E55="AC",E57=3),LOOKUP(E81,T!$AC115:$AC129,T!$AB115:$AB129),IF(AND(E51="4E2",OR(E53=2,E53=4,E53=6,E53=8),E55="DC"),LOOKUP(E81,T!$X134:$X152,T!$U134:$U152),IF(AND(E51="4E2",OR(E53=2,E53=4,E53=6,E53=8),E55="AC"),LOOKUP(E81,T!$X134:$X152,T!$V134:$V152),IF(AND(E51="4E2",OR(E53=3,E53=5,E53=7,E53=9),E55="AC"),LOOKUP(E81,T!$X134:$X152,T!$W134:$W152),IF(AND(E51="4E3",OR(E53=2,E53=4,E53=7,E53=8),E55="DC"),LOOKUP(E81,T!$AA158:$AA170,T!$U158:$U170),IF(AND(E51="4E3",OR(E53=2,E53=4),E55="AC"),LOOKUP(E81,T!$AA158:$AA170,T!$V158:$V170),IF(AND(E51="4E3",OR(E53=9,E53=10),E55="AC"),LOOKUP(E81,T!$AA158:$AA170,T!$W158:$W170),IF(AND(E51="4E3",E53=6,E55="AC"),LOOKUP(E81,T!$AA158:$AA170,T!$X158:$X170),IF(AND(E51="4E3",OR(E53=3,E53=5),E55="AC"),LOOKUP(E81,T!$AA158:$AA170,T!$Y158:$Y170),IF(AND(E51="4E3",OR(E53=11,E53=12),E55="AC"),LOOKUP(E81,T!$AA158:$AA170,T!$Z158:$Z170),IF(AND(E51="4E4",OR(E53=2,E53=4,E53=6),E55="DC"),LOOKUP(E81,T!$X176:$X192,T!$U176:$U192),IF(AND(E51="4E4",OR(E53=2,E53=4,E53=6),E55="AC"),LOOKUP(E81,T!$X176:$X192,T!$V176:$V192),IF(AND(E51="4E4",OR(E53=3,E53=5,E53=7),E55="AC"),LOOKUP(E81,T!$X176:$X192,T!$W176:$W192),0)))))))))))))))))))),IF(ISNUMBER(SEARCH("4F",E51)),IF(AND(E51="4F1",E53=2,E55="DC"),LOOKUP(E81,T!$Z198:$Z214,T!$U198:$U214),IF(AND(E51="4F1",E53=2,E55="AC"),LOOKUP(E81,T!$Z198:$Z214,T!$V198:$V214),IF(AND(E51="4F1",E53=3,E55="AC"),LOOKUP(E81,T!$Z198:$Z214,T!$W198:$W214),IF(AND(E51="4F1",E53=4,E55="DC"),LOOKUP(E81,T!$Z198:$Z214,T!$X198:$X214),IF(AND(E51="4F1",E53=4,E55="AC"),LOOKUP(E81,T!$Z198:$Z214,T!$Y198:$Y214),IF(AND(E51="4F2",E53=2,E55="DC"),LOOKUP(E81,T!$Y220:$Y236,T!$U220:$U236),IF(AND(E51="4F2",E53=2,E55="AC"),LOOKUP(E81,T!$Y220:$Y236,T!$V220:$V236),IF(AND(E51="4F2",E53=3,E55="AC"),LOOKUP(E81,T!$Y220:$Y236,T!$W220:$W236),IF(AND(E51="4F2",E53=4,E55="DC"),LOOKUP(E81,T!$Y220:$Y236,T!$X220:$X236),IF(AND(E51="4F3",E53=2),LOOKUP(E81,T!$W242:$W248,T!$U242:$U248),IF(AND(E51="4F3",E53=3,E55="AC"),LOOKUP(E81,T!$W242:$W248,T!$V242:$V248),0))))))))))),IF(ISNUMBER(SEARCH("4G",E51)),IF(AND(E51="4G1",OR(E53=2,E53=5)),LOOKUP(E81,T!$AA254:$AA269,T!$U254:$U269),IF(AND(E51="4G1",OR(E53=3,E53=6)),LOOKUP(E81,T!$AA254:$AA269,T!$X254:$X269),IF(AND(E51="4G1",OR(E53=4,E53=7)),LOOKUP(E81,T!$AA254:$AA269,T!$Y254:$Y269),IF(AND(E51="4G1",OR(E53=8,E53=9)),LOOKUP(E81,T!$AA254:$AA269,T!$Z254:$Z269),IF(AND(E51="4G2",OR(E53=2,E53=5)),LOOKUP(E81,T!$AA281:$AA296,T!$U281:$U296),IF(AND(E51="4G2",OR(E53=3,E53=6)),LOOKUP(E81,T!$AA281:$AA296,T!$X281:$X296),IF(AND(E51="4G2",OR(E53=4,E53=7)),LOOKUP(E81,T!$AA281:$AA296,T!$Y281:$Y296),IF(AND(E51="4G2",OR(E53=8,E53=9)),LOOKUP(E81,T!$AA281:$AA296,T!$Z281:$Z296),0)))))))),0)))))*E23*E69)/1000))</f>
        <v>3.4000560000000002</v>
      </c>
      <c r="F95" s="163">
        <f ca="1">IF(F29="","",IF(OR(COUNT(F19:F21)=3,COUNT(F19:F21)=1),(IF(F29="",0,IF(ISNUMBER(SEARCH("4D",F51)),IF(AND(F51="4D1",OR(F53=2,F53=4,F53=6,F53=8,F53=11),F55="DC"),LOOKUP(F81,T!$AC6:$AC27,T!$U6:$U27),IF(AND(F51="4D1",OR(F53=2,F53=4),F55="AC"),LOOKUP(F81,T!$AC6:$AC27,T!$V6:$V27),IF(AND(F51="4D1",OR(F53=6,F53=8),F55="AC"),LOOKUP(F81,T!$AC6:$AC27,T!$W6:$W27),IF(AND(F51="4D1",OR(F53=11,F53=12),F55="AC",F57=1),LOOKUP(F81,T!$AC6:$AC27,T!$X6:$X27),IF(AND(F51="4D1",OR(F53=3,F53=5),F55="AC"),LOOKUP(F81,T!$AC6:$AC27,T!$Y6:$Y27),IF(AND(F51="4D1",OR(F53=7,F53=10),F55="AC"),LOOKUP(F81,T!$AC6:$AC27,T!$Z6:$Z27),IF(AND(F51="4D1",F53=9,F55="AC"),LOOKUP(F81,T!$AC6:$AC27,T!$AA6:$AA27),IF(AND(F51="4D1",OR(F53=11,F53=12),F55="AC",F57=3),LOOKUP(F81,T!$AC13:$AC27,T!$AB13:$AB27),IF(AND(F51="4D2",OR(F53=2,F53=4,F53=6,F53=8),F55="DC"),LOOKUP(F81,T!$X33:$X50,T!$U33:$U50),IF(AND(F51="4D2",OR(F53=2,F53=4,F53=6,F53=8),F55="AC"),LOOKUP(F81,T!$X33:$X50,T!$V33:$V50),IF(AND(F51="4D2",OR(F53=3,F53=5,F53=7,F53=9),F55="AC"),LOOKUP(F81,T!$X33:$X50,T!$W33:$W50),IF(AND(F51="4D3",OR(F53=2,F53=4,F53=7,F53=8),F55="DC"),LOOKUP(F81,T!$AA56:$AA68,T!$U56:$U68),IF(AND(F51="4D3",OR(F53=2,F53=4),F55="AC"),LOOKUP(F81,T!$AA56:$AA68,T!$V56:$V68),IF(AND(F51="4D3",OR(F53=9,F53=10),F55="AC"),LOOKUP(F81,T!$AA56:$AA$68,T!$W56:$W68),IF(AND(F51="4D3",F53=6,F55="AC"),LOOKUP(F81,T!$AA56:$AA68,T!$X56:$X68),IF(AND(F51="4D3",OR(F53=3,F53=5),F55="AC"),LOOKUP(F81,T!$AA56:$AA68,T!$Y56:$Y68),IF(AND(F51="4D3",OR(F53=11,F53=12),F55="AC"),LOOKUP(F81,T!$AA56:$AA68,T!$Z56:$Z68),IF(AND(F51="4D4",OR(F53=2,F53=4,F53=6),F55="DC"),LOOKUP(F81,T!$X74:$X90,T!$U74:$U90),IF(AND(F51="4D4",OR(F53=2,F53=4,F53=6),F55="AC"),LOOKUP(F81,T!$X74:$X90,T!$V74:$V90),IF(AND(F51="4D4",OR(F53=3,F53=5,F53=7),F55="AC"),LOOKUP(F81,T!$X74:$X90,T!$W74:$W90),IF(AND(F51="4D5",AND(F53&gt;=2,F53&lt;=7)),LOOKUP(F81,T!$I96:$I102,T!$H96:$H102),0))))))))))))))))))))),IF(ISNUMBER(SEARCH("4E",F51)),IF(AND(F51="4E1",OR(F53=2,F53=4,F53=6,F53=8,F53=11),F55="DC"),LOOKUP(F81,T!$AC108:$AC129,T!$U108:$U129),IF(AND(F51="4E1",OR(F53=2,F53=4),F55="AC"),LOOKUP(F81,T!$AC108:$AC129,T!$V108:$V129),IF(AND(F51="4E1",OR(F53=6,F53=8),F55="AC"),LOOKUP(F81,T!$AC108:$AC129,T!$W108:$W129),IF(AND(F51="4E1",OR(F53=11,F53=12),F55="AC",F57=1),LOOKUP(F81,T!$AC108:$AC127,T!$X108:$X129),IF(AND(F51="4E1",OR(F53=3,F53=5),F55="AC"),LOOKUP(F81,T!$AC108:$AC129,T!$Y108:$Y129),IF(AND(F51="4E1",OR(F53=7,F53=10),F55="AC"),LOOKUP(F81,T!$AC108:$AC129,T!$Z108:$Z129),IF(AND(F51="4E1",F53=9,F55="AC"),LOOKUP(F81,T!$AC115:$AC129,T!$AA115:$AA129),IF(AND(F51="4E1",OR(F53=11,F53=12),F55="AC",F57=3),LOOKUP(F81,T!$AC115:$AC129,T!$AB115:$AB129),IF(AND(F51="4E2",OR(F53=2,F53=4,F53=6,F53=8),F55="DC"),LOOKUP(F81,T!$X134:$X152,T!$U134:$U152),IF(AND(F51="4E2",OR(F53=2,F53=4,F53=6,F53=8),F55="AC"),LOOKUP(F81,T!$X134:$X152,T!$V134:$V152),IF(AND(F51="4E2",OR(F53=3,F53=5,F53=7,F53=9),F55="AC"),LOOKUP(F81,T!$X134:$X152,T!$W134:$W152),IF(AND(F51="4E3",OR(F53=2,F53=4,F53=7,F53=8),F55="DC"),LOOKUP(F81,T!$AA158:$AA170,T!$U158:$U170),IF(AND(F51="4E3",OR(F53=2,F53=4),F55="AC"),LOOKUP(F81,T!$AA158:$AA170,T!$V158:$V170),IF(AND(F51="4E3",OR(F53=9,F53=10),F55="AC"),LOOKUP(F81,T!$AA158:$AA170,T!$W158:$W170),IF(AND(F51="4E3",F53=6,F55="AC"),LOOKUP(F81,T!$AA158:$AA170,T!$X158:$X170),IF(AND(F51="4E3",OR(F53=3,F53=5),F55="AC"),LOOKUP(F81,T!$AA158:$AA170,T!$Y158:$Y170),IF(AND(F51="4E3",OR(F53=11,F53=12),F55="AC"),LOOKUP(F81,T!$AA158:$AA170,T!$Z158:$Z170),IF(AND(F51="4E4",OR(F53=2,F53=4,F53=6),F55="DC"),LOOKUP(F81,T!$X176:$X192,T!$U176:$U192),IF(AND(F51="4E4",OR(F53=2,F53=4,F53=6),F55="AC"),LOOKUP(F81,T!$X176:$X192,T!$V176:$V192),IF(AND(F51="4E4",OR(F53=3,F53=5,F53=7),F55="AC"),LOOKUP(F81,T!$X176:$X192,T!$W176:$W192),0)))))))))))))))))))),IF(ISNUMBER(SEARCH("4F",F51)),IF(AND(F51="4F1",F53=2,F55="DC"),LOOKUP(F81,T!$Z198:$Z214,T!$U198:$U214),IF(AND(F51="4F1",F53=2,F55="AC"),LOOKUP(F81,T!$Z198:$Z214,T!$V198:$V214),IF(AND(F51="4F1",F53=3,F55="AC"),LOOKUP(F81,T!$Z198:$Z214,T!$W198:$W214),IF(AND(F51="4F1",F53=4,F55="DC"),LOOKUP(F81,T!$Z198:$Z214,T!$X198:$X214),IF(AND(F51="4F1",F53=4,F55="AC"),LOOKUP(F81,T!$Z198:$Z214,T!$Y198:$Y214),IF(AND(F51="4F2",F53=2,F55="DC"),LOOKUP(F81,T!$Y220:$Y236,T!$U220:$U236),IF(AND(F51="4F2",F53=2,F55="AC"),LOOKUP(F81,T!$Y220:$Y236,T!$V220:$V236),IF(AND(F51="4F2",F53=3,F55="AC"),LOOKUP(F81,T!$Y220:$Y236,T!$W220:$W236),IF(AND(F51="4F2",F53=4,F55="DC"),LOOKUP(F81,T!$Y220:$Y236,T!$X220:$X236),IF(AND(F51="4F3",F53=2),LOOKUP(F81,T!$W242:$W248,T!$U242:$U248),IF(AND(F51="4F3",F53=3,F55="AC"),LOOKUP(F81,T!$W242:$W248,T!$V242:$V248),0))))))))))),IF(ISNUMBER(SEARCH("4G",F51)),IF(AND(F51="4G1",OR(F53=2,F53=5)),LOOKUP(F81,T!$AA254:$AA269,T!$U254:$U269),IF(AND(F51="4G1",OR(F53=3,F53=6)),LOOKUP(F81,T!$AA254:$AA269,T!$X254:$X269),IF(AND(F51="4G1",OR(F53=4,F53=7)),LOOKUP(F81,T!$AA254:$AA269,T!$Y254:$Y269),IF(AND(F51="4G1",OR(F53=8,F53=9)),LOOKUP(F81,T!$AA254:$AA269,T!$Z254:$Z269),IF(AND(F51="4G2",OR(F53=2,F53=5)),LOOKUP(F81,T!$AA281:$AA296,T!$U281:$U296),IF(AND(F51="4G2",OR(F53=3,F53=6)),LOOKUP(F81,T!$AA281:$AA296,T!$X281:$X296),IF(AND(F51="4G2",OR(F53=4,F53=7)),LOOKUP(F81,T!$AA281:$AA296,T!$Y281:$Y296),IF(AND(F51="4G2",OR(F53=8,F53=9)),LOOKUP(F81,T!$AA281:$AA296,T!$Z281:$Z296),0)))))))),0)))))*F23*F69)/1000))</f>
        <v>3.4000560000000002</v>
      </c>
      <c r="G95" s="163">
        <f ca="1">IF(G29="","",IF(OR(COUNT(G19:G21)=3,COUNT(G19:G21)=1),(IF(G29="",0,IF(ISNUMBER(SEARCH("4D",G51)),IF(AND(G51="4D1",OR(G53=2,G53=4,G53=6,G53=8,G53=11),G55="DC"),LOOKUP(G81,T!$AC6:$AC27,T!$U6:$U27),IF(AND(G51="4D1",OR(G53=2,G53=4),G55="AC"),LOOKUP(G81,T!$AC6:$AC27,T!$V6:$V27),IF(AND(G51="4D1",OR(G53=6,G53=8),G55="AC"),LOOKUP(G81,T!$AC6:$AC27,T!$W6:$W27),IF(AND(G51="4D1",OR(G53=11,G53=12),G55="AC",G57=1),LOOKUP(G81,T!$AC6:$AC27,T!$X6:$X27),IF(AND(G51="4D1",OR(G53=3,G53=5),G55="AC"),LOOKUP(G81,T!$AC6:$AC27,T!$Y6:$Y27),IF(AND(G51="4D1",OR(G53=7,G53=10),G55="AC"),LOOKUP(G81,T!$AC6:$AC27,T!$Z6:$Z27),IF(AND(G51="4D1",G53=9,G55="AC"),LOOKUP(G81,T!$AC6:$AC27,T!$AA6:$AA27),IF(AND(G51="4D1",OR(G53=11,G53=12),G55="AC",G57=3),LOOKUP(G81,T!$AC13:$AC27,T!$AB13:$AB27),IF(AND(G51="4D2",OR(G53=2,G53=4,G53=6,G53=8),G55="DC"),LOOKUP(G81,T!$X33:$X50,T!$U33:$U50),IF(AND(G51="4D2",OR(G53=2,G53=4,G53=6,G53=8),G55="AC"),LOOKUP(G81,T!$X33:$X50,T!$V33:$V50),IF(AND(G51="4D2",OR(G53=3,G53=5,G53=7,G53=9),G55="AC"),LOOKUP(G81,T!$X33:$X50,T!$W33:$W50),IF(AND(G51="4D3",OR(G53=2,G53=4,G53=7,G53=8),G55="DC"),LOOKUP(G81,T!$AA56:$AA68,T!$U56:$U68),IF(AND(G51="4D3",OR(G53=2,G53=4),G55="AC"),LOOKUP(G81,T!$AA56:$AA68,T!$V56:$V68),IF(AND(G51="4D3",OR(G53=9,G53=10),G55="AC"),LOOKUP(G81,T!$AA56:$AA$68,T!$W56:$W68),IF(AND(G51="4D3",G53=6,G55="AC"),LOOKUP(G81,T!$AA56:$AA68,T!$X56:$X68),IF(AND(G51="4D3",OR(G53=3,G53=5),G55="AC"),LOOKUP(G81,T!$AA56:$AA68,T!$Y56:$Y68),IF(AND(G51="4D3",OR(G53=11,G53=12),G55="AC"),LOOKUP(G81,T!$AA56:$AA68,T!$Z56:$Z68),IF(AND(G51="4D4",OR(G53=2,G53=4,G53=6),G55="DC"),LOOKUP(G81,T!$X74:$X90,T!$U74:$U90),IF(AND(G51="4D4",OR(G53=2,G53=4,G53=6),G55="AC"),LOOKUP(G81,T!$X74:$X90,T!$V74:$V90),IF(AND(G51="4D4",OR(G53=3,G53=5,G53=7),G55="AC"),LOOKUP(G81,T!$X74:$X90,T!$W74:$W90),IF(AND(G51="4D5",AND(G53&gt;=2,G53&lt;=7)),LOOKUP(G81,T!$I96:$I102,T!$H96:$H102),0))))))))))))))))))))),IF(ISNUMBER(SEARCH("4E",G51)),IF(AND(G51="4E1",OR(G53=2,G53=4,G53=6,G53=8,G53=11),G55="DC"),LOOKUP(G81,T!$AC108:$AC129,T!$U108:$U129),IF(AND(G51="4E1",OR(G53=2,G53=4),G55="AC"),LOOKUP(G81,T!$AC108:$AC129,T!$V108:$V129),IF(AND(G51="4E1",OR(G53=6,G53=8),G55="AC"),LOOKUP(G81,T!$AC108:$AC129,T!$W108:$W129),IF(AND(G51="4E1",OR(G53=11,G53=12),G55="AC",G57=1),LOOKUP(G81,T!$AC108:$AC127,T!$X108:$X129),IF(AND(G51="4E1",OR(G53=3,G53=5),G55="AC"),LOOKUP(G81,T!$AC108:$AC129,T!$Y108:$Y129),IF(AND(G51="4E1",OR(G53=7,G53=10),G55="AC"),LOOKUP(G81,T!$AC108:$AC129,T!$Z108:$Z129),IF(AND(G51="4E1",G53=9,G55="AC"),LOOKUP(G81,T!$AC115:$AC129,T!$AA115:$AA129),IF(AND(G51="4E1",OR(G53=11,G53=12),G55="AC",G57=3),LOOKUP(G81,T!$AC115:$AC129,T!$AB115:$AB129),IF(AND(G51="4E2",OR(G53=2,G53=4,G53=6,G53=8),G55="DC"),LOOKUP(G81,T!$X134:$X152,T!$U134:$U152),IF(AND(G51="4E2",OR(G53=2,G53=4,G53=6,G53=8),G55="AC"),LOOKUP(G81,T!$X134:$X152,T!$V134:$V152),IF(AND(G51="4E2",OR(G53=3,G53=5,G53=7,G53=9),G55="AC"),LOOKUP(G81,T!$X134:$X152,T!$W134:$W152),IF(AND(G51="4E3",OR(G53=2,G53=4,G53=7,G53=8),G55="DC"),LOOKUP(G81,T!$AA158:$AA170,T!$U158:$U170),IF(AND(G51="4E3",OR(G53=2,G53=4),G55="AC"),LOOKUP(G81,T!$AA158:$AA170,T!$V158:$V170),IF(AND(G51="4E3",OR(G53=9,G53=10),G55="AC"),LOOKUP(G81,T!$AA158:$AA170,T!$W158:$W170),IF(AND(G51="4E3",G53=6,G55="AC"),LOOKUP(G81,T!$AA158:$AA170,T!$X158:$X170),IF(AND(G51="4E3",OR(G53=3,G53=5),G55="AC"),LOOKUP(G81,T!$AA158:$AA170,T!$Y158:$Y170),IF(AND(G51="4E3",OR(G53=11,G53=12),G55="AC"),LOOKUP(G81,T!$AA158:$AA170,T!$Z158:$Z170),IF(AND(G51="4E4",OR(G53=2,G53=4,G53=6),G55="DC"),LOOKUP(G81,T!$X176:$X192,T!$U176:$U192),IF(AND(G51="4E4",OR(G53=2,G53=4,G53=6),G55="AC"),LOOKUP(G81,T!$X176:$X192,T!$V176:$V192),IF(AND(G51="4E4",OR(G53=3,G53=5,G53=7),G55="AC"),LOOKUP(G81,T!$X176:$X192,T!$W176:$W192),0)))))))))))))))))))),IF(ISNUMBER(SEARCH("4F",G51)),IF(AND(G51="4F1",G53=2,G55="DC"),LOOKUP(G81,T!$Z198:$Z214,T!$U198:$U214),IF(AND(G51="4F1",G53=2,G55="AC"),LOOKUP(G81,T!$Z198:$Z214,T!$V198:$V214),IF(AND(G51="4F1",G53=3,G55="AC"),LOOKUP(G81,T!$Z198:$Z214,T!$W198:$W214),IF(AND(G51="4F1",G53=4,G55="DC"),LOOKUP(G81,T!$Z198:$Z214,T!$X198:$X214),IF(AND(G51="4F1",G53=4,G55="AC"),LOOKUP(G81,T!$Z198:$Z214,T!$Y198:$Y214),IF(AND(G51="4F2",G53=2,G55="DC"),LOOKUP(G81,T!$Y220:$Y236,T!$U220:$U236),IF(AND(G51="4F2",G53=2,G55="AC"),LOOKUP(G81,T!$Y220:$Y236,T!$V220:$V236),IF(AND(G51="4F2",G53=3,G55="AC"),LOOKUP(G81,T!$Y220:$Y236,T!$W220:$W236),IF(AND(G51="4F2",G53=4,G55="DC"),LOOKUP(G81,T!$Y220:$Y236,T!$X220:$X236),IF(AND(G51="4F3",G53=2),LOOKUP(G81,T!$W242:$W248,T!$U242:$U248),IF(AND(G51="4F3",G53=3,G55="AC"),LOOKUP(G81,T!$W242:$W248,T!$V242:$V248),0))))))))))),IF(ISNUMBER(SEARCH("4G",G51)),IF(AND(G51="4G1",OR(G53=2,G53=5)),LOOKUP(G81,T!$AA254:$AA269,T!$U254:$U269),IF(AND(G51="4G1",OR(G53=3,G53=6)),LOOKUP(G81,T!$AA254:$AA269,T!$X254:$X269),IF(AND(G51="4G1",OR(G53=4,G53=7)),LOOKUP(G81,T!$AA254:$AA269,T!$Y254:$Y269),IF(AND(G51="4G1",OR(G53=8,G53=9)),LOOKUP(G81,T!$AA254:$AA269,T!$Z254:$Z269),IF(AND(G51="4G2",OR(G53=2,G53=5)),LOOKUP(G81,T!$AA281:$AA296,T!$U281:$U296),IF(AND(G51="4G2",OR(G53=3,G53=6)),LOOKUP(G81,T!$AA281:$AA296,T!$X281:$X296),IF(AND(G51="4G2",OR(G53=4,G53=7)),LOOKUP(G81,T!$AA281:$AA296,T!$Y281:$Y296),IF(AND(G51="4G2",OR(G53=8,G53=9)),LOOKUP(G81,T!$AA281:$AA296,T!$Z281:$Z296),0)))))))),0)))))*G23*G69)/1000))</f>
        <v>3.4000560000000002</v>
      </c>
      <c r="H95" s="163">
        <f ca="1">IF(H29="","",IF(OR(COUNT(H19:H21)=3,COUNT(H19:H21)=1),(IF(H29="",0,IF(ISNUMBER(SEARCH("4D",H51)),IF(AND(H51="4D1",OR(H53=2,H53=4,H53=6,H53=8,H53=11),H55="DC"),LOOKUP(H81,T!$AC6:$AC27,T!$U6:$U27),IF(AND(H51="4D1",OR(H53=2,H53=4),H55="AC"),LOOKUP(H81,T!$AC6:$AC27,T!$V6:$V27),IF(AND(H51="4D1",OR(H53=6,H53=8),H55="AC"),LOOKUP(H81,T!$AC6:$AC27,T!$W6:$W27),IF(AND(H51="4D1",OR(H53=11,H53=12),H55="AC",H57=1),LOOKUP(H81,T!$AC6:$AC27,T!$X6:$X27),IF(AND(H51="4D1",OR(H53=3,H53=5),H55="AC"),LOOKUP(H81,T!$AC6:$AC27,T!$Y6:$Y27),IF(AND(H51="4D1",OR(H53=7,H53=10),H55="AC"),LOOKUP(H81,T!$AC6:$AC27,T!$Z6:$Z27),IF(AND(H51="4D1",H53=9,H55="AC"),LOOKUP(H81,T!$AC6:$AC27,T!$AA6:$AA27),IF(AND(H51="4D1",OR(H53=11,H53=12),H55="AC",H57=3),LOOKUP(H81,T!$AC13:$AC27,T!$AB13:$AB27),IF(AND(H51="4D2",OR(H53=2,H53=4,H53=6,H53=8),H55="DC"),LOOKUP(H81,T!$X33:$X50,T!$U33:$U50),IF(AND(H51="4D2",OR(H53=2,H53=4,H53=6,H53=8),H55="AC"),LOOKUP(H81,T!$X33:$X50,T!$V33:$V50),IF(AND(H51="4D2",OR(H53=3,H53=5,H53=7,H53=9),H55="AC"),LOOKUP(H81,T!$X33:$X50,T!$W33:$W50),IF(AND(H51="4D3",OR(H53=2,H53=4,H53=7,H53=8),H55="DC"),LOOKUP(H81,T!$AA56:$AA68,T!$U56:$U68),IF(AND(H51="4D3",OR(H53=2,H53=4),H55="AC"),LOOKUP(H81,T!$AA56:$AA68,T!$V56:$V68),IF(AND(H51="4D3",OR(H53=9,H53=10),H55="AC"),LOOKUP(H81,T!$AA56:$AA$68,T!$W56:$W68),IF(AND(H51="4D3",H53=6,H55="AC"),LOOKUP(H81,T!$AA56:$AA68,T!$X56:$X68),IF(AND(H51="4D3",OR(H53=3,H53=5),H55="AC"),LOOKUP(H81,T!$AA56:$AA68,T!$Y56:$Y68),IF(AND(H51="4D3",OR(H53=11,H53=12),H55="AC"),LOOKUP(H81,T!$AA56:$AA68,T!$Z56:$Z68),IF(AND(H51="4D4",OR(H53=2,H53=4,H53=6),H55="DC"),LOOKUP(H81,T!$X74:$X90,T!$U74:$U90),IF(AND(H51="4D4",OR(H53=2,H53=4,H53=6),H55="AC"),LOOKUP(H81,T!$X74:$X90,T!$V74:$V90),IF(AND(H51="4D4",OR(H53=3,H53=5,H53=7),H55="AC"),LOOKUP(H81,T!$X74:$X90,T!$W74:$W90),IF(AND(H51="4D5",AND(H53&gt;=2,H53&lt;=7)),LOOKUP(H81,T!$I96:$I102,T!$H96:$H102),0))))))))))))))))))))),IF(ISNUMBER(SEARCH("4E",H51)),IF(AND(H51="4E1",OR(H53=2,H53=4,H53=6,H53=8,H53=11),H55="DC"),LOOKUP(H81,T!$AC108:$AC129,T!$U108:$U129),IF(AND(H51="4E1",OR(H53=2,H53=4),H55="AC"),LOOKUP(H81,T!$AC108:$AC129,T!$V108:$V129),IF(AND(H51="4E1",OR(H53=6,H53=8),H55="AC"),LOOKUP(H81,T!$AC108:$AC129,T!$W108:$W129),IF(AND(H51="4E1",OR(H53=11,H53=12),H55="AC",H57=1),LOOKUP(H81,T!$AC108:$AC127,T!$X108:$X129),IF(AND(H51="4E1",OR(H53=3,H53=5),H55="AC"),LOOKUP(H81,T!$AC108:$AC129,T!$Y108:$Y129),IF(AND(H51="4E1",OR(H53=7,H53=10),H55="AC"),LOOKUP(H81,T!$AC108:$AC129,T!$Z108:$Z129),IF(AND(H51="4E1",H53=9,H55="AC"),LOOKUP(H81,T!$AC115:$AC129,T!$AA115:$AA129),IF(AND(H51="4E1",OR(H53=11,H53=12),H55="AC",H57=3),LOOKUP(H81,T!$AC115:$AC129,T!$AB115:$AB129),IF(AND(H51="4E2",OR(H53=2,H53=4,H53=6,H53=8),H55="DC"),LOOKUP(H81,T!$X134:$X152,T!$U134:$U152),IF(AND(H51="4E2",OR(H53=2,H53=4,H53=6,H53=8),H55="AC"),LOOKUP(H81,T!$X134:$X152,T!$V134:$V152),IF(AND(H51="4E2",OR(H53=3,H53=5,H53=7,H53=9),H55="AC"),LOOKUP(H81,T!$X134:$X152,T!$W134:$W152),IF(AND(H51="4E3",OR(H53=2,H53=4,H53=7,H53=8),H55="DC"),LOOKUP(H81,T!$AA158:$AA170,T!$U158:$U170),IF(AND(H51="4E3",OR(H53=2,H53=4),H55="AC"),LOOKUP(H81,T!$AA158:$AA170,T!$V158:$V170),IF(AND(H51="4E3",OR(H53=9,H53=10),H55="AC"),LOOKUP(H81,T!$AA158:$AA170,T!$W158:$W170),IF(AND(H51="4E3",H53=6,H55="AC"),LOOKUP(H81,T!$AA158:$AA170,T!$X158:$X170),IF(AND(H51="4E3",OR(H53=3,H53=5),H55="AC"),LOOKUP(H81,T!$AA158:$AA170,T!$Y158:$Y170),IF(AND(H51="4E3",OR(H53=11,H53=12),H55="AC"),LOOKUP(H81,T!$AA158:$AA170,T!$Z158:$Z170),IF(AND(H51="4E4",OR(H53=2,H53=4,H53=6),H55="DC"),LOOKUP(H81,T!$X176:$X192,T!$U176:$U192),IF(AND(H51="4E4",OR(H53=2,H53=4,H53=6),H55="AC"),LOOKUP(H81,T!$X176:$X192,T!$V176:$V192),IF(AND(H51="4E4",OR(H53=3,H53=5,H53=7),H55="AC"),LOOKUP(H81,T!$X176:$X192,T!$W176:$W192),0)))))))))))))))))))),IF(ISNUMBER(SEARCH("4F",H51)),IF(AND(H51="4F1",H53=2,H55="DC"),LOOKUP(H81,T!$Z198:$Z214,T!$U198:$U214),IF(AND(H51="4F1",H53=2,H55="AC"),LOOKUP(H81,T!$Z198:$Z214,T!$V198:$V214),IF(AND(H51="4F1",H53=3,H55="AC"),LOOKUP(H81,T!$Z198:$Z214,T!$W198:$W214),IF(AND(H51="4F1",H53=4,H55="DC"),LOOKUP(H81,T!$Z198:$Z214,T!$X198:$X214),IF(AND(H51="4F1",H53=4,H55="AC"),LOOKUP(H81,T!$Z198:$Z214,T!$Y198:$Y214),IF(AND(H51="4F2",H53=2,H55="DC"),LOOKUP(H81,T!$Y220:$Y236,T!$U220:$U236),IF(AND(H51="4F2",H53=2,H55="AC"),LOOKUP(H81,T!$Y220:$Y236,T!$V220:$V236),IF(AND(H51="4F2",H53=3,H55="AC"),LOOKUP(H81,T!$Y220:$Y236,T!$W220:$W236),IF(AND(H51="4F2",H53=4,H55="DC"),LOOKUP(H81,T!$Y220:$Y236,T!$X220:$X236),IF(AND(H51="4F3",H53=2),LOOKUP(H81,T!$W242:$W248,T!$U242:$U248),IF(AND(H51="4F3",H53=3,H55="AC"),LOOKUP(H81,T!$W242:$W248,T!$V242:$V248),0))))))))))),IF(ISNUMBER(SEARCH("4G",H51)),IF(AND(H51="4G1",OR(H53=2,H53=5)),LOOKUP(H81,T!$AA254:$AA269,T!$U254:$U269),IF(AND(H51="4G1",OR(H53=3,H53=6)),LOOKUP(H81,T!$AA254:$AA269,T!$X254:$X269),IF(AND(H51="4G1",OR(H53=4,H53=7)),LOOKUP(H81,T!$AA254:$AA269,T!$Y254:$Y269),IF(AND(H51="4G1",OR(H53=8,H53=9)),LOOKUP(H81,T!$AA254:$AA269,T!$Z254:$Z269),IF(AND(H51="4G2",OR(H53=2,H53=5)),LOOKUP(H81,T!$AA281:$AA296,T!$U281:$U296),IF(AND(H51="4G2",OR(H53=3,H53=6)),LOOKUP(H81,T!$AA281:$AA296,T!$X281:$X296),IF(AND(H51="4G2",OR(H53=4,H53=7)),LOOKUP(H81,T!$AA281:$AA296,T!$Y281:$Y296),IF(AND(H51="4G2",OR(H53=8,H53=9)),LOOKUP(H81,T!$AA281:$AA296,T!$Z281:$Z296),0)))))))),0)))))*H23*H69)/1000))</f>
        <v>3.4000560000000002</v>
      </c>
      <c r="I95" s="163">
        <f>IF(I29="","",IF(OR(COUNT(I19:I21)=3,COUNT(I19:I21)=1),(IF(I29="",0,IF(ISNUMBER(SEARCH("4D",I51)),IF(AND(I51="4D1",OR(I53=2,I53=4,I53=6,I53=8,I53=11),I55="DC"),LOOKUP(I81,T!$AC6:$AC27,T!$U6:$U27),IF(AND(I51="4D1",OR(I53=2,I53=4),I55="AC"),LOOKUP(I81,T!$AC6:$AC27,T!$V6:$V27),IF(AND(I51="4D1",OR(I53=6,I53=8),I55="AC"),LOOKUP(I81,T!$AC6:$AC27,T!$W6:$W27),IF(AND(I51="4D1",OR(I53=11,I53=12),I55="AC",I57=1),LOOKUP(I81,T!$AC6:$AC27,T!$X6:$X27),IF(AND(I51="4D1",OR(I53=3,I53=5),I55="AC"),LOOKUP(I81,T!$AC6:$AC27,T!$Y6:$Y27),IF(AND(I51="4D1",OR(I53=7,I53=10),I55="AC"),LOOKUP(I81,T!$AC6:$AC27,T!$Z6:$Z27),IF(AND(I51="4D1",I53=9,I55="AC"),LOOKUP(I81,T!$AC6:$AC27,T!$AA6:$AA27),IF(AND(I51="4D1",OR(I53=11,I53=12),I55="AC",I57=3),LOOKUP(I81,T!$AC13:$AC27,T!$AB13:$AB27),IF(AND(I51="4D2",OR(I53=2,I53=4,I53=6,I53=8),I55="DC"),LOOKUP(I81,T!$X33:$X50,T!$U33:$U50),IF(AND(I51="4D2",OR(I53=2,I53=4,I53=6,I53=8),I55="AC"),LOOKUP(I81,T!$X33:$X50,T!$V33:$V50),IF(AND(I51="4D2",OR(I53=3,I53=5,I53=7,I53=9),I55="AC"),LOOKUP(I81,T!$X33:$X50,T!$W33:$W50),IF(AND(I51="4D3",OR(I53=2,I53=4,I53=7,I53=8),I55="DC"),LOOKUP(I81,T!$AA56:$AA68,T!$U56:$U68),IF(AND(I51="4D3",OR(I53=2,I53=4),I55="AC"),LOOKUP(I81,T!$AA56:$AA68,T!$V56:$V68),IF(AND(I51="4D3",OR(I53=9,I53=10),I55="AC"),LOOKUP(I81,T!$AA56:$AA$68,T!$W56:$W68),IF(AND(I51="4D3",I53=6,I55="AC"),LOOKUP(I81,T!$AA56:$AA68,T!$X56:$X68),IF(AND(I51="4D3",OR(I53=3,I53=5),I55="AC"),LOOKUP(I81,T!$AA56:$AA68,T!$Y56:$Y68),IF(AND(I51="4D3",OR(I53=11,I53=12),I55="AC"),LOOKUP(I81,T!$AA56:$AA68,T!$Z56:$Z68),IF(AND(I51="4D4",OR(I53=2,I53=4,I53=6),I55="DC"),LOOKUP(I81,T!$X74:$X90,T!$U74:$U90),IF(AND(I51="4D4",OR(I53=2,I53=4,I53=6),I55="AC"),LOOKUP(I81,T!$X74:$X90,T!$V74:$V90),IF(AND(I51="4D4",OR(I53=3,I53=5,I53=7),I55="AC"),LOOKUP(I81,T!$X74:$X90,T!$W74:$W90),IF(AND(I51="4D5",AND(I53&gt;=2,I53&lt;=7)),LOOKUP(I81,T!$I96:$I102,T!$H96:$H102),0))))))))))))))))))))),IF(ISNUMBER(SEARCH("4E",I51)),IF(AND(I51="4E1",OR(I53=2,I53=4,I53=6,I53=8,I53=11),I55="DC"),LOOKUP(I81,T!$AC108:$AC129,T!$U108:$U129),IF(AND(I51="4E1",OR(I53=2,I53=4),I55="AC"),LOOKUP(I81,T!$AC108:$AC129,T!$V108:$V129),IF(AND(I51="4E1",OR(I53=6,I53=8),I55="AC"),LOOKUP(I81,T!$AC108:$AC129,T!$W108:$W129),IF(AND(I51="4E1",OR(I53=11,I53=12),I55="AC",I57=1),LOOKUP(I81,T!$AC108:$AC127,T!$X108:$X129),IF(AND(I51="4E1",OR(I53=3,I53=5),I55="AC"),LOOKUP(I81,T!$AC108:$AC129,T!$Y108:$Y129),IF(AND(I51="4E1",OR(I53=7,I53=10),I55="AC"),LOOKUP(I81,T!$AC108:$AC129,T!$Z108:$Z129),IF(AND(I51="4E1",I53=9,I55="AC"),LOOKUP(I81,T!$AC115:$AC129,T!$AA115:$AA129),IF(AND(I51="4E1",OR(I53=11,I53=12),I55="AC",I57=3),LOOKUP(I81,T!$AC115:$AC129,T!$AB115:$AB129),IF(AND(I51="4E2",OR(I53=2,I53=4,I53=6,I53=8),I55="DC"),LOOKUP(I81,T!$X134:$X152,T!$U134:$U152),IF(AND(I51="4E2",OR(I53=2,I53=4,I53=6,I53=8),I55="AC"),LOOKUP(I81,T!$X134:$X152,T!$V134:$V152),IF(AND(I51="4E2",OR(I53=3,I53=5,I53=7,I53=9),I55="AC"),LOOKUP(I81,T!$X134:$X152,T!$W134:$W152),IF(AND(I51="4E3",OR(I53=2,I53=4,I53=7,I53=8),I55="DC"),LOOKUP(I81,T!$AA158:$AA170,T!$U158:$U170),IF(AND(I51="4E3",OR(I53=2,I53=4),I55="AC"),LOOKUP(I81,T!$AA158:$AA170,T!$V158:$V170),IF(AND(I51="4E3",OR(I53=9,I53=10),I55="AC"),LOOKUP(I81,T!$AA158:$AA170,T!$W158:$W170),IF(AND(I51="4E3",I53=6,I55="AC"),LOOKUP(I81,T!$AA158:$AA170,T!$X158:$X170),IF(AND(I51="4E3",OR(I53=3,I53=5),I55="AC"),LOOKUP(I81,T!$AA158:$AA170,T!$Y158:$Y170),IF(AND(I51="4E3",OR(I53=11,I53=12),I55="AC"),LOOKUP(I81,T!$AA158:$AA170,T!$Z158:$Z170),IF(AND(I51="4E4",OR(I53=2,I53=4,I53=6),I55="DC"),LOOKUP(I81,T!$X176:$X192,T!$U176:$U192),IF(AND(I51="4E4",OR(I53=2,I53=4,I53=6),I55="AC"),LOOKUP(I81,T!$X176:$X192,T!$V176:$V192),IF(AND(I51="4E4",OR(I53=3,I53=5,I53=7),I55="AC"),LOOKUP(I81,T!$X176:$X192,T!$W176:$W192),0)))))))))))))))))))),IF(ISNUMBER(SEARCH("4F",I51)),IF(AND(I51="4F1",I53=2,I55="DC"),LOOKUP(I81,T!$Z198:$Z214,T!$U198:$U214),IF(AND(I51="4F1",I53=2,I55="AC"),LOOKUP(I81,T!$Z198:$Z214,T!$V198:$V214),IF(AND(I51="4F1",I53=3,I55="AC"),LOOKUP(I81,T!$Z198:$Z214,T!$W198:$W214),IF(AND(I51="4F1",I53=4,I55="DC"),LOOKUP(I81,T!$Z198:$Z214,T!$X198:$X214),IF(AND(I51="4F1",I53=4,I55="AC"),LOOKUP(I81,T!$Z198:$Z214,T!$Y198:$Y214),IF(AND(I51="4F2",I53=2,I55="DC"),LOOKUP(I81,T!$Y220:$Y236,T!$U220:$U236),IF(AND(I51="4F2",I53=2,I55="AC"),LOOKUP(I81,T!$Y220:$Y236,T!$V220:$V236),IF(AND(I51="4F2",I53=3,I55="AC"),LOOKUP(I81,T!$Y220:$Y236,T!$W220:$W236),IF(AND(I51="4F2",I53=4,I55="DC"),LOOKUP(I81,T!$Y220:$Y236,T!$X220:$X236),IF(AND(I51="4F3",I53=2),LOOKUP(I81,T!$W242:$W248,T!$U242:$U248),IF(AND(I51="4F3",I53=3,I55="AC"),LOOKUP(I81,T!$W242:$W248,T!$V242:$V248),0))))))))))),IF(ISNUMBER(SEARCH("4G",I51)),IF(AND(I51="4G1",OR(I53=2,I53=5)),LOOKUP(I81,T!$AA254:$AA269,T!$U254:$U269),IF(AND(I51="4G1",OR(I53=3,I53=6)),LOOKUP(I81,T!$AA254:$AA269,T!$X254:$X269),IF(AND(I51="4G1",OR(I53=4,I53=7)),LOOKUP(I81,T!$AA254:$AA269,T!$Y254:$Y269),IF(AND(I51="4G1",OR(I53=8,I53=9)),LOOKUP(I81,T!$AA254:$AA269,T!$Z254:$Z269),IF(AND(I51="4G2",OR(I53=2,I53=5)),LOOKUP(I81,T!$AA281:$AA296,T!$U281:$U296),IF(AND(I51="4G2",OR(I53=3,I53=6)),LOOKUP(I81,T!$AA281:$AA296,T!$X281:$X296),IF(AND(I51="4G2",OR(I53=4,I53=7)),LOOKUP(I81,T!$AA281:$AA296,T!$Y281:$Y296),IF(AND(I51="4G2",OR(I53=8,I53=9)),LOOKUP(I81,T!$AA281:$AA296,T!$Z281:$Z296),0)))))))),0)))))*I23*I69)/1000))</f>
        <v>0</v>
      </c>
      <c r="J95" s="163">
        <f>IF(J29="","",IF(OR(COUNT(J19:J21)=3,COUNT(J19:J21)=1),(IF(J29="",0,IF(ISNUMBER(SEARCH("4D",J51)),IF(AND(J51="4D1",OR(J53=2,J53=4,J53=6,J53=8,J53=11),J55="DC"),LOOKUP(J81,T!$AC6:$AC27,T!$U6:$U27),IF(AND(J51="4D1",OR(J53=2,J53=4),J55="AC"),LOOKUP(J81,T!$AC6:$AC27,T!$V6:$V27),IF(AND(J51="4D1",OR(J53=6,J53=8),J55="AC"),LOOKUP(J81,T!$AC6:$AC27,T!$W6:$W27),IF(AND(J51="4D1",OR(J53=11,J53=12),J55="AC",J57=1),LOOKUP(J81,T!$AC6:$AC27,T!$X6:$X27),IF(AND(J51="4D1",OR(J53=3,J53=5),J55="AC"),LOOKUP(J81,T!$AC6:$AC27,T!$Y6:$Y27),IF(AND(J51="4D1",OR(J53=7,J53=10),J55="AC"),LOOKUP(J81,T!$AC6:$AC27,T!$Z6:$Z27),IF(AND(J51="4D1",J53=9,J55="AC"),LOOKUP(J81,T!$AC6:$AC27,T!$AA6:$AA27),IF(AND(J51="4D1",OR(J53=11,J53=12),J55="AC",J57=3),LOOKUP(J81,T!$AC13:$AC27,T!$AB13:$AB27),IF(AND(J51="4D2",OR(J53=2,J53=4,J53=6,J53=8),J55="DC"),LOOKUP(J81,T!$X33:$X50,T!$U33:$U50),IF(AND(J51="4D2",OR(J53=2,J53=4,J53=6,J53=8),J55="AC"),LOOKUP(J81,T!$X33:$X50,T!$V33:$V50),IF(AND(J51="4D2",OR(J53=3,J53=5,J53=7,J53=9),J55="AC"),LOOKUP(J81,T!$X33:$X50,T!$W33:$W50),IF(AND(J51="4D3",OR(J53=2,J53=4,J53=7,J53=8),J55="DC"),LOOKUP(J81,T!$AA56:$AA68,T!$U56:$U68),IF(AND(J51="4D3",OR(J53=2,J53=4),J55="AC"),LOOKUP(J81,T!$AA56:$AA68,T!$V56:$V68),IF(AND(J51="4D3",OR(J53=9,J53=10),J55="AC"),LOOKUP(J81,T!$AA56:$AA$68,T!$W56:$W68),IF(AND(J51="4D3",J53=6,J55="AC"),LOOKUP(J81,T!$AA56:$AA68,T!$X56:$X68),IF(AND(J51="4D3",OR(J53=3,J53=5),J55="AC"),LOOKUP(J81,T!$AA56:$AA68,T!$Y56:$Y68),IF(AND(J51="4D3",OR(J53=11,J53=12),J55="AC"),LOOKUP(J81,T!$AA56:$AA68,T!$Z56:$Z68),IF(AND(J51="4D4",OR(J53=2,J53=4,J53=6),J55="DC"),LOOKUP(J81,T!$X74:$X90,T!$U74:$U90),IF(AND(J51="4D4",OR(J53=2,J53=4,J53=6),J55="AC"),LOOKUP(J81,T!$X74:$X90,T!$V74:$V90),IF(AND(J51="4D4",OR(J53=3,J53=5,J53=7),J55="AC"),LOOKUP(J81,T!$X74:$X90,T!$W74:$W90),IF(AND(J51="4D5",AND(J53&gt;=2,J53&lt;=7)),LOOKUP(J81,T!$I96:$I102,T!$H96:$H102),0))))))))))))))))))))),IF(ISNUMBER(SEARCH("4E",J51)),IF(AND(J51="4E1",OR(J53=2,J53=4,J53=6,J53=8,J53=11),J55="DC"),LOOKUP(J81,T!$AC108:$AC129,T!$U108:$U129),IF(AND(J51="4E1",OR(J53=2,J53=4),J55="AC"),LOOKUP(J81,T!$AC108:$AC129,T!$V108:$V129),IF(AND(J51="4E1",OR(J53=6,J53=8),J55="AC"),LOOKUP(J81,T!$AC108:$AC129,T!$W108:$W129),IF(AND(J51="4E1",OR(J53=11,J53=12),J55="AC",J57=1),LOOKUP(J81,T!$AC108:$AC127,T!$X108:$X129),IF(AND(J51="4E1",OR(J53=3,J53=5),J55="AC"),LOOKUP(J81,T!$AC108:$AC129,T!$Y108:$Y129),IF(AND(J51="4E1",OR(J53=7,J53=10),J55="AC"),LOOKUP(J81,T!$AC108:$AC129,T!$Z108:$Z129),IF(AND(J51="4E1",J53=9,J55="AC"),LOOKUP(J81,T!$AC115:$AC129,T!$AA115:$AA129),IF(AND(J51="4E1",OR(J53=11,J53=12),J55="AC",J57=3),LOOKUP(J81,T!$AC115:$AC129,T!$AB115:$AB129),IF(AND(J51="4E2",OR(J53=2,J53=4,J53=6,J53=8),J55="DC"),LOOKUP(J81,T!$X134:$X152,T!$U134:$U152),IF(AND(J51="4E2",OR(J53=2,J53=4,J53=6,J53=8),J55="AC"),LOOKUP(J81,T!$X134:$X152,T!$V134:$V152),IF(AND(J51="4E2",OR(J53=3,J53=5,J53=7,J53=9),J55="AC"),LOOKUP(J81,T!$X134:$X152,T!$W134:$W152),IF(AND(J51="4E3",OR(J53=2,J53=4,J53=7,J53=8),J55="DC"),LOOKUP(J81,T!$AA158:$AA170,T!$U158:$U170),IF(AND(J51="4E3",OR(J53=2,J53=4),J55="AC"),LOOKUP(J81,T!$AA158:$AA170,T!$V158:$V170),IF(AND(J51="4E3",OR(J53=9,J53=10),J55="AC"),LOOKUP(J81,T!$AA158:$AA170,T!$W158:$W170),IF(AND(J51="4E3",J53=6,J55="AC"),LOOKUP(J81,T!$AA158:$AA170,T!$X158:$X170),IF(AND(J51="4E3",OR(J53=3,J53=5),J55="AC"),LOOKUP(J81,T!$AA158:$AA170,T!$Y158:$Y170),IF(AND(J51="4E3",OR(J53=11,J53=12),J55="AC"),LOOKUP(J81,T!$AA158:$AA170,T!$Z158:$Z170),IF(AND(J51="4E4",OR(J53=2,J53=4,J53=6),J55="DC"),LOOKUP(J81,T!$X176:$X192,T!$U176:$U192),IF(AND(J51="4E4",OR(J53=2,J53=4,J53=6),J55="AC"),LOOKUP(J81,T!$X176:$X192,T!$V176:$V192),IF(AND(J51="4E4",OR(J53=3,J53=5,J53=7),J55="AC"),LOOKUP(J81,T!$X176:$X192,T!$W176:$W192),0)))))))))))))))))))),IF(ISNUMBER(SEARCH("4F",J51)),IF(AND(J51="4F1",J53=2,J55="DC"),LOOKUP(J81,T!$Z198:$Z214,T!$U198:$U214),IF(AND(J51="4F1",J53=2,J55="AC"),LOOKUP(J81,T!$Z198:$Z214,T!$V198:$V214),IF(AND(J51="4F1",J53=3,J55="AC"),LOOKUP(J81,T!$Z198:$Z214,T!$W198:$W214),IF(AND(J51="4F1",J53=4,J55="DC"),LOOKUP(J81,T!$Z198:$Z214,T!$X198:$X214),IF(AND(J51="4F1",J53=4,J55="AC"),LOOKUP(J81,T!$Z198:$Z214,T!$Y198:$Y214),IF(AND(J51="4F2",J53=2,J55="DC"),LOOKUP(J81,T!$Y220:$Y236,T!$U220:$U236),IF(AND(J51="4F2",J53=2,J55="AC"),LOOKUP(J81,T!$Y220:$Y236,T!$V220:$V236),IF(AND(J51="4F2",J53=3,J55="AC"),LOOKUP(J81,T!$Y220:$Y236,T!$W220:$W236),IF(AND(J51="4F2",J53=4,J55="DC"),LOOKUP(J81,T!$Y220:$Y236,T!$X220:$X236),IF(AND(J51="4F3",J53=2),LOOKUP(J81,T!$W242:$W248,T!$U242:$U248),IF(AND(J51="4F3",J53=3,J55="AC"),LOOKUP(J81,T!$W242:$W248,T!$V242:$V248),0))))))))))),IF(ISNUMBER(SEARCH("4G",J51)),IF(AND(J51="4G1",OR(J53=2,J53=5)),LOOKUP(J81,T!$AA254:$AA269,T!$U254:$U269),IF(AND(J51="4G1",OR(J53=3,J53=6)),LOOKUP(J81,T!$AA254:$AA269,T!$X254:$X269),IF(AND(J51="4G1",OR(J53=4,J53=7)),LOOKUP(J81,T!$AA254:$AA269,T!$Y254:$Y269),IF(AND(J51="4G1",OR(J53=8,J53=9)),LOOKUP(J81,T!$AA254:$AA269,T!$Z254:$Z269),IF(AND(J51="4G2",OR(J53=2,J53=5)),LOOKUP(J81,T!$AA281:$AA296,T!$U281:$U296),IF(AND(J51="4G2",OR(J53=3,J53=6)),LOOKUP(J81,T!$AA281:$AA296,T!$X281:$X296),IF(AND(J51="4G2",OR(J53=4,J53=7)),LOOKUP(J81,T!$AA281:$AA296,T!$Y281:$Y296),IF(AND(J51="4G2",OR(J53=8,J53=9)),LOOKUP(J81,T!$AA281:$AA296,T!$Z281:$Z296),0)))))))),0)))))*J23*J69)/1000))</f>
        <v>14.322916666666668</v>
      </c>
      <c r="K95" s="163">
        <f>IF(K29="","",IF(OR(COUNT(K19:K21)=3,COUNT(K19:K21)=1),(IF(K29="",0,IF(ISNUMBER(SEARCH("4D",K51)),IF(AND(K51="4D1",OR(K53=2,K53=4,K53=6,K53=8,K53=11),K55="DC"),LOOKUP(K81,T!$AC6:$AC27,T!$U6:$U27),IF(AND(K51="4D1",OR(K53=2,K53=4),K55="AC"),LOOKUP(K81,T!$AC6:$AC27,T!$V6:$V27),IF(AND(K51="4D1",OR(K53=6,K53=8),K55="AC"),LOOKUP(K81,T!$AC6:$AC27,T!$W6:$W27),IF(AND(K51="4D1",OR(K53=11,K53=12),K55="AC",K57=1),LOOKUP(K81,T!$AC6:$AC27,T!$X6:$X27),IF(AND(K51="4D1",OR(K53=3,K53=5),K55="AC"),LOOKUP(K81,T!$AC6:$AC27,T!$Y6:$Y27),IF(AND(K51="4D1",OR(K53=7,K53=10),K55="AC"),LOOKUP(K81,T!$AC6:$AC27,T!$Z6:$Z27),IF(AND(K51="4D1",K53=9,K55="AC"),LOOKUP(K81,T!$AC6:$AC27,T!$AA6:$AA27),IF(AND(K51="4D1",OR(K53=11,K53=12),K55="AC",K57=3),LOOKUP(K81,T!$AC13:$AC27,T!$AB13:$AB27),IF(AND(K51="4D2",OR(K53=2,K53=4,K53=6,K53=8),K55="DC"),LOOKUP(K81,T!$X33:$X50,T!$U33:$U50),IF(AND(K51="4D2",OR(K53=2,K53=4,K53=6,K53=8),K55="AC"),LOOKUP(K81,T!$X33:$X50,T!$V33:$V50),IF(AND(K51="4D2",OR(K53=3,K53=5,K53=7,K53=9),K55="AC"),LOOKUP(K81,T!$X33:$X50,T!$W33:$W50),IF(AND(K51="4D3",OR(K53=2,K53=4,K53=7,K53=8),K55="DC"),LOOKUP(K81,T!$AA56:$AA68,T!$U56:$U68),IF(AND(K51="4D3",OR(K53=2,K53=4),K55="AC"),LOOKUP(K81,T!$AA56:$AA68,T!$V56:$V68),IF(AND(K51="4D3",OR(K53=9,K53=10),K55="AC"),LOOKUP(K81,T!$AA56:$AA$68,T!$W56:$W68),IF(AND(K51="4D3",K53=6,K55="AC"),LOOKUP(K81,T!$AA56:$AA68,T!$X56:$X68),IF(AND(K51="4D3",OR(K53=3,K53=5),K55="AC"),LOOKUP(K81,T!$AA56:$AA68,T!$Y56:$Y68),IF(AND(K51="4D3",OR(K53=11,K53=12),K55="AC"),LOOKUP(K81,T!$AA56:$AA68,T!$Z56:$Z68),IF(AND(K51="4D4",OR(K53=2,K53=4,K53=6),K55="DC"),LOOKUP(K81,T!$X74:$X90,T!$U74:$U90),IF(AND(K51="4D4",OR(K53=2,K53=4,K53=6),K55="AC"),LOOKUP(K81,T!$X74:$X90,T!$V74:$V90),IF(AND(K51="4D4",OR(K53=3,K53=5,K53=7),K55="AC"),LOOKUP(K81,T!$X74:$X90,T!$W74:$W90),IF(AND(K51="4D5",AND(K53&gt;=2,K53&lt;=7)),LOOKUP(K81,T!$I96:$I102,T!$H96:$H102),0))))))))))))))))))))),IF(ISNUMBER(SEARCH("4E",K51)),IF(AND(K51="4E1",OR(K53=2,K53=4,K53=6,K53=8,K53=11),K55="DC"),LOOKUP(K81,T!$AC108:$AC129,T!$U108:$U129),IF(AND(K51="4E1",OR(K53=2,K53=4),K55="AC"),LOOKUP(K81,T!$AC108:$AC129,T!$V108:$V129),IF(AND(K51="4E1",OR(K53=6,K53=8),K55="AC"),LOOKUP(K81,T!$AC108:$AC129,T!$W108:$W129),IF(AND(K51="4E1",OR(K53=11,K53=12),K55="AC",K57=1),LOOKUP(K81,T!$AC108:$AC127,T!$X108:$X129),IF(AND(K51="4E1",OR(K53=3,K53=5),K55="AC"),LOOKUP(K81,T!$AC108:$AC129,T!$Y108:$Y129),IF(AND(K51="4E1",OR(K53=7,K53=10),K55="AC"),LOOKUP(K81,T!$AC108:$AC129,T!$Z108:$Z129),IF(AND(K51="4E1",K53=9,K55="AC"),LOOKUP(K81,T!$AC115:$AC129,T!$AA115:$AA129),IF(AND(K51="4E1",OR(K53=11,K53=12),K55="AC",K57=3),LOOKUP(K81,T!$AC115:$AC129,T!$AB115:$AB129),IF(AND(K51="4E2",OR(K53=2,K53=4,K53=6,K53=8),K55="DC"),LOOKUP(K81,T!$X134:$X152,T!$U134:$U152),IF(AND(K51="4E2",OR(K53=2,K53=4,K53=6,K53=8),K55="AC"),LOOKUP(K81,T!$X134:$X152,T!$V134:$V152),IF(AND(K51="4E2",OR(K53=3,K53=5,K53=7,K53=9),K55="AC"),LOOKUP(K81,T!$X134:$X152,T!$W134:$W152),IF(AND(K51="4E3",OR(K53=2,K53=4,K53=7,K53=8),K55="DC"),LOOKUP(K81,T!$AA158:$AA170,T!$U158:$U170),IF(AND(K51="4E3",OR(K53=2,K53=4),K55="AC"),LOOKUP(K81,T!$AA158:$AA170,T!$V158:$V170),IF(AND(K51="4E3",OR(K53=9,K53=10),K55="AC"),LOOKUP(K81,T!$AA158:$AA170,T!$W158:$W170),IF(AND(K51="4E3",K53=6,K55="AC"),LOOKUP(K81,T!$AA158:$AA170,T!$X158:$X170),IF(AND(K51="4E3",OR(K53=3,K53=5),K55="AC"),LOOKUP(K81,T!$AA158:$AA170,T!$Y158:$Y170),IF(AND(K51="4E3",OR(K53=11,K53=12),K55="AC"),LOOKUP(K81,T!$AA158:$AA170,T!$Z158:$Z170),IF(AND(K51="4E4",OR(K53=2,K53=4,K53=6),K55="DC"),LOOKUP(K81,T!$X176:$X192,T!$U176:$U192),IF(AND(K51="4E4",OR(K53=2,K53=4,K53=6),K55="AC"),LOOKUP(K81,T!$X176:$X192,T!$V176:$V192),IF(AND(K51="4E4",OR(K53=3,K53=5,K53=7),K55="AC"),LOOKUP(K81,T!$X176:$X192,T!$W176:$W192),0)))))))))))))))))))),IF(ISNUMBER(SEARCH("4F",K51)),IF(AND(K51="4F1",K53=2,K55="DC"),LOOKUP(K81,T!$Z198:$Z214,T!$U198:$U214),IF(AND(K51="4F1",K53=2,K55="AC"),LOOKUP(K81,T!$Z198:$Z214,T!$V198:$V214),IF(AND(K51="4F1",K53=3,K55="AC"),LOOKUP(K81,T!$Z198:$Z214,T!$W198:$W214),IF(AND(K51="4F1",K53=4,K55="DC"),LOOKUP(K81,T!$Z198:$Z214,T!$X198:$X214),IF(AND(K51="4F1",K53=4,K55="AC"),LOOKUP(K81,T!$Z198:$Z214,T!$Y198:$Y214),IF(AND(K51="4F2",K53=2,K55="DC"),LOOKUP(K81,T!$Y220:$Y236,T!$U220:$U236),IF(AND(K51="4F2",K53=2,K55="AC"),LOOKUP(K81,T!$Y220:$Y236,T!$V220:$V236),IF(AND(K51="4F2",K53=3,K55="AC"),LOOKUP(K81,T!$Y220:$Y236,T!$W220:$W236),IF(AND(K51="4F2",K53=4,K55="DC"),LOOKUP(K81,T!$Y220:$Y236,T!$X220:$X236),IF(AND(K51="4F3",K53=2),LOOKUP(K81,T!$W242:$W248,T!$U242:$U248),IF(AND(K51="4F3",K53=3,K55="AC"),LOOKUP(K81,T!$W242:$W248,T!$V242:$V248),0))))))))))),IF(ISNUMBER(SEARCH("4G",K51)),IF(AND(K51="4G1",OR(K53=2,K53=5)),LOOKUP(K81,T!$AA254:$AA269,T!$U254:$U269),IF(AND(K51="4G1",OR(K53=3,K53=6)),LOOKUP(K81,T!$AA254:$AA269,T!$X254:$X269),IF(AND(K51="4G1",OR(K53=4,K53=7)),LOOKUP(K81,T!$AA254:$AA269,T!$Y254:$Y269),IF(AND(K51="4G1",OR(K53=8,K53=9)),LOOKUP(K81,T!$AA254:$AA269,T!$Z254:$Z269),IF(AND(K51="4G2",OR(K53=2,K53=5)),LOOKUP(K81,T!$AA281:$AA296,T!$U281:$U296),IF(AND(K51="4G2",OR(K53=3,K53=6)),LOOKUP(K81,T!$AA281:$AA296,T!$X281:$X296),IF(AND(K51="4G2",OR(K53=4,K53=7)),LOOKUP(K81,T!$AA281:$AA296,T!$Y281:$Y296),IF(AND(K51="4G2",OR(K53=8,K53=9)),LOOKUP(K81,T!$AA281:$AA296,T!$Z281:$Z296),0)))))))),0)))))*K23*K69)/1000))</f>
        <v>7.4698199999999986</v>
      </c>
      <c r="L95" s="163">
        <f>IF(L29="","",IF(OR(COUNT(L19:L21)=3,COUNT(L19:L21)=1),(IF(L29="",0,IF(ISNUMBER(SEARCH("4D",L51)),IF(AND(L51="4D1",OR(L53=2,L53=4,L53=6,L53=8,L53=11),L55="DC"),LOOKUP(L81,T!$AC6:$AC27,T!$U6:$U27),IF(AND(L51="4D1",OR(L53=2,L53=4),L55="AC"),LOOKUP(L81,T!$AC6:$AC27,T!$V6:$V27),IF(AND(L51="4D1",OR(L53=6,L53=8),L55="AC"),LOOKUP(L81,T!$AC6:$AC27,T!$W6:$W27),IF(AND(L51="4D1",OR(L53=11,L53=12),L55="AC",L57=1),LOOKUP(L81,T!$AC6:$AC27,T!$X6:$X27),IF(AND(L51="4D1",OR(L53=3,L53=5),L55="AC"),LOOKUP(L81,T!$AC6:$AC27,T!$Y6:$Y27),IF(AND(L51="4D1",OR(L53=7,L53=10),L55="AC"),LOOKUP(L81,T!$AC6:$AC27,T!$Z6:$Z27),IF(AND(L51="4D1",L53=9,L55="AC"),LOOKUP(L81,T!$AC6:$AC27,T!$AA6:$AA27),IF(AND(L51="4D1",OR(L53=11,L53=12),L55="AC",L57=3),LOOKUP(L81,T!$AC13:$AC27,T!$AB13:$AB27),IF(AND(L51="4D2",OR(L53=2,L53=4,L53=6,L53=8),L55="DC"),LOOKUP(L81,T!$X33:$X50,T!$U33:$U50),IF(AND(L51="4D2",OR(L53=2,L53=4,L53=6,L53=8),L55="AC"),LOOKUP(L81,T!$X33:$X50,T!$V33:$V50),IF(AND(L51="4D2",OR(L53=3,L53=5,L53=7,L53=9),L55="AC"),LOOKUP(L81,T!$X33:$X50,T!$W33:$W50),IF(AND(L51="4D3",OR(L53=2,L53=4,L53=7,L53=8),L55="DC"),LOOKUP(L81,T!$AA56:$AA68,T!$U56:$U68),IF(AND(L51="4D3",OR(L53=2,L53=4),L55="AC"),LOOKUP(L81,T!$AA56:$AA68,T!$V56:$V68),IF(AND(L51="4D3",OR(L53=9,L53=10),L55="AC"),LOOKUP(L81,T!$AA56:$AA$68,T!$W56:$W68),IF(AND(L51="4D3",L53=6,L55="AC"),LOOKUP(L81,T!$AA56:$AA68,T!$X56:$X68),IF(AND(L51="4D3",OR(L53=3,L53=5),L55="AC"),LOOKUP(L81,T!$AA56:$AA68,T!$Y56:$Y68),IF(AND(L51="4D3",OR(L53=11,L53=12),L55="AC"),LOOKUP(L81,T!$AA56:$AA68,T!$Z56:$Z68),IF(AND(L51="4D4",OR(L53=2,L53=4,L53=6),L55="DC"),LOOKUP(L81,T!$X74:$X90,T!$U74:$U90),IF(AND(L51="4D4",OR(L53=2,L53=4,L53=6),L55="AC"),LOOKUP(L81,T!$X74:$X90,T!$V74:$V90),IF(AND(L51="4D4",OR(L53=3,L53=5,L53=7),L55="AC"),LOOKUP(L81,T!$X74:$X90,T!$W74:$W90),IF(AND(L51="4D5",AND(L53&gt;=2,L53&lt;=7)),LOOKUP(L81,T!$I96:$I102,T!$H96:$H102),0))))))))))))))))))))),IF(ISNUMBER(SEARCH("4E",L51)),IF(AND(L51="4E1",OR(L53=2,L53=4,L53=6,L53=8,L53=11),L55="DC"),LOOKUP(L81,T!$AC108:$AC129,T!$U108:$U129),IF(AND(L51="4E1",OR(L53=2,L53=4),L55="AC"),LOOKUP(L81,T!$AC108:$AC129,T!$V108:$V129),IF(AND(L51="4E1",OR(L53=6,L53=8),L55="AC"),LOOKUP(L81,T!$AC108:$AC129,T!$W108:$W129),IF(AND(L51="4E1",OR(L53=11,L53=12),L55="AC",L57=1),LOOKUP(L81,T!$AC108:$AC127,T!$X108:$X129),IF(AND(L51="4E1",OR(L53=3,L53=5),L55="AC"),LOOKUP(L81,T!$AC108:$AC129,T!$Y108:$Y129),IF(AND(L51="4E1",OR(L53=7,L53=10),L55="AC"),LOOKUP(L81,T!$AC108:$AC129,T!$Z108:$Z129),IF(AND(L51="4E1",L53=9,L55="AC"),LOOKUP(L81,T!$AC115:$AC129,T!$AA115:$AA129),IF(AND(L51="4E1",OR(L53=11,L53=12),L55="AC",L57=3),LOOKUP(L81,T!$AC115:$AC129,T!$AB115:$AB129),IF(AND(L51="4E2",OR(L53=2,L53=4,L53=6,L53=8),L55="DC"),LOOKUP(L81,T!$X134:$X152,T!$U134:$U152),IF(AND(L51="4E2",OR(L53=2,L53=4,L53=6,L53=8),L55="AC"),LOOKUP(L81,T!$X134:$X152,T!$V134:$V152),IF(AND(L51="4E2",OR(L53=3,L53=5,L53=7,L53=9),L55="AC"),LOOKUP(L81,T!$X134:$X152,T!$W134:$W152),IF(AND(L51="4E3",OR(L53=2,L53=4,L53=7,L53=8),L55="DC"),LOOKUP(L81,T!$AA158:$AA170,T!$U158:$U170),IF(AND(L51="4E3",OR(L53=2,L53=4),L55="AC"),LOOKUP(L81,T!$AA158:$AA170,T!$V158:$V170),IF(AND(L51="4E3",OR(L53=9,L53=10),L55="AC"),LOOKUP(L81,T!$AA158:$AA170,T!$W158:$W170),IF(AND(L51="4E3",L53=6,L55="AC"),LOOKUP(L81,T!$AA158:$AA170,T!$X158:$X170),IF(AND(L51="4E3",OR(L53=3,L53=5),L55="AC"),LOOKUP(L81,T!$AA158:$AA170,T!$Y158:$Y170),IF(AND(L51="4E3",OR(L53=11,L53=12),L55="AC"),LOOKUP(L81,T!$AA158:$AA170,T!$Z158:$Z170),IF(AND(L51="4E4",OR(L53=2,L53=4,L53=6),L55="DC"),LOOKUP(L81,T!$X176:$X192,T!$U176:$U192),IF(AND(L51="4E4",OR(L53=2,L53=4,L53=6),L55="AC"),LOOKUP(L81,T!$X176:$X192,T!$V176:$V192),IF(AND(L51="4E4",OR(L53=3,L53=5,L53=7),L55="AC"),LOOKUP(L81,T!$X176:$X192,T!$W176:$W192),0)))))))))))))))))))),IF(ISNUMBER(SEARCH("4F",L51)),IF(AND(L51="4F1",L53=2,L55="DC"),LOOKUP(L81,T!$Z198:$Z214,T!$U198:$U214),IF(AND(L51="4F1",L53=2,L55="AC"),LOOKUP(L81,T!$Z198:$Z214,T!$V198:$V214),IF(AND(L51="4F1",L53=3,L55="AC"),LOOKUP(L81,T!$Z198:$Z214,T!$W198:$W214),IF(AND(L51="4F1",L53=4,L55="DC"),LOOKUP(L81,T!$Z198:$Z214,T!$X198:$X214),IF(AND(L51="4F1",L53=4,L55="AC"),LOOKUP(L81,T!$Z198:$Z214,T!$Y198:$Y214),IF(AND(L51="4F2",L53=2,L55="DC"),LOOKUP(L81,T!$Y220:$Y236,T!$U220:$U236),IF(AND(L51="4F2",L53=2,L55="AC"),LOOKUP(L81,T!$Y220:$Y236,T!$V220:$V236),IF(AND(L51="4F2",L53=3,L55="AC"),LOOKUP(L81,T!$Y220:$Y236,T!$W220:$W236),IF(AND(L51="4F2",L53=4,L55="DC"),LOOKUP(L81,T!$Y220:$Y236,T!$X220:$X236),IF(AND(L51="4F3",L53=2),LOOKUP(L81,T!$W242:$W248,T!$U242:$U248),IF(AND(L51="4F3",L53=3,L55="AC"),LOOKUP(L81,T!$W242:$W248,T!$V242:$V248),0))))))))))),IF(ISNUMBER(SEARCH("4G",L51)),IF(AND(L51="4G1",OR(L53=2,L53=5)),LOOKUP(L81,T!$AA254:$AA269,T!$U254:$U269),IF(AND(L51="4G1",OR(L53=3,L53=6)),LOOKUP(L81,T!$AA254:$AA269,T!$X254:$X269),IF(AND(L51="4G1",OR(L53=4,L53=7)),LOOKUP(L81,T!$AA254:$AA269,T!$Y254:$Y269),IF(AND(L51="4G1",OR(L53=8,L53=9)),LOOKUP(L81,T!$AA254:$AA269,T!$Z254:$Z269),IF(AND(L51="4G2",OR(L53=2,L53=5)),LOOKUP(L81,T!$AA281:$AA296,T!$U281:$U296),IF(AND(L51="4G2",OR(L53=3,L53=6)),LOOKUP(L81,T!$AA281:$AA296,T!$X281:$X296),IF(AND(L51="4G2",OR(L53=4,L53=7)),LOOKUP(L81,T!$AA281:$AA296,T!$Y281:$Y296),IF(AND(L51="4G2",OR(L53=8,L53=9)),LOOKUP(L81,T!$AA281:$AA296,T!$Z281:$Z296),0)))))))),0)))))*L23*L69)/1000))</f>
        <v>7.4698199999999986</v>
      </c>
      <c r="M95" s="163" t="str">
        <f>IF(M29="","",IF(OR(COUNT(M19:M21)=3,COUNT(M19:M21)=1),(IF(M29="",0,IF(ISNUMBER(SEARCH("4D",M51)),IF(AND(M51="4D1",OR(M53=2,M53=4,M53=6,M53=8,M53=11),M55="DC"),LOOKUP(M81,T!$AC6:$AC27,T!$U6:$U27),IF(AND(M51="4D1",OR(M53=2,M53=4),M55="AC"),LOOKUP(M81,T!$AC6:$AC27,T!$V6:$V27),IF(AND(M51="4D1",OR(M53=6,M53=8),M55="AC"),LOOKUP(M81,T!$AC6:$AC27,T!$W6:$W27),IF(AND(M51="4D1",OR(M53=11,M53=12),M55="AC",M57=1),LOOKUP(M81,T!$AC6:$AC27,T!$X6:$X27),IF(AND(M51="4D1",OR(M53=3,M53=5),M55="AC"),LOOKUP(M81,T!$AC6:$AC27,T!$Y6:$Y27),IF(AND(M51="4D1",OR(M53=7,M53=10),M55="AC"),LOOKUP(M81,T!$AC6:$AC27,T!$Z6:$Z27),IF(AND(M51="4D1",M53=9,M55="AC"),LOOKUP(M81,T!$AC6:$AC27,T!$AA6:$AA27),IF(AND(M51="4D1",OR(M53=11,M53=12),M55="AC",M57=3),LOOKUP(M81,T!$AC13:$AC27,T!$AB13:$AB27),IF(AND(M51="4D2",OR(M53=2,M53=4,M53=6,M53=8),M55="DC"),LOOKUP(M81,T!$X33:$X50,T!$U33:$U50),IF(AND(M51="4D2",OR(M53=2,M53=4,M53=6,M53=8),M55="AC"),LOOKUP(M81,T!$X33:$X50,T!$V33:$V50),IF(AND(M51="4D2",OR(M53=3,M53=5,M53=7,M53=9),M55="AC"),LOOKUP(M81,T!$X33:$X50,T!$W33:$W50),IF(AND(M51="4D3",OR(M53=2,M53=4,M53=7,M53=8),M55="DC"),LOOKUP(M81,T!$AA56:$AA68,T!$U56:$U68),IF(AND(M51="4D3",OR(M53=2,M53=4),M55="AC"),LOOKUP(M81,T!$AA56:$AA68,T!$V56:$V68),IF(AND(M51="4D3",OR(M53=9,M53=10),M55="AC"),LOOKUP(M81,T!$AA56:$AA$68,T!$W56:$W68),IF(AND(M51="4D3",M53=6,M55="AC"),LOOKUP(M81,T!$AA56:$AA68,T!$X56:$X68),IF(AND(M51="4D3",OR(M53=3,M53=5),M55="AC"),LOOKUP(M81,T!$AA56:$AA68,T!$Y56:$Y68),IF(AND(M51="4D3",OR(M53=11,M53=12),M55="AC"),LOOKUP(M81,T!$AA56:$AA68,T!$Z56:$Z68),IF(AND(M51="4D4",OR(M53=2,M53=4,M53=6),M55="DC"),LOOKUP(M81,T!$X74:$X90,T!$U74:$U90),IF(AND(M51="4D4",OR(M53=2,M53=4,M53=6),M55="AC"),LOOKUP(M81,T!$X74:$X90,T!$V74:$V90),IF(AND(M51="4D4",OR(M53=3,M53=5,M53=7),M55="AC"),LOOKUP(M81,T!$X74:$X90,T!$W74:$W90),IF(AND(M51="4D5",AND(M53&gt;=2,M53&lt;=7)),LOOKUP(M81,T!$I96:$I102,T!$H96:$H102),0))))))))))))))))))))),IF(ISNUMBER(SEARCH("4E",M51)),IF(AND(M51="4E1",OR(M53=2,M53=4,M53=6,M53=8,M53=11),M55="DC"),LOOKUP(M81,T!$AC108:$AC129,T!$U108:$U129),IF(AND(M51="4E1",OR(M53=2,M53=4),M55="AC"),LOOKUP(M81,T!$AC108:$AC129,T!$V108:$V129),IF(AND(M51="4E1",OR(M53=6,M53=8),M55="AC"),LOOKUP(M81,T!$AC108:$AC129,T!$W108:$W129),IF(AND(M51="4E1",OR(M53=11,M53=12),M55="AC",M57=1),LOOKUP(M81,T!$AC108:$AC127,T!$X108:$X129),IF(AND(M51="4E1",OR(M53=3,M53=5),M55="AC"),LOOKUP(M81,T!$AC108:$AC129,T!$Y108:$Y129),IF(AND(M51="4E1",OR(M53=7,M53=10),M55="AC"),LOOKUP(M81,T!$AC108:$AC129,T!$Z108:$Z129),IF(AND(M51="4E1",M53=9,M55="AC"),LOOKUP(M81,T!$AC115:$AC129,T!$AA115:$AA129),IF(AND(M51="4E1",OR(M53=11,M53=12),M55="AC",M57=3),LOOKUP(M81,T!$AC115:$AC129,T!$AB115:$AB129),IF(AND(M51="4E2",OR(M53=2,M53=4,M53=6,M53=8),M55="DC"),LOOKUP(M81,T!$X134:$X152,T!$U134:$U152),IF(AND(M51="4E2",OR(M53=2,M53=4,M53=6,M53=8),M55="AC"),LOOKUP(M81,T!$X134:$X152,T!$V134:$V152),IF(AND(M51="4E2",OR(M53=3,M53=5,M53=7,M53=9),M55="AC"),LOOKUP(M81,T!$X134:$X152,T!$W134:$W152),IF(AND(M51="4E3",OR(M53=2,M53=4,M53=7,M53=8),M55="DC"),LOOKUP(M81,T!$AA158:$AA170,T!$U158:$U170),IF(AND(M51="4E3",OR(M53=2,M53=4),M55="AC"),LOOKUP(M81,T!$AA158:$AA170,T!$V158:$V170),IF(AND(M51="4E3",OR(M53=9,M53=10),M55="AC"),LOOKUP(M81,T!$AA158:$AA170,T!$W158:$W170),IF(AND(M51="4E3",M53=6,M55="AC"),LOOKUP(M81,T!$AA158:$AA170,T!$X158:$X170),IF(AND(M51="4E3",OR(M53=3,M53=5),M55="AC"),LOOKUP(M81,T!$AA158:$AA170,T!$Y158:$Y170),IF(AND(M51="4E3",OR(M53=11,M53=12),M55="AC"),LOOKUP(M81,T!$AA158:$AA170,T!$Z158:$Z170),IF(AND(M51="4E4",OR(M53=2,M53=4,M53=6),M55="DC"),LOOKUP(M81,T!$X176:$X192,T!$U176:$U192),IF(AND(M51="4E4",OR(M53=2,M53=4,M53=6),M55="AC"),LOOKUP(M81,T!$X176:$X192,T!$V176:$V192),IF(AND(M51="4E4",OR(M53=3,M53=5,M53=7),M55="AC"),LOOKUP(M81,T!$X176:$X192,T!$W176:$W192),0)))))))))))))))))))),IF(ISNUMBER(SEARCH("4F",M51)),IF(AND(M51="4F1",M53=2,M55="DC"),LOOKUP(M81,T!$Z198:$Z214,T!$U198:$U214),IF(AND(M51="4F1",M53=2,M55="AC"),LOOKUP(M81,T!$Z198:$Z214,T!$V198:$V214),IF(AND(M51="4F1",M53=3,M55="AC"),LOOKUP(M81,T!$Z198:$Z214,T!$W198:$W214),IF(AND(M51="4F1",M53=4,M55="DC"),LOOKUP(M81,T!$Z198:$Z214,T!$X198:$X214),IF(AND(M51="4F1",M53=4,M55="AC"),LOOKUP(M81,T!$Z198:$Z214,T!$Y198:$Y214),IF(AND(M51="4F2",M53=2,M55="DC"),LOOKUP(M81,T!$Y220:$Y236,T!$U220:$U236),IF(AND(M51="4F2",M53=2,M55="AC"),LOOKUP(M81,T!$Y220:$Y236,T!$V220:$V236),IF(AND(M51="4F2",M53=3,M55="AC"),LOOKUP(M81,T!$Y220:$Y236,T!$W220:$W236),IF(AND(M51="4F2",M53=4,M55="DC"),LOOKUP(M81,T!$Y220:$Y236,T!$X220:$X236),IF(AND(M51="4F3",M53=2),LOOKUP(M81,T!$W242:$W248,T!$U242:$U248),IF(AND(M51="4F3",M53=3,M55="AC"),LOOKUP(M81,T!$W242:$W248,T!$V242:$V248),0))))))))))),IF(ISNUMBER(SEARCH("4G",M51)),IF(AND(M51="4G1",OR(M53=2,M53=5)),LOOKUP(M81,T!$AA254:$AA269,T!$U254:$U269),IF(AND(M51="4G1",OR(M53=3,M53=6)),LOOKUP(M81,T!$AA254:$AA269,T!$X254:$X269),IF(AND(M51="4G1",OR(M53=4,M53=7)),LOOKUP(M81,T!$AA254:$AA269,T!$Y254:$Y269),IF(AND(M51="4G1",OR(M53=8,M53=9)),LOOKUP(M81,T!$AA254:$AA269,T!$Z254:$Z269),IF(AND(M51="4G2",OR(M53=2,M53=5)),LOOKUP(M81,T!$AA281:$AA296,T!$U281:$U296),IF(AND(M51="4G2",OR(M53=3,M53=6)),LOOKUP(M81,T!$AA281:$AA296,T!$X281:$X296),IF(AND(M51="4G2",OR(M53=4,M53=7)),LOOKUP(M81,T!$AA281:$AA296,T!$Y281:$Y296),IF(AND(M51="4G2",OR(M53=8,M53=9)),LOOKUP(M81,T!$AA281:$AA296,T!$Z281:$Z296),0)))))))),0)))))*M23*M69)/1000))</f>
        <v/>
      </c>
      <c r="N95" s="163">
        <f>IF(N29="","",IF(OR(COUNT(N19:N21)=3,COUNT(N19:N21)=1),(IF(N29="",0,IF(ISNUMBER(SEARCH("4D",N51)),IF(AND(N51="4D1",OR(N53=2,N53=4,N53=6,N53=8,N53=11),N55="DC"),LOOKUP(N81,T!$AC6:$AC27,T!$U6:$U27),IF(AND(N51="4D1",OR(N53=2,N53=4),N55="AC"),LOOKUP(N81,T!$AC6:$AC27,T!$V6:$V27),IF(AND(N51="4D1",OR(N53=6,N53=8),N55="AC"),LOOKUP(N81,T!$AC6:$AC27,T!$W6:$W27),IF(AND(N51="4D1",OR(N53=11,N53=12),N55="AC",N57=1),LOOKUP(N81,T!$AC6:$AC27,T!$X6:$X27),IF(AND(N51="4D1",OR(N53=3,N53=5),N55="AC"),LOOKUP(N81,T!$AC6:$AC27,T!$Y6:$Y27),IF(AND(N51="4D1",OR(N53=7,N53=10),N55="AC"),LOOKUP(N81,T!$AC6:$AC27,T!$Z6:$Z27),IF(AND(N51="4D1",N53=9,N55="AC"),LOOKUP(N81,T!$AC6:$AC27,T!$AA6:$AA27),IF(AND(N51="4D1",OR(N53=11,N53=12),N55="AC",N57=3),LOOKUP(N81,T!$AC13:$AC27,T!$AB13:$AB27),IF(AND(N51="4D2",OR(N53=2,N53=4,N53=6,N53=8),N55="DC"),LOOKUP(N81,T!$X33:$X50,T!$U33:$U50),IF(AND(N51="4D2",OR(N53=2,N53=4,N53=6,N53=8),N55="AC"),LOOKUP(N81,T!$X33:$X50,T!$V33:$V50),IF(AND(N51="4D2",OR(N53=3,N53=5,N53=7,N53=9),N55="AC"),LOOKUP(N81,T!$X33:$X50,T!$W33:$W50),IF(AND(N51="4D3",OR(N53=2,N53=4,N53=7,N53=8),N55="DC"),LOOKUP(N81,T!$AA56:$AA68,T!$U56:$U68),IF(AND(N51="4D3",OR(N53=2,N53=4),N55="AC"),LOOKUP(N81,T!$AA56:$AA68,T!$V56:$V68),IF(AND(N51="4D3",OR(N53=9,N53=10),N55="AC"),LOOKUP(N81,T!$AA56:$AA$68,T!$W56:$W68),IF(AND(N51="4D3",N53=6,N55="AC"),LOOKUP(N81,T!$AA56:$AA68,T!$X56:$X68),IF(AND(N51="4D3",OR(N53=3,N53=5),N55="AC"),LOOKUP(N81,T!$AA56:$AA68,T!$Y56:$Y68),IF(AND(N51="4D3",OR(N53=11,N53=12),N55="AC"),LOOKUP(N81,T!$AA56:$AA68,T!$Z56:$Z68),IF(AND(N51="4D4",OR(N53=2,N53=4,N53=6),N55="DC"),LOOKUP(N81,T!$X74:$X90,T!$U74:$U90),IF(AND(N51="4D4",OR(N53=2,N53=4,N53=6),N55="AC"),LOOKUP(N81,T!$X74:$X90,T!$V74:$V90),IF(AND(N51="4D4",OR(N53=3,N53=5,N53=7),N55="AC"),LOOKUP(N81,T!$X74:$X90,T!$W74:$W90),IF(AND(N51="4D5",AND(N53&gt;=2,N53&lt;=7)),LOOKUP(N81,T!$I96:$I102,T!$H96:$H102),0))))))))))))))))))))),IF(ISNUMBER(SEARCH("4E",N51)),IF(AND(N51="4E1",OR(N53=2,N53=4,N53=6,N53=8,N53=11),N55="DC"),LOOKUP(N81,T!$AC108:$AC129,T!$U108:$U129),IF(AND(N51="4E1",OR(N53=2,N53=4),N55="AC"),LOOKUP(N81,T!$AC108:$AC129,T!$V108:$V129),IF(AND(N51="4E1",OR(N53=6,N53=8),N55="AC"),LOOKUP(N81,T!$AC108:$AC129,T!$W108:$W129),IF(AND(N51="4E1",OR(N53=11,N53=12),N55="AC",N57=1),LOOKUP(N81,T!$AC108:$AC127,T!$X108:$X129),IF(AND(N51="4E1",OR(N53=3,N53=5),N55="AC"),LOOKUP(N81,T!$AC108:$AC129,T!$Y108:$Y129),IF(AND(N51="4E1",OR(N53=7,N53=10),N55="AC"),LOOKUP(N81,T!$AC108:$AC129,T!$Z108:$Z129),IF(AND(N51="4E1",N53=9,N55="AC"),LOOKUP(N81,T!$AC115:$AC129,T!$AA115:$AA129),IF(AND(N51="4E1",OR(N53=11,N53=12),N55="AC",N57=3),LOOKUP(N81,T!$AC115:$AC129,T!$AB115:$AB129),IF(AND(N51="4E2",OR(N53=2,N53=4,N53=6,N53=8),N55="DC"),LOOKUP(N81,T!$X134:$X152,T!$U134:$U152),IF(AND(N51="4E2",OR(N53=2,N53=4,N53=6,N53=8),N55="AC"),LOOKUP(N81,T!$X134:$X152,T!$V134:$V152),IF(AND(N51="4E2",OR(N53=3,N53=5,N53=7,N53=9),N55="AC"),LOOKUP(N81,T!$X134:$X152,T!$W134:$W152),IF(AND(N51="4E3",OR(N53=2,N53=4,N53=7,N53=8),N55="DC"),LOOKUP(N81,T!$AA158:$AA170,T!$U158:$U170),IF(AND(N51="4E3",OR(N53=2,N53=4),N55="AC"),LOOKUP(N81,T!$AA158:$AA170,T!$V158:$V170),IF(AND(N51="4E3",OR(N53=9,N53=10),N55="AC"),LOOKUP(N81,T!$AA158:$AA170,T!$W158:$W170),IF(AND(N51="4E3",N53=6,N55="AC"),LOOKUP(N81,T!$AA158:$AA170,T!$X158:$X170),IF(AND(N51="4E3",OR(N53=3,N53=5),N55="AC"),LOOKUP(N81,T!$AA158:$AA170,T!$Y158:$Y170),IF(AND(N51="4E3",OR(N53=11,N53=12),N55="AC"),LOOKUP(N81,T!$AA158:$AA170,T!$Z158:$Z170),IF(AND(N51="4E4",OR(N53=2,N53=4,N53=6),N55="DC"),LOOKUP(N81,T!$X176:$X192,T!$U176:$U192),IF(AND(N51="4E4",OR(N53=2,N53=4,N53=6),N55="AC"),LOOKUP(N81,T!$X176:$X192,T!$V176:$V192),IF(AND(N51="4E4",OR(N53=3,N53=5,N53=7),N55="AC"),LOOKUP(N81,T!$X176:$X192,T!$W176:$W192),0)))))))))))))))))))),IF(ISNUMBER(SEARCH("4F",N51)),IF(AND(N51="4F1",N53=2,N55="DC"),LOOKUP(N81,T!$Z198:$Z214,T!$U198:$U214),IF(AND(N51="4F1",N53=2,N55="AC"),LOOKUP(N81,T!$Z198:$Z214,T!$V198:$V214),IF(AND(N51="4F1",N53=3,N55="AC"),LOOKUP(N81,T!$Z198:$Z214,T!$W198:$W214),IF(AND(N51="4F1",N53=4,N55="DC"),LOOKUP(N81,T!$Z198:$Z214,T!$X198:$X214),IF(AND(N51="4F1",N53=4,N55="AC"),LOOKUP(N81,T!$Z198:$Z214,T!$Y198:$Y214),IF(AND(N51="4F2",N53=2,N55="DC"),LOOKUP(N81,T!$Y220:$Y236,T!$U220:$U236),IF(AND(N51="4F2",N53=2,N55="AC"),LOOKUP(N81,T!$Y220:$Y236,T!$V220:$V236),IF(AND(N51="4F2",N53=3,N55="AC"),LOOKUP(N81,T!$Y220:$Y236,T!$W220:$W236),IF(AND(N51="4F2",N53=4,N55="DC"),LOOKUP(N81,T!$Y220:$Y236,T!$X220:$X236),IF(AND(N51="4F3",N53=2),LOOKUP(N81,T!$W242:$W248,T!$U242:$U248),IF(AND(N51="4F3",N53=3,N55="AC"),LOOKUP(N81,T!$W242:$W248,T!$V242:$V248),0))))))))))),IF(ISNUMBER(SEARCH("4G",N51)),IF(AND(N51="4G1",OR(N53=2,N53=5)),LOOKUP(N81,T!$AA254:$AA269,T!$U254:$U269),IF(AND(N51="4G1",OR(N53=3,N53=6)),LOOKUP(N81,T!$AA254:$AA269,T!$X254:$X269),IF(AND(N51="4G1",OR(N53=4,N53=7)),LOOKUP(N81,T!$AA254:$AA269,T!$Y254:$Y269),IF(AND(N51="4G1",OR(N53=8,N53=9)),LOOKUP(N81,T!$AA254:$AA269,T!$Z254:$Z269),IF(AND(N51="4G2",OR(N53=2,N53=5)),LOOKUP(N81,T!$AA281:$AA296,T!$U281:$U296),IF(AND(N51="4G2",OR(N53=3,N53=6)),LOOKUP(N81,T!$AA281:$AA296,T!$X281:$X296),IF(AND(N51="4G2",OR(N53=4,N53=7)),LOOKUP(N81,T!$AA281:$AA296,T!$Y281:$Y296),IF(AND(N51="4G2",OR(N53=8,N53=9)),LOOKUP(N81,T!$AA281:$AA296,T!$Z281:$Z296),0)))))))),0)))))*N23*N69)/1000))</f>
        <v>5.0083396845365131</v>
      </c>
      <c r="O95" s="148" t="str">
        <f t="shared" si="23"/>
        <v>mV/A/m</v>
      </c>
    </row>
    <row r="96" spans="1:15" s="173" customFormat="1" ht="17">
      <c r="A96" s="193"/>
      <c r="B96" s="399"/>
      <c r="C96" s="396"/>
      <c r="D96" s="163">
        <f>IF(D29="","",IF(OR(COUNT(D19:D21)=3,COUNT(D19:D21)=1),(IF(D29="",0,IF(ISNUMBER(SEARCH("4D",D51)),IF(AND(D51="4D1",OR(D53=2,D53=4,D53=6,D53=8,D53=11),D55="DC"),LOOKUP(D82,T!$AC6:$AC27,T!$U6:$U27),IF(AND(D51="4D1",OR(D53=2,D53=4),D55="AC"),LOOKUP(D82,T!$AC6:$AC27,T!$V6:$V27),IF(AND(D51="4D1",OR(D53=6,D53=8),D55="AC"),LOOKUP(D82,T!$AC6:$AC27,T!$W6:$W27),IF(AND(D51="4D1",OR(D53=11,D53=12),D55="AC",D57=1),LOOKUP(D82,T!$AC6:$AC27,T!$X6:$X27),IF(AND(D51="4D1",OR(D53=3,D53=5),D55="AC"),LOOKUP(D82,T!$AC6:$AC27,T!$Y6:$Y27),IF(AND(D51="4D1",OR(D53=7,D53=10),D55="AC"),LOOKUP(D82,T!$AC6:$AC27,T!$Z6:$Z27),IF(AND(D51="4D1",D53=9,D55="AC"),LOOKUP(D82,T!$AC6:$AC27,T!$AA6:$AA27),IF(AND(D51="4D1",OR(D53=11,D53=12),D55="AC",D57=3),LOOKUP(D82,T!$AC13:$AC27,T!$AB13:$AB27),IF(AND(D51="4D2",OR(D53=2,D53=4,D53=6,D53=8),D55="DC"),LOOKUP(D82,T!$X33:$X50,T!$U33:$U50),IF(AND(D51="4D2",OR(D53=2,D53=4,D53=6,D53=8),D55="AC"),LOOKUP(D82,T!$X33:$X50,T!$V33:$V50),IF(AND(D51="4D2",OR(D53=3,D53=5,D53=7,D53=9),D55="AC"),LOOKUP(D82,T!$X33:$X50,T!$W33:$W50),IF(AND(D51="4D3",OR(D53=2,D53=4,D53=7,D53=8),D55="DC"),LOOKUP(D82,T!$AA56:$AA68,T!$U56:$U68),IF(AND(D51="4D3",OR(D53=2,D53=4),D55="AC"),LOOKUP(D82,T!$AA56:$AA68,T!$V56:$V68),IF(AND(D51="4D3",OR(D53=9,D53=10),D55="AC"),LOOKUP(D82,T!$AA56:$AA$68,T!$W56:$W68),IF(AND(D51="4D3",D53=6,D55="AC"),LOOKUP(D82,T!$AA56:$AA68,T!$X56:$X68),IF(AND(D51="4D3",OR(D53=3,D53=5),D55="AC"),LOOKUP(D82,T!$AA56:$AA68,T!$Y56:$Y68),IF(AND(D51="4D3",OR(D53=11,D53=12),D55="AC"),LOOKUP(D82,T!$AA56:$AA68,T!$Z56:$Z68),IF(AND(D51="4D4",OR(D53=2,D53=4,D53=6),D55="DC"),LOOKUP(D82,T!$X74:$X90,T!$U74:$U90),IF(AND(D51="4D4",OR(D53=2,D53=4,D53=6),D55="AC"),LOOKUP(D82,T!$X74:$X90,T!$V74:$V90),IF(AND(D51="4D4",OR(D53=3,D53=5,D53=7),D55="AC"),LOOKUP(D82,T!$X74:$X90,T!$W74:$W90),IF(AND(D51="4D5",AND(D53&gt;=2,D53&lt;=7)),LOOKUP(D82,T!$I96:$I102,T!$H96:$H102),0))))))))))))))))))))),IF(ISNUMBER(SEARCH("4E",D51)),IF(AND(D51="4E1",OR(D53=2,D53=4,D53=6,D53=8,D53=11),D55="DC"),LOOKUP(D82,T!$AC108:$AC129,T!$U108:$U129),IF(AND(D51="4E1",OR(D53=2,D53=4),D55="AC"),LOOKUP(D82,T!$AC108:$AC129,T!$V108:$V129),IF(AND(D51="4E1",OR(D53=6,D53=8),D55="AC"),LOOKUP(D82,T!$AC108:$AC129,T!$W108:$W129),IF(AND(D51="4E1",OR(D53=11,D53=12),D55="AC",D57=1),LOOKUP(D82,T!$AC108:$AC127,T!$X108:$X129),IF(AND(D51="4E1",OR(D53=3,D53=5),D55="AC"),LOOKUP(D82,T!$AC108:$AC129,T!$Y108:$Y129),IF(AND(D51="4E1",OR(D53=7,D53=10),D55="AC"),LOOKUP(D82,T!$AC108:$AC129,T!$Z108:$Z129),IF(AND(D51="4E1",D53=9,D55="AC"),LOOKUP(D82,T!$AC115:$AC129,T!$AA115:$AA129),IF(AND(D51="4E1",OR(D53=11,D53=12),D55="AC",D57=3),LOOKUP(D82,T!$AC115:$AC129,T!$AB115:$AB129),IF(AND(D51="4E2",OR(D53=2,D53=4,D53=6,D53=8),D55="DC"),LOOKUP(D82,T!$X134:$X152,T!$U134:$U152),IF(AND(D51="4E2",OR(D53=2,D53=4,D53=6,D53=8),D55="AC"),LOOKUP(D82,T!$X134:$X152,T!$V134:$V152),IF(AND(D51="4E2",OR(D53=3,D53=5,D53=7,D53=9),D55="AC"),LOOKUP(D82,T!$X134:$X152,T!$W134:$W152),IF(AND(D51="4E3",OR(D53=2,D53=4,D53=7,D53=8),D55="DC"),LOOKUP(D82,T!$AA158:$AA170,T!$U158:$U170),IF(AND(D51="4E3",OR(D53=2,D53=4),D55="AC"),LOOKUP(D82,T!$AA158:$AA170,T!$V158:$V170),IF(AND(D51="4E3",OR(D53=9,D53=10),D55="AC"),LOOKUP(D82,T!$AA158:$AA170,T!$W158:$W170),IF(AND(D51="4E3",D53=6,D55="AC"),LOOKUP(D82,T!$AA158:$AA170,T!$X158:$X170),IF(AND(D51="4E3",OR(D53=3,D53=5),D55="AC"),LOOKUP(D82,T!$AA158:$AA170,T!$Y158:$Y170),IF(AND(D51="4E3",OR(D53=11,D53=12),D55="AC"),LOOKUP(D82,T!$AA158:$AA170,T!$Z158:$Z170),IF(AND(D51="4E4",OR(D53=2,D53=4,D53=6),D55="DC"),LOOKUP(D82,T!$X176:$X192,T!$U176:$U192),IF(AND(D51="4E4",OR(D53=2,D53=4,D53=6),D55="AC"),LOOKUP(D82,T!$X176:$X192,T!$V176:$V192),IF(AND(D51="4E4",OR(D53=3,D53=5,D53=7),D55="AC"),LOOKUP(D82,T!$X176:$X192,T!$W176:$W192),0)))))))))))))))))))),IF(ISNUMBER(SEARCH("4F",D51)),IF(AND(D51="4F1",D53=2,D55="DC"),LOOKUP(D82,T!$Z198:$Z214,T!$U198:$U214),IF(AND(D51="4F1",D53=2,D55="AC"),LOOKUP(D82,T!$Z198:$Z214,T!$V198:$V214),IF(AND(D51="4F1",D53=3,D55="AC"),LOOKUP(D82,T!$Z198:$Z214,T!$W198:$W214),IF(AND(D51="4F1",D53=4,D55="DC"),LOOKUP(D82,T!$Z198:$Z214,T!$X198:$X214),IF(AND(D51="4F1",D53=4,D55="AC"),LOOKUP(D82,T!$Z198:$Z214,T!$Y198:$Y214),IF(AND(D51="4F2",D53=2,D55="DC"),LOOKUP(D82,T!$Y220:$Y236,T!$U220:$U236),IF(AND(D51="4F2",D53=2,D55="AC"),LOOKUP(D82,T!$Y220:$Y236,T!$V220:$V236),IF(AND(D51="4F2",D53=3,D55="AC"),LOOKUP(D82,T!$Y220:$Y236,T!$W220:$W236),IF(AND(D51="4F2",D53=4,D55="DC"),LOOKUP(D82,T!$Y220:$Y236,T!$X220:$X236),IF(AND(D51="4F3",D53=2),LOOKUP(D82,T!$W242:$W248,T!$U242:$U248),IF(AND(D51="4F3",D53=3,D55="AC"),LOOKUP(D82,T!$W242:$W248,T!$V242:$V248),0))))))))))),IF(ISNUMBER(SEARCH("4G",D51)),IF(AND(D51="4G1",OR(D53=2,D53=5)),LOOKUP(D82,T!$AA254:$AA269,T!$U254:$U269),IF(AND(D51="4G1",OR(D53=3,D53=6)),LOOKUP(D82,T!$AA254:$AA269,T!$X254:$X269),IF(AND(D51="4G1",OR(D53=4,D53=7)),LOOKUP(D82,T!$AA254:$AA269,T!$Y254:$Y269),IF(AND(D51="4G1",OR(D53=8,D53=9)),LOOKUP(D82,T!$AA254:$AA269,T!$Z254:$Z269),IF(AND(D51="4G2",OR(D53=2,D53=5)),LOOKUP(D82,T!$AA281:$AA296,T!$U281:$U296),IF(AND(D51="4G2",OR(D53=3,D53=6)),LOOKUP(D82,T!$AA281:$AA296,T!$X281:$X296),IF(AND(D51="4G2",OR(D53=4,D53=7)),LOOKUP(D82,T!$AA281:$AA296,T!$Y281:$Y296),IF(AND(D51="4G2",OR(D53=8,D53=9)),LOOKUP(D82,T!$AA281:$AA296,T!$Z281:$Z296),0)))))))),0)))))*D23*D69)/1000))</f>
        <v>2.8645833333333339</v>
      </c>
      <c r="E96" s="163">
        <f ca="1">IF(E29="","",IF(OR(COUNT(E19:E21)=3,COUNT(E19:E21)=1),(IF(E29="",0,IF(ISNUMBER(SEARCH("4D",E51)),IF(AND(E51="4D1",OR(E53=2,E53=4,E53=6,E53=8,E53=11),E55="DC"),LOOKUP(E82,T!$AC6:$AC27,T!$U6:$U27),IF(AND(E51="4D1",OR(E53=2,E53=4),E55="AC"),LOOKUP(E82,T!$AC6:$AC27,T!$V6:$V27),IF(AND(E51="4D1",OR(E53=6,E53=8),E55="AC"),LOOKUP(E82,T!$AC6:$AC27,T!$W6:$W27),IF(AND(E51="4D1",OR(E53=11,E53=12),E55="AC",E57=1),LOOKUP(E82,T!$AC6:$AC27,T!$X6:$X27),IF(AND(E51="4D1",OR(E53=3,E53=5),E55="AC"),LOOKUP(E82,T!$AC6:$AC27,T!$Y6:$Y27),IF(AND(E51="4D1",OR(E53=7,E53=10),E55="AC"),LOOKUP(E82,T!$AC6:$AC27,T!$Z6:$Z27),IF(AND(E51="4D1",E53=9,E55="AC"),LOOKUP(E82,T!$AC6:$AC27,T!$AA6:$AA27),IF(AND(E51="4D1",OR(E53=11,E53=12),E55="AC",E57=3),LOOKUP(E82,T!$AC13:$AC27,T!$AB13:$AB27),IF(AND(E51="4D2",OR(E53=2,E53=4,E53=6,E53=8),E55="DC"),LOOKUP(E82,T!$X33:$X50,T!$U33:$U50),IF(AND(E51="4D2",OR(E53=2,E53=4,E53=6,E53=8),E55="AC"),LOOKUP(E82,T!$X33:$X50,T!$V33:$V50),IF(AND(E51="4D2",OR(E53=3,E53=5,E53=7,E53=9),E55="AC"),LOOKUP(E82,T!$X33:$X50,T!$W33:$W50),IF(AND(E51="4D3",OR(E53=2,E53=4,E53=7,E53=8),E55="DC"),LOOKUP(E82,T!$AA56:$AA68,T!$U56:$U68),IF(AND(E51="4D3",OR(E53=2,E53=4),E55="AC"),LOOKUP(E82,T!$AA56:$AA68,T!$V56:$V68),IF(AND(E51="4D3",OR(E53=9,E53=10),E55="AC"),LOOKUP(E82,T!$AA56:$AA$68,T!$W56:$W68),IF(AND(E51="4D3",E53=6,E55="AC"),LOOKUP(E82,T!$AA56:$AA68,T!$X56:$X68),IF(AND(E51="4D3",OR(E53=3,E53=5),E55="AC"),LOOKUP(E82,T!$AA56:$AA68,T!$Y56:$Y68),IF(AND(E51="4D3",OR(E53=11,E53=12),E55="AC"),LOOKUP(E82,T!$AA56:$AA68,T!$Z56:$Z68),IF(AND(E51="4D4",OR(E53=2,E53=4,E53=6),E55="DC"),LOOKUP(E82,T!$X74:$X90,T!$U74:$U90),IF(AND(E51="4D4",OR(E53=2,E53=4,E53=6),E55="AC"),LOOKUP(E82,T!$X74:$X90,T!$V74:$V90),IF(AND(E51="4D4",OR(E53=3,E53=5,E53=7),E55="AC"),LOOKUP(E82,T!$X74:$X90,T!$W74:$W90),IF(AND(E51="4D5",AND(E53&gt;=2,E53&lt;=7)),LOOKUP(E82,T!$I96:$I102,T!$H96:$H102),0))))))))))))))))))))),IF(ISNUMBER(SEARCH("4E",E51)),IF(AND(E51="4E1",OR(E53=2,E53=4,E53=6,E53=8,E53=11),E55="DC"),LOOKUP(E82,T!$AC108:$AC129,T!$U108:$U129),IF(AND(E51="4E1",OR(E53=2,E53=4),E55="AC"),LOOKUP(E82,T!$AC108:$AC129,T!$V108:$V129),IF(AND(E51="4E1",OR(E53=6,E53=8),E55="AC"),LOOKUP(E82,T!$AC108:$AC129,T!$W108:$W129),IF(AND(E51="4E1",OR(E53=11,E53=12),E55="AC",E57=1),LOOKUP(E82,T!$AC108:$AC127,T!$X108:$X129),IF(AND(E51="4E1",OR(E53=3,E53=5),E55="AC"),LOOKUP(E82,T!$AC108:$AC129,T!$Y108:$Y129),IF(AND(E51="4E1",OR(E53=7,E53=10),E55="AC"),LOOKUP(E82,T!$AC108:$AC129,T!$Z108:$Z129),IF(AND(E51="4E1",E53=9,E55="AC"),LOOKUP(E82,T!$AC115:$AC129,T!$AA115:$AA129),IF(AND(E51="4E1",OR(E53=11,E53=12),E55="AC",E57=3),LOOKUP(E82,T!$AC115:$AC129,T!$AB115:$AB129),IF(AND(E51="4E2",OR(E53=2,E53=4,E53=6,E53=8),E55="DC"),LOOKUP(E82,T!$X134:$X152,T!$U134:$U152),IF(AND(E51="4E2",OR(E53=2,E53=4,E53=6,E53=8),E55="AC"),LOOKUP(E82,T!$X134:$X152,T!$V134:$V152),IF(AND(E51="4E2",OR(E53=3,E53=5,E53=7,E53=9),E55="AC"),LOOKUP(E82,T!$X134:$X152,T!$W134:$W152),IF(AND(E51="4E3",OR(E53=2,E53=4,E53=7,E53=8),E55="DC"),LOOKUP(E82,T!$AA158:$AA170,T!$U158:$U170),IF(AND(E51="4E3",OR(E53=2,E53=4),E55="AC"),LOOKUP(E82,T!$AA158:$AA170,T!$V158:$V170),IF(AND(E51="4E3",OR(E53=9,E53=10),E55="AC"),LOOKUP(E82,T!$AA158:$AA170,T!$W158:$W170),IF(AND(E51="4E3",E53=6,E55="AC"),LOOKUP(E82,T!$AA158:$AA170,T!$X158:$X170),IF(AND(E51="4E3",OR(E53=3,E53=5),E55="AC"),LOOKUP(E82,T!$AA158:$AA170,T!$Y158:$Y170),IF(AND(E51="4E3",OR(E53=11,E53=12),E55="AC"),LOOKUP(E82,T!$AA158:$AA170,T!$Z158:$Z170),IF(AND(E51="4E4",OR(E53=2,E53=4,E53=6),E55="DC"),LOOKUP(E82,T!$X176:$X192,T!$U176:$U192),IF(AND(E51="4E4",OR(E53=2,E53=4,E53=6),E55="AC"),LOOKUP(E82,T!$X176:$X192,T!$V176:$V192),IF(AND(E51="4E4",OR(E53=3,E53=5,E53=7),E55="AC"),LOOKUP(E82,T!$X176:$X192,T!$W176:$W192),0)))))))))))))))))))),IF(ISNUMBER(SEARCH("4F",E51)),IF(AND(E51="4F1",E53=2,E55="DC"),LOOKUP(E82,T!$Z198:$Z214,T!$U198:$U214),IF(AND(E51="4F1",E53=2,E55="AC"),LOOKUP(E82,T!$Z198:$Z214,T!$V198:$V214),IF(AND(E51="4F1",E53=3,E55="AC"),LOOKUP(E82,T!$Z198:$Z214,T!$W198:$W214),IF(AND(E51="4F1",E53=4,E55="DC"),LOOKUP(E82,T!$Z198:$Z214,T!$X198:$X214),IF(AND(E51="4F1",E53=4,E55="AC"),LOOKUP(E82,T!$Z198:$Z214,T!$Y198:$Y214),IF(AND(E51="4F2",E53=2,E55="DC"),LOOKUP(E82,T!$Y220:$Y236,T!$U220:$U236),IF(AND(E51="4F2",E53=2,E55="AC"),LOOKUP(E82,T!$Y220:$Y236,T!$V220:$V236),IF(AND(E51="4F2",E53=3,E55="AC"),LOOKUP(E82,T!$Y220:$Y236,T!$W220:$W236),IF(AND(E51="4F2",E53=4,E55="DC"),LOOKUP(E82,T!$Y220:$Y236,T!$X220:$X236),IF(AND(E51="4F3",E53=2),LOOKUP(E82,T!$W242:$W248,T!$U242:$U248),IF(AND(E51="4F3",E53=3,E55="AC"),LOOKUP(E82,T!$W242:$W248,T!$V242:$V248),0))))))))))),IF(ISNUMBER(SEARCH("4G",E51)),IF(AND(E51="4G1",OR(E53=2,E53=5)),LOOKUP(E82,T!$AA254:$AA269,T!$U254:$U269),IF(AND(E51="4G1",OR(E53=3,E53=6)),LOOKUP(E82,T!$AA254:$AA269,T!$X254:$X269),IF(AND(E51="4G1",OR(E53=4,E53=7)),LOOKUP(E82,T!$AA254:$AA269,T!$Y254:$Y269),IF(AND(E51="4G1",OR(E53=8,E53=9)),LOOKUP(E82,T!$AA254:$AA269,T!$Z254:$Z269),IF(AND(E51="4G2",OR(E53=2,E53=5)),LOOKUP(E82,T!$AA281:$AA296,T!$U281:$U296),IF(AND(E51="4G2",OR(E53=3,E53=6)),LOOKUP(E82,T!$AA281:$AA296,T!$X281:$X296),IF(AND(E51="4G2",OR(E53=4,E53=7)),LOOKUP(E82,T!$AA281:$AA296,T!$Y281:$Y296),IF(AND(E51="4G2",OR(E53=8,E53=9)),LOOKUP(E82,T!$AA281:$AA296,T!$Z281:$Z296),0)))))))),0)))))*E23*E69)/1000))</f>
        <v>3.4000560000000002</v>
      </c>
      <c r="F96" s="163">
        <f ca="1">IF(F29="","",IF(OR(COUNT(F19:F21)=3,COUNT(F19:F21)=1),(IF(F29="",0,IF(ISNUMBER(SEARCH("4D",F51)),IF(AND(F51="4D1",OR(F53=2,F53=4,F53=6,F53=8,F53=11),F55="DC"),LOOKUP(F82,T!$AC6:$AC27,T!$U6:$U27),IF(AND(F51="4D1",OR(F53=2,F53=4),F55="AC"),LOOKUP(F82,T!$AC6:$AC27,T!$V6:$V27),IF(AND(F51="4D1",OR(F53=6,F53=8),F55="AC"),LOOKUP(F82,T!$AC6:$AC27,T!$W6:$W27),IF(AND(F51="4D1",OR(F53=11,F53=12),F55="AC",F57=1),LOOKUP(F82,T!$AC6:$AC27,T!$X6:$X27),IF(AND(F51="4D1",OR(F53=3,F53=5),F55="AC"),LOOKUP(F82,T!$AC6:$AC27,T!$Y6:$Y27),IF(AND(F51="4D1",OR(F53=7,F53=10),F55="AC"),LOOKUP(F82,T!$AC6:$AC27,T!$Z6:$Z27),IF(AND(F51="4D1",F53=9,F55="AC"),LOOKUP(F82,T!$AC6:$AC27,T!$AA6:$AA27),IF(AND(F51="4D1",OR(F53=11,F53=12),F55="AC",F57=3),LOOKUP(F82,T!$AC13:$AC27,T!$AB13:$AB27),IF(AND(F51="4D2",OR(F53=2,F53=4,F53=6,F53=8),F55="DC"),LOOKUP(F82,T!$X33:$X50,T!$U33:$U50),IF(AND(F51="4D2",OR(F53=2,F53=4,F53=6,F53=8),F55="AC"),LOOKUP(F82,T!$X33:$X50,T!$V33:$V50),IF(AND(F51="4D2",OR(F53=3,F53=5,F53=7,F53=9),F55="AC"),LOOKUP(F82,T!$X33:$X50,T!$W33:$W50),IF(AND(F51="4D3",OR(F53=2,F53=4,F53=7,F53=8),F55="DC"),LOOKUP(F82,T!$AA56:$AA68,T!$U56:$U68),IF(AND(F51="4D3",OR(F53=2,F53=4),F55="AC"),LOOKUP(F82,T!$AA56:$AA68,T!$V56:$V68),IF(AND(F51="4D3",OR(F53=9,F53=10),F55="AC"),LOOKUP(F82,T!$AA56:$AA$68,T!$W56:$W68),IF(AND(F51="4D3",F53=6,F55="AC"),LOOKUP(F82,T!$AA56:$AA68,T!$X56:$X68),IF(AND(F51="4D3",OR(F53=3,F53=5),F55="AC"),LOOKUP(F82,T!$AA56:$AA68,T!$Y56:$Y68),IF(AND(F51="4D3",OR(F53=11,F53=12),F55="AC"),LOOKUP(F82,T!$AA56:$AA68,T!$Z56:$Z68),IF(AND(F51="4D4",OR(F53=2,F53=4,F53=6),F55="DC"),LOOKUP(F82,T!$X74:$X90,T!$U74:$U90),IF(AND(F51="4D4",OR(F53=2,F53=4,F53=6),F55="AC"),LOOKUP(F82,T!$X74:$X90,T!$V74:$V90),IF(AND(F51="4D4",OR(F53=3,F53=5,F53=7),F55="AC"),LOOKUP(F82,T!$X74:$X90,T!$W74:$W90),IF(AND(F51="4D5",AND(F53&gt;=2,F53&lt;=7)),LOOKUP(F82,T!$I96:$I102,T!$H96:$H102),0))))))))))))))))))))),IF(ISNUMBER(SEARCH("4E",F51)),IF(AND(F51="4E1",OR(F53=2,F53=4,F53=6,F53=8,F53=11),F55="DC"),LOOKUP(F82,T!$AC108:$AC129,T!$U108:$U129),IF(AND(F51="4E1",OR(F53=2,F53=4),F55="AC"),LOOKUP(F82,T!$AC108:$AC129,T!$V108:$V129),IF(AND(F51="4E1",OR(F53=6,F53=8),F55="AC"),LOOKUP(F82,T!$AC108:$AC129,T!$W108:$W129),IF(AND(F51="4E1",OR(F53=11,F53=12),F55="AC",F57=1),LOOKUP(F82,T!$AC108:$AC127,T!$X108:$X129),IF(AND(F51="4E1",OR(F53=3,F53=5),F55="AC"),LOOKUP(F82,T!$AC108:$AC129,T!$Y108:$Y129),IF(AND(F51="4E1",OR(F53=7,F53=10),F55="AC"),LOOKUP(F82,T!$AC108:$AC129,T!$Z108:$Z129),IF(AND(F51="4E1",F53=9,F55="AC"),LOOKUP(F82,T!$AC115:$AC129,T!$AA115:$AA129),IF(AND(F51="4E1",OR(F53=11,F53=12),F55="AC",F57=3),LOOKUP(F82,T!$AC115:$AC129,T!$AB115:$AB129),IF(AND(F51="4E2",OR(F53=2,F53=4,F53=6,F53=8),F55="DC"),LOOKUP(F82,T!$X134:$X152,T!$U134:$U152),IF(AND(F51="4E2",OR(F53=2,F53=4,F53=6,F53=8),F55="AC"),LOOKUP(F82,T!$X134:$X152,T!$V134:$V152),IF(AND(F51="4E2",OR(F53=3,F53=5,F53=7,F53=9),F55="AC"),LOOKUP(F82,T!$X134:$X152,T!$W134:$W152),IF(AND(F51="4E3",OR(F53=2,F53=4,F53=7,F53=8),F55="DC"),LOOKUP(F82,T!$AA158:$AA170,T!$U158:$U170),IF(AND(F51="4E3",OR(F53=2,F53=4),F55="AC"),LOOKUP(F82,T!$AA158:$AA170,T!$V158:$V170),IF(AND(F51="4E3",OR(F53=9,F53=10),F55="AC"),LOOKUP(F82,T!$AA158:$AA170,T!$W158:$W170),IF(AND(F51="4E3",F53=6,F55="AC"),LOOKUP(F82,T!$AA158:$AA170,T!$X158:$X170),IF(AND(F51="4E3",OR(F53=3,F53=5),F55="AC"),LOOKUP(F82,T!$AA158:$AA170,T!$Y158:$Y170),IF(AND(F51="4E3",OR(F53=11,F53=12),F55="AC"),LOOKUP(F82,T!$AA158:$AA170,T!$Z158:$Z170),IF(AND(F51="4E4",OR(F53=2,F53=4,F53=6),F55="DC"),LOOKUP(F82,T!$X176:$X192,T!$U176:$U192),IF(AND(F51="4E4",OR(F53=2,F53=4,F53=6),F55="AC"),LOOKUP(F82,T!$X176:$X192,T!$V176:$V192),IF(AND(F51="4E4",OR(F53=3,F53=5,F53=7),F55="AC"),LOOKUP(F82,T!$X176:$X192,T!$W176:$W192),0)))))))))))))))))))),IF(ISNUMBER(SEARCH("4F",F51)),IF(AND(F51="4F1",F53=2,F55="DC"),LOOKUP(F82,T!$Z198:$Z214,T!$U198:$U214),IF(AND(F51="4F1",F53=2,F55="AC"),LOOKUP(F82,T!$Z198:$Z214,T!$V198:$V214),IF(AND(F51="4F1",F53=3,F55="AC"),LOOKUP(F82,T!$Z198:$Z214,T!$W198:$W214),IF(AND(F51="4F1",F53=4,F55="DC"),LOOKUP(F82,T!$Z198:$Z214,T!$X198:$X214),IF(AND(F51="4F1",F53=4,F55="AC"),LOOKUP(F82,T!$Z198:$Z214,T!$Y198:$Y214),IF(AND(F51="4F2",F53=2,F55="DC"),LOOKUP(F82,T!$Y220:$Y236,T!$U220:$U236),IF(AND(F51="4F2",F53=2,F55="AC"),LOOKUP(F82,T!$Y220:$Y236,T!$V220:$V236),IF(AND(F51="4F2",F53=3,F55="AC"),LOOKUP(F82,T!$Y220:$Y236,T!$W220:$W236),IF(AND(F51="4F2",F53=4,F55="DC"),LOOKUP(F82,T!$Y220:$Y236,T!$X220:$X236),IF(AND(F51="4F3",F53=2),LOOKUP(F82,T!$W242:$W248,T!$U242:$U248),IF(AND(F51="4F3",F53=3,F55="AC"),LOOKUP(F82,T!$W242:$W248,T!$V242:$V248),0))))))))))),IF(ISNUMBER(SEARCH("4G",F51)),IF(AND(F51="4G1",OR(F53=2,F53=5)),LOOKUP(F82,T!$AA254:$AA269,T!$U254:$U269),IF(AND(F51="4G1",OR(F53=3,F53=6)),LOOKUP(F82,T!$AA254:$AA269,T!$X254:$X269),IF(AND(F51="4G1",OR(F53=4,F53=7)),LOOKUP(F82,T!$AA254:$AA269,T!$Y254:$Y269),IF(AND(F51="4G1",OR(F53=8,F53=9)),LOOKUP(F82,T!$AA254:$AA269,T!$Z254:$Z269),IF(AND(F51="4G2",OR(F53=2,F53=5)),LOOKUP(F82,T!$AA281:$AA296,T!$U281:$U296),IF(AND(F51="4G2",OR(F53=3,F53=6)),LOOKUP(F82,T!$AA281:$AA296,T!$X281:$X296),IF(AND(F51="4G2",OR(F53=4,F53=7)),LOOKUP(F82,T!$AA281:$AA296,T!$Y281:$Y296),IF(AND(F51="4G2",OR(F53=8,F53=9)),LOOKUP(F82,T!$AA281:$AA296,T!$Z281:$Z296),0)))))))),0)))))*F23*F69)/1000))</f>
        <v>3.4000560000000002</v>
      </c>
      <c r="G96" s="163">
        <f ca="1">IF(G29="","",IF(OR(COUNT(G19:G21)=3,COUNT(G19:G21)=1),(IF(G29="",0,IF(ISNUMBER(SEARCH("4D",G51)),IF(AND(G51="4D1",OR(G53=2,G53=4,G53=6,G53=8,G53=11),G55="DC"),LOOKUP(G82,T!$AC6:$AC27,T!$U6:$U27),IF(AND(G51="4D1",OR(G53=2,G53=4),G55="AC"),LOOKUP(G82,T!$AC6:$AC27,T!$V6:$V27),IF(AND(G51="4D1",OR(G53=6,G53=8),G55="AC"),LOOKUP(G82,T!$AC6:$AC27,T!$W6:$W27),IF(AND(G51="4D1",OR(G53=11,G53=12),G55="AC",G57=1),LOOKUP(G82,T!$AC6:$AC27,T!$X6:$X27),IF(AND(G51="4D1",OR(G53=3,G53=5),G55="AC"),LOOKUP(G82,T!$AC6:$AC27,T!$Y6:$Y27),IF(AND(G51="4D1",OR(G53=7,G53=10),G55="AC"),LOOKUP(G82,T!$AC6:$AC27,T!$Z6:$Z27),IF(AND(G51="4D1",G53=9,G55="AC"),LOOKUP(G82,T!$AC6:$AC27,T!$AA6:$AA27),IF(AND(G51="4D1",OR(G53=11,G53=12),G55="AC",G57=3),LOOKUP(G82,T!$AC13:$AC27,T!$AB13:$AB27),IF(AND(G51="4D2",OR(G53=2,G53=4,G53=6,G53=8),G55="DC"),LOOKUP(G82,T!$X33:$X50,T!$U33:$U50),IF(AND(G51="4D2",OR(G53=2,G53=4,G53=6,G53=8),G55="AC"),LOOKUP(G82,T!$X33:$X50,T!$V33:$V50),IF(AND(G51="4D2",OR(G53=3,G53=5,G53=7,G53=9),G55="AC"),LOOKUP(G82,T!$X33:$X50,T!$W33:$W50),IF(AND(G51="4D3",OR(G53=2,G53=4,G53=7,G53=8),G55="DC"),LOOKUP(G82,T!$AA56:$AA68,T!$U56:$U68),IF(AND(G51="4D3",OR(G53=2,G53=4),G55="AC"),LOOKUP(G82,T!$AA56:$AA68,T!$V56:$V68),IF(AND(G51="4D3",OR(G53=9,G53=10),G55="AC"),LOOKUP(G82,T!$AA56:$AA$68,T!$W56:$W68),IF(AND(G51="4D3",G53=6,G55="AC"),LOOKUP(G82,T!$AA56:$AA68,T!$X56:$X68),IF(AND(G51="4D3",OR(G53=3,G53=5),G55="AC"),LOOKUP(G82,T!$AA56:$AA68,T!$Y56:$Y68),IF(AND(G51="4D3",OR(G53=11,G53=12),G55="AC"),LOOKUP(G82,T!$AA56:$AA68,T!$Z56:$Z68),IF(AND(G51="4D4",OR(G53=2,G53=4,G53=6),G55="DC"),LOOKUP(G82,T!$X74:$X90,T!$U74:$U90),IF(AND(G51="4D4",OR(G53=2,G53=4,G53=6),G55="AC"),LOOKUP(G82,T!$X74:$X90,T!$V74:$V90),IF(AND(G51="4D4",OR(G53=3,G53=5,G53=7),G55="AC"),LOOKUP(G82,T!$X74:$X90,T!$W74:$W90),IF(AND(G51="4D5",AND(G53&gt;=2,G53&lt;=7)),LOOKUP(G82,T!$I96:$I102,T!$H96:$H102),0))))))))))))))))))))),IF(ISNUMBER(SEARCH("4E",G51)),IF(AND(G51="4E1",OR(G53=2,G53=4,G53=6,G53=8,G53=11),G55="DC"),LOOKUP(G82,T!$AC108:$AC129,T!$U108:$U129),IF(AND(G51="4E1",OR(G53=2,G53=4),G55="AC"),LOOKUP(G82,T!$AC108:$AC129,T!$V108:$V129),IF(AND(G51="4E1",OR(G53=6,G53=8),G55="AC"),LOOKUP(G82,T!$AC108:$AC129,T!$W108:$W129),IF(AND(G51="4E1",OR(G53=11,G53=12),G55="AC",G57=1),LOOKUP(G82,T!$AC108:$AC127,T!$X108:$X129),IF(AND(G51="4E1",OR(G53=3,G53=5),G55="AC"),LOOKUP(G82,T!$AC108:$AC129,T!$Y108:$Y129),IF(AND(G51="4E1",OR(G53=7,G53=10),G55="AC"),LOOKUP(G82,T!$AC108:$AC129,T!$Z108:$Z129),IF(AND(G51="4E1",G53=9,G55="AC"),LOOKUP(G82,T!$AC115:$AC129,T!$AA115:$AA129),IF(AND(G51="4E1",OR(G53=11,G53=12),G55="AC",G57=3),LOOKUP(G82,T!$AC115:$AC129,T!$AB115:$AB129),IF(AND(G51="4E2",OR(G53=2,G53=4,G53=6,G53=8),G55="DC"),LOOKUP(G82,T!$X134:$X152,T!$U134:$U152),IF(AND(G51="4E2",OR(G53=2,G53=4,G53=6,G53=8),G55="AC"),LOOKUP(G82,T!$X134:$X152,T!$V134:$V152),IF(AND(G51="4E2",OR(G53=3,G53=5,G53=7,G53=9),G55="AC"),LOOKUP(G82,T!$X134:$X152,T!$W134:$W152),IF(AND(G51="4E3",OR(G53=2,G53=4,G53=7,G53=8),G55="DC"),LOOKUP(G82,T!$AA158:$AA170,T!$U158:$U170),IF(AND(G51="4E3",OR(G53=2,G53=4),G55="AC"),LOOKUP(G82,T!$AA158:$AA170,T!$V158:$V170),IF(AND(G51="4E3",OR(G53=9,G53=10),G55="AC"),LOOKUP(G82,T!$AA158:$AA170,T!$W158:$W170),IF(AND(G51="4E3",G53=6,G55="AC"),LOOKUP(G82,T!$AA158:$AA170,T!$X158:$X170),IF(AND(G51="4E3",OR(G53=3,G53=5),G55="AC"),LOOKUP(G82,T!$AA158:$AA170,T!$Y158:$Y170),IF(AND(G51="4E3",OR(G53=11,G53=12),G55="AC"),LOOKUP(G82,T!$AA158:$AA170,T!$Z158:$Z170),IF(AND(G51="4E4",OR(G53=2,G53=4,G53=6),G55="DC"),LOOKUP(G82,T!$X176:$X192,T!$U176:$U192),IF(AND(G51="4E4",OR(G53=2,G53=4,G53=6),G55="AC"),LOOKUP(G82,T!$X176:$X192,T!$V176:$V192),IF(AND(G51="4E4",OR(G53=3,G53=5,G53=7),G55="AC"),LOOKUP(G82,T!$X176:$X192,T!$W176:$W192),0)))))))))))))))))))),IF(ISNUMBER(SEARCH("4F",G51)),IF(AND(G51="4F1",G53=2,G55="DC"),LOOKUP(G82,T!$Z198:$Z214,T!$U198:$U214),IF(AND(G51="4F1",G53=2,G55="AC"),LOOKUP(G82,T!$Z198:$Z214,T!$V198:$V214),IF(AND(G51="4F1",G53=3,G55="AC"),LOOKUP(G82,T!$Z198:$Z214,T!$W198:$W214),IF(AND(G51="4F1",G53=4,G55="DC"),LOOKUP(G82,T!$Z198:$Z214,T!$X198:$X214),IF(AND(G51="4F1",G53=4,G55="AC"),LOOKUP(G82,T!$Z198:$Z214,T!$Y198:$Y214),IF(AND(G51="4F2",G53=2,G55="DC"),LOOKUP(G82,T!$Y220:$Y236,T!$U220:$U236),IF(AND(G51="4F2",G53=2,G55="AC"),LOOKUP(G82,T!$Y220:$Y236,T!$V220:$V236),IF(AND(G51="4F2",G53=3,G55="AC"),LOOKUP(G82,T!$Y220:$Y236,T!$W220:$W236),IF(AND(G51="4F2",G53=4,G55="DC"),LOOKUP(G82,T!$Y220:$Y236,T!$X220:$X236),IF(AND(G51="4F3",G53=2),LOOKUP(G82,T!$W242:$W248,T!$U242:$U248),IF(AND(G51="4F3",G53=3,G55="AC"),LOOKUP(G82,T!$W242:$W248,T!$V242:$V248),0))))))))))),IF(ISNUMBER(SEARCH("4G",G51)),IF(AND(G51="4G1",OR(G53=2,G53=5)),LOOKUP(G82,T!$AA254:$AA269,T!$U254:$U269),IF(AND(G51="4G1",OR(G53=3,G53=6)),LOOKUP(G82,T!$AA254:$AA269,T!$X254:$X269),IF(AND(G51="4G1",OR(G53=4,G53=7)),LOOKUP(G82,T!$AA254:$AA269,T!$Y254:$Y269),IF(AND(G51="4G1",OR(G53=8,G53=9)),LOOKUP(G82,T!$AA254:$AA269,T!$Z254:$Z269),IF(AND(G51="4G2",OR(G53=2,G53=5)),LOOKUP(G82,T!$AA281:$AA296,T!$U281:$U296),IF(AND(G51="4G2",OR(G53=3,G53=6)),LOOKUP(G82,T!$AA281:$AA296,T!$X281:$X296),IF(AND(G51="4G2",OR(G53=4,G53=7)),LOOKUP(G82,T!$AA281:$AA296,T!$Y281:$Y296),IF(AND(G51="4G2",OR(G53=8,G53=9)),LOOKUP(G82,T!$AA281:$AA296,T!$Z281:$Z296),0)))))))),0)))))*G23*G69)/1000))</f>
        <v>3.4000560000000002</v>
      </c>
      <c r="H96" s="163">
        <f ca="1">IF(H29="","",IF(OR(COUNT(H19:H21)=3,COUNT(H19:H21)=1),(IF(H29="",0,IF(ISNUMBER(SEARCH("4D",H51)),IF(AND(H51="4D1",OR(H53=2,H53=4,H53=6,H53=8,H53=11),H55="DC"),LOOKUP(H82,T!$AC6:$AC27,T!$U6:$U27),IF(AND(H51="4D1",OR(H53=2,H53=4),H55="AC"),LOOKUP(H82,T!$AC6:$AC27,T!$V6:$V27),IF(AND(H51="4D1",OR(H53=6,H53=8),H55="AC"),LOOKUP(H82,T!$AC6:$AC27,T!$W6:$W27),IF(AND(H51="4D1",OR(H53=11,H53=12),H55="AC",H57=1),LOOKUP(H82,T!$AC6:$AC27,T!$X6:$X27),IF(AND(H51="4D1",OR(H53=3,H53=5),H55="AC"),LOOKUP(H82,T!$AC6:$AC27,T!$Y6:$Y27),IF(AND(H51="4D1",OR(H53=7,H53=10),H55="AC"),LOOKUP(H82,T!$AC6:$AC27,T!$Z6:$Z27),IF(AND(H51="4D1",H53=9,H55="AC"),LOOKUP(H82,T!$AC6:$AC27,T!$AA6:$AA27),IF(AND(H51="4D1",OR(H53=11,H53=12),H55="AC",H57=3),LOOKUP(H82,T!$AC13:$AC27,T!$AB13:$AB27),IF(AND(H51="4D2",OR(H53=2,H53=4,H53=6,H53=8),H55="DC"),LOOKUP(H82,T!$X33:$X50,T!$U33:$U50),IF(AND(H51="4D2",OR(H53=2,H53=4,H53=6,H53=8),H55="AC"),LOOKUP(H82,T!$X33:$X50,T!$V33:$V50),IF(AND(H51="4D2",OR(H53=3,H53=5,H53=7,H53=9),H55="AC"),LOOKUP(H82,T!$X33:$X50,T!$W33:$W50),IF(AND(H51="4D3",OR(H53=2,H53=4,H53=7,H53=8),H55="DC"),LOOKUP(H82,T!$AA56:$AA68,T!$U56:$U68),IF(AND(H51="4D3",OR(H53=2,H53=4),H55="AC"),LOOKUP(H82,T!$AA56:$AA68,T!$V56:$V68),IF(AND(H51="4D3",OR(H53=9,H53=10),H55="AC"),LOOKUP(H82,T!$AA56:$AA$68,T!$W56:$W68),IF(AND(H51="4D3",H53=6,H55="AC"),LOOKUP(H82,T!$AA56:$AA68,T!$X56:$X68),IF(AND(H51="4D3",OR(H53=3,H53=5),H55="AC"),LOOKUP(H82,T!$AA56:$AA68,T!$Y56:$Y68),IF(AND(H51="4D3",OR(H53=11,H53=12),H55="AC"),LOOKUP(H82,T!$AA56:$AA68,T!$Z56:$Z68),IF(AND(H51="4D4",OR(H53=2,H53=4,H53=6),H55="DC"),LOOKUP(H82,T!$X74:$X90,T!$U74:$U90),IF(AND(H51="4D4",OR(H53=2,H53=4,H53=6),H55="AC"),LOOKUP(H82,T!$X74:$X90,T!$V74:$V90),IF(AND(H51="4D4",OR(H53=3,H53=5,H53=7),H55="AC"),LOOKUP(H82,T!$X74:$X90,T!$W74:$W90),IF(AND(H51="4D5",AND(H53&gt;=2,H53&lt;=7)),LOOKUP(H82,T!$I96:$I102,T!$H96:$H102),0))))))))))))))))))))),IF(ISNUMBER(SEARCH("4E",H51)),IF(AND(H51="4E1",OR(H53=2,H53=4,H53=6,H53=8,H53=11),H55="DC"),LOOKUP(H82,T!$AC108:$AC129,T!$U108:$U129),IF(AND(H51="4E1",OR(H53=2,H53=4),H55="AC"),LOOKUP(H82,T!$AC108:$AC129,T!$V108:$V129),IF(AND(H51="4E1",OR(H53=6,H53=8),H55="AC"),LOOKUP(H82,T!$AC108:$AC129,T!$W108:$W129),IF(AND(H51="4E1",OR(H53=11,H53=12),H55="AC",H57=1),LOOKUP(H82,T!$AC108:$AC127,T!$X108:$X129),IF(AND(H51="4E1",OR(H53=3,H53=5),H55="AC"),LOOKUP(H82,T!$AC108:$AC129,T!$Y108:$Y129),IF(AND(H51="4E1",OR(H53=7,H53=10),H55="AC"),LOOKUP(H82,T!$AC108:$AC129,T!$Z108:$Z129),IF(AND(H51="4E1",H53=9,H55="AC"),LOOKUP(H82,T!$AC115:$AC129,T!$AA115:$AA129),IF(AND(H51="4E1",OR(H53=11,H53=12),H55="AC",H57=3),LOOKUP(H82,T!$AC115:$AC129,T!$AB115:$AB129),IF(AND(H51="4E2",OR(H53=2,H53=4,H53=6,H53=8),H55="DC"),LOOKUP(H82,T!$X134:$X152,T!$U134:$U152),IF(AND(H51="4E2",OR(H53=2,H53=4,H53=6,H53=8),H55="AC"),LOOKUP(H82,T!$X134:$X152,T!$V134:$V152),IF(AND(H51="4E2",OR(H53=3,H53=5,H53=7,H53=9),H55="AC"),LOOKUP(H82,T!$X134:$X152,T!$W134:$W152),IF(AND(H51="4E3",OR(H53=2,H53=4,H53=7,H53=8),H55="DC"),LOOKUP(H82,T!$AA158:$AA170,T!$U158:$U170),IF(AND(H51="4E3",OR(H53=2,H53=4),H55="AC"),LOOKUP(H82,T!$AA158:$AA170,T!$V158:$V170),IF(AND(H51="4E3",OR(H53=9,H53=10),H55="AC"),LOOKUP(H82,T!$AA158:$AA170,T!$W158:$W170),IF(AND(H51="4E3",H53=6,H55="AC"),LOOKUP(H82,T!$AA158:$AA170,T!$X158:$X170),IF(AND(H51="4E3",OR(H53=3,H53=5),H55="AC"),LOOKUP(H82,T!$AA158:$AA170,T!$Y158:$Y170),IF(AND(H51="4E3",OR(H53=11,H53=12),H55="AC"),LOOKUP(H82,T!$AA158:$AA170,T!$Z158:$Z170),IF(AND(H51="4E4",OR(H53=2,H53=4,H53=6),H55="DC"),LOOKUP(H82,T!$X176:$X192,T!$U176:$U192),IF(AND(H51="4E4",OR(H53=2,H53=4,H53=6),H55="AC"),LOOKUP(H82,T!$X176:$X192,T!$V176:$V192),IF(AND(H51="4E4",OR(H53=3,H53=5,H53=7),H55="AC"),LOOKUP(H82,T!$X176:$X192,T!$W176:$W192),0)))))))))))))))))))),IF(ISNUMBER(SEARCH("4F",H51)),IF(AND(H51="4F1",H53=2,H55="DC"),LOOKUP(H82,T!$Z198:$Z214,T!$U198:$U214),IF(AND(H51="4F1",H53=2,H55="AC"),LOOKUP(H82,T!$Z198:$Z214,T!$V198:$V214),IF(AND(H51="4F1",H53=3,H55="AC"),LOOKUP(H82,T!$Z198:$Z214,T!$W198:$W214),IF(AND(H51="4F1",H53=4,H55="DC"),LOOKUP(H82,T!$Z198:$Z214,T!$X198:$X214),IF(AND(H51="4F1",H53=4,H55="AC"),LOOKUP(H82,T!$Z198:$Z214,T!$Y198:$Y214),IF(AND(H51="4F2",H53=2,H55="DC"),LOOKUP(H82,T!$Y220:$Y236,T!$U220:$U236),IF(AND(H51="4F2",H53=2,H55="AC"),LOOKUP(H82,T!$Y220:$Y236,T!$V220:$V236),IF(AND(H51="4F2",H53=3,H55="AC"),LOOKUP(H82,T!$Y220:$Y236,T!$W220:$W236),IF(AND(H51="4F2",H53=4,H55="DC"),LOOKUP(H82,T!$Y220:$Y236,T!$X220:$X236),IF(AND(H51="4F3",H53=2),LOOKUP(H82,T!$W242:$W248,T!$U242:$U248),IF(AND(H51="4F3",H53=3,H55="AC"),LOOKUP(H82,T!$W242:$W248,T!$V242:$V248),0))))))))))),IF(ISNUMBER(SEARCH("4G",H51)),IF(AND(H51="4G1",OR(H53=2,H53=5)),LOOKUP(H82,T!$AA254:$AA269,T!$U254:$U269),IF(AND(H51="4G1",OR(H53=3,H53=6)),LOOKUP(H82,T!$AA254:$AA269,T!$X254:$X269),IF(AND(H51="4G1",OR(H53=4,H53=7)),LOOKUP(H82,T!$AA254:$AA269,T!$Y254:$Y269),IF(AND(H51="4G1",OR(H53=8,H53=9)),LOOKUP(H82,T!$AA254:$AA269,T!$Z254:$Z269),IF(AND(H51="4G2",OR(H53=2,H53=5)),LOOKUP(H82,T!$AA281:$AA296,T!$U281:$U296),IF(AND(H51="4G2",OR(H53=3,H53=6)),LOOKUP(H82,T!$AA281:$AA296,T!$X281:$X296),IF(AND(H51="4G2",OR(H53=4,H53=7)),LOOKUP(H82,T!$AA281:$AA296,T!$Y281:$Y296),IF(AND(H51="4G2",OR(H53=8,H53=9)),LOOKUP(H82,T!$AA281:$AA296,T!$Z281:$Z296),0)))))))),0)))))*H23*H69)/1000))</f>
        <v>3.4000560000000002</v>
      </c>
      <c r="I96" s="163">
        <f>IF(I29="","",IF(OR(COUNT(I19:I21)=3,COUNT(I19:I21)=1),(IF(I29="",0,IF(ISNUMBER(SEARCH("4D",I51)),IF(AND(I51="4D1",OR(I53=2,I53=4,I53=6,I53=8,I53=11),I55="DC"),LOOKUP(I82,T!$AC6:$AC27,T!$U6:$U27),IF(AND(I51="4D1",OR(I53=2,I53=4),I55="AC"),LOOKUP(I82,T!$AC6:$AC27,T!$V6:$V27),IF(AND(I51="4D1",OR(I53=6,I53=8),I55="AC"),LOOKUP(I82,T!$AC6:$AC27,T!$W6:$W27),IF(AND(I51="4D1",OR(I53=11,I53=12),I55="AC",I57=1),LOOKUP(I82,T!$AC6:$AC27,T!$X6:$X27),IF(AND(I51="4D1",OR(I53=3,I53=5),I55="AC"),LOOKUP(I82,T!$AC6:$AC27,T!$Y6:$Y27),IF(AND(I51="4D1",OR(I53=7,I53=10),I55="AC"),LOOKUP(I82,T!$AC6:$AC27,T!$Z6:$Z27),IF(AND(I51="4D1",I53=9,I55="AC"),LOOKUP(I82,T!$AC6:$AC27,T!$AA6:$AA27),IF(AND(I51="4D1",OR(I53=11,I53=12),I55="AC",I57=3),LOOKUP(I82,T!$AC13:$AC27,T!$AB13:$AB27),IF(AND(I51="4D2",OR(I53=2,I53=4,I53=6,I53=8),I55="DC"),LOOKUP(I82,T!$X33:$X50,T!$U33:$U50),IF(AND(I51="4D2",OR(I53=2,I53=4,I53=6,I53=8),I55="AC"),LOOKUP(I82,T!$X33:$X50,T!$V33:$V50),IF(AND(I51="4D2",OR(I53=3,I53=5,I53=7,I53=9),I55="AC"),LOOKUP(I82,T!$X33:$X50,T!$W33:$W50),IF(AND(I51="4D3",OR(I53=2,I53=4,I53=7,I53=8),I55="DC"),LOOKUP(I82,T!$AA56:$AA68,T!$U56:$U68),IF(AND(I51="4D3",OR(I53=2,I53=4),I55="AC"),LOOKUP(I82,T!$AA56:$AA68,T!$V56:$V68),IF(AND(I51="4D3",OR(I53=9,I53=10),I55="AC"),LOOKUP(I82,T!$AA56:$AA$68,T!$W56:$W68),IF(AND(I51="4D3",I53=6,I55="AC"),LOOKUP(I82,T!$AA56:$AA68,T!$X56:$X68),IF(AND(I51="4D3",OR(I53=3,I53=5),I55="AC"),LOOKUP(I82,T!$AA56:$AA68,T!$Y56:$Y68),IF(AND(I51="4D3",OR(I53=11,I53=12),I55="AC"),LOOKUP(I82,T!$AA56:$AA68,T!$Z56:$Z68),IF(AND(I51="4D4",OR(I53=2,I53=4,I53=6),I55="DC"),LOOKUP(I82,T!$X74:$X90,T!$U74:$U90),IF(AND(I51="4D4",OR(I53=2,I53=4,I53=6),I55="AC"),LOOKUP(I82,T!$X74:$X90,T!$V74:$V90),IF(AND(I51="4D4",OR(I53=3,I53=5,I53=7),I55="AC"),LOOKUP(I82,T!$X74:$X90,T!$W74:$W90),IF(AND(I51="4D5",AND(I53&gt;=2,I53&lt;=7)),LOOKUP(I82,T!$I96:$I102,T!$H96:$H102),0))))))))))))))))))))),IF(ISNUMBER(SEARCH("4E",I51)),IF(AND(I51="4E1",OR(I53=2,I53=4,I53=6,I53=8,I53=11),I55="DC"),LOOKUP(I82,T!$AC108:$AC129,T!$U108:$U129),IF(AND(I51="4E1",OR(I53=2,I53=4),I55="AC"),LOOKUP(I82,T!$AC108:$AC129,T!$V108:$V129),IF(AND(I51="4E1",OR(I53=6,I53=8),I55="AC"),LOOKUP(I82,T!$AC108:$AC129,T!$W108:$W129),IF(AND(I51="4E1",OR(I53=11,I53=12),I55="AC",I57=1),LOOKUP(I82,T!$AC108:$AC127,T!$X108:$X129),IF(AND(I51="4E1",OR(I53=3,I53=5),I55="AC"),LOOKUP(I82,T!$AC108:$AC129,T!$Y108:$Y129),IF(AND(I51="4E1",OR(I53=7,I53=10),I55="AC"),LOOKUP(I82,T!$AC108:$AC129,T!$Z108:$Z129),IF(AND(I51="4E1",I53=9,I55="AC"),LOOKUP(I82,T!$AC115:$AC129,T!$AA115:$AA129),IF(AND(I51="4E1",OR(I53=11,I53=12),I55="AC",I57=3),LOOKUP(I82,T!$AC115:$AC129,T!$AB115:$AB129),IF(AND(I51="4E2",OR(I53=2,I53=4,I53=6,I53=8),I55="DC"),LOOKUP(I82,T!$X134:$X152,T!$U134:$U152),IF(AND(I51="4E2",OR(I53=2,I53=4,I53=6,I53=8),I55="AC"),LOOKUP(I82,T!$X134:$X152,T!$V134:$V152),IF(AND(I51="4E2",OR(I53=3,I53=5,I53=7,I53=9),I55="AC"),LOOKUP(I82,T!$X134:$X152,T!$W134:$W152),IF(AND(I51="4E3",OR(I53=2,I53=4,I53=7,I53=8),I55="DC"),LOOKUP(I82,T!$AA158:$AA170,T!$U158:$U170),IF(AND(I51="4E3",OR(I53=2,I53=4),I55="AC"),LOOKUP(I82,T!$AA158:$AA170,T!$V158:$V170),IF(AND(I51="4E3",OR(I53=9,I53=10),I55="AC"),LOOKUP(I82,T!$AA158:$AA170,T!$W158:$W170),IF(AND(I51="4E3",I53=6,I55="AC"),LOOKUP(I82,T!$AA158:$AA170,T!$X158:$X170),IF(AND(I51="4E3",OR(I53=3,I53=5),I55="AC"),LOOKUP(I82,T!$AA158:$AA170,T!$Y158:$Y170),IF(AND(I51="4E3",OR(I53=11,I53=12),I55="AC"),LOOKUP(I82,T!$AA158:$AA170,T!$Z158:$Z170),IF(AND(I51="4E4",OR(I53=2,I53=4,I53=6),I55="DC"),LOOKUP(I82,T!$X176:$X192,T!$U176:$U192),IF(AND(I51="4E4",OR(I53=2,I53=4,I53=6),I55="AC"),LOOKUP(I82,T!$X176:$X192,T!$V176:$V192),IF(AND(I51="4E4",OR(I53=3,I53=5,I53=7),I55="AC"),LOOKUP(I82,T!$X176:$X192,T!$W176:$W192),0)))))))))))))))))))),IF(ISNUMBER(SEARCH("4F",I51)),IF(AND(I51="4F1",I53=2,I55="DC"),LOOKUP(I82,T!$Z198:$Z214,T!$U198:$U214),IF(AND(I51="4F1",I53=2,I55="AC"),LOOKUP(I82,T!$Z198:$Z214,T!$V198:$V214),IF(AND(I51="4F1",I53=3,I55="AC"),LOOKUP(I82,T!$Z198:$Z214,T!$W198:$W214),IF(AND(I51="4F1",I53=4,I55="DC"),LOOKUP(I82,T!$Z198:$Z214,T!$X198:$X214),IF(AND(I51="4F1",I53=4,I55="AC"),LOOKUP(I82,T!$Z198:$Z214,T!$Y198:$Y214),IF(AND(I51="4F2",I53=2,I55="DC"),LOOKUP(I82,T!$Y220:$Y236,T!$U220:$U236),IF(AND(I51="4F2",I53=2,I55="AC"),LOOKUP(I82,T!$Y220:$Y236,T!$V220:$V236),IF(AND(I51="4F2",I53=3,I55="AC"),LOOKUP(I82,T!$Y220:$Y236,T!$W220:$W236),IF(AND(I51="4F2",I53=4,I55="DC"),LOOKUP(I82,T!$Y220:$Y236,T!$X220:$X236),IF(AND(I51="4F3",I53=2),LOOKUP(I82,T!$W242:$W248,T!$U242:$U248),IF(AND(I51="4F3",I53=3,I55="AC"),LOOKUP(I82,T!$W242:$W248,T!$V242:$V248),0))))))))))),IF(ISNUMBER(SEARCH("4G",I51)),IF(AND(I51="4G1",OR(I53=2,I53=5)),LOOKUP(I82,T!$AA254:$AA269,T!$U254:$U269),IF(AND(I51="4G1",OR(I53=3,I53=6)),LOOKUP(I82,T!$AA254:$AA269,T!$X254:$X269),IF(AND(I51="4G1",OR(I53=4,I53=7)),LOOKUP(I82,T!$AA254:$AA269,T!$Y254:$Y269),IF(AND(I51="4G1",OR(I53=8,I53=9)),LOOKUP(I82,T!$AA254:$AA269,T!$Z254:$Z269),IF(AND(I51="4G2",OR(I53=2,I53=5)),LOOKUP(I82,T!$AA281:$AA296,T!$U281:$U296),IF(AND(I51="4G2",OR(I53=3,I53=6)),LOOKUP(I82,T!$AA281:$AA296,T!$X281:$X296),IF(AND(I51="4G2",OR(I53=4,I53=7)),LOOKUP(I82,T!$AA281:$AA296,T!$Y281:$Y296),IF(AND(I51="4G2",OR(I53=8,I53=9)),LOOKUP(I82,T!$AA281:$AA296,T!$Z281:$Z296),0)))))))),0)))))*I23*I69)/1000))</f>
        <v>0</v>
      </c>
      <c r="J96" s="163">
        <f>IF(J29="","",IF(OR(COUNT(J19:J21)=3,COUNT(J19:J21)=1),(IF(J29="",0,IF(ISNUMBER(SEARCH("4D",J51)),IF(AND(J51="4D1",OR(J53=2,J53=4,J53=6,J53=8,J53=11),J55="DC"),LOOKUP(J82,T!$AC6:$AC27,T!$U6:$U27),IF(AND(J51="4D1",OR(J53=2,J53=4),J55="AC"),LOOKUP(J82,T!$AC6:$AC27,T!$V6:$V27),IF(AND(J51="4D1",OR(J53=6,J53=8),J55="AC"),LOOKUP(J82,T!$AC6:$AC27,T!$W6:$W27),IF(AND(J51="4D1",OR(J53=11,J53=12),J55="AC",J57=1),LOOKUP(J82,T!$AC6:$AC27,T!$X6:$X27),IF(AND(J51="4D1",OR(J53=3,J53=5),J55="AC"),LOOKUP(J82,T!$AC6:$AC27,T!$Y6:$Y27),IF(AND(J51="4D1",OR(J53=7,J53=10),J55="AC"),LOOKUP(J82,T!$AC6:$AC27,T!$Z6:$Z27),IF(AND(J51="4D1",J53=9,J55="AC"),LOOKUP(J82,T!$AC6:$AC27,T!$AA6:$AA27),IF(AND(J51="4D1",OR(J53=11,J53=12),J55="AC",J57=3),LOOKUP(J82,T!$AC13:$AC27,T!$AB13:$AB27),IF(AND(J51="4D2",OR(J53=2,J53=4,J53=6,J53=8),J55="DC"),LOOKUP(J82,T!$X33:$X50,T!$U33:$U50),IF(AND(J51="4D2",OR(J53=2,J53=4,J53=6,J53=8),J55="AC"),LOOKUP(J82,T!$X33:$X50,T!$V33:$V50),IF(AND(J51="4D2",OR(J53=3,J53=5,J53=7,J53=9),J55="AC"),LOOKUP(J82,T!$X33:$X50,T!$W33:$W50),IF(AND(J51="4D3",OR(J53=2,J53=4,J53=7,J53=8),J55="DC"),LOOKUP(J82,T!$AA56:$AA68,T!$U56:$U68),IF(AND(J51="4D3",OR(J53=2,J53=4),J55="AC"),LOOKUP(J82,T!$AA56:$AA68,T!$V56:$V68),IF(AND(J51="4D3",OR(J53=9,J53=10),J55="AC"),LOOKUP(J82,T!$AA56:$AA$68,T!$W56:$W68),IF(AND(J51="4D3",J53=6,J55="AC"),LOOKUP(J82,T!$AA56:$AA68,T!$X56:$X68),IF(AND(J51="4D3",OR(J53=3,J53=5),J55="AC"),LOOKUP(J82,T!$AA56:$AA68,T!$Y56:$Y68),IF(AND(J51="4D3",OR(J53=11,J53=12),J55="AC"),LOOKUP(J82,T!$AA56:$AA68,T!$Z56:$Z68),IF(AND(J51="4D4",OR(J53=2,J53=4,J53=6),J55="DC"),LOOKUP(J82,T!$X74:$X90,T!$U74:$U90),IF(AND(J51="4D4",OR(J53=2,J53=4,J53=6),J55="AC"),LOOKUP(J82,T!$X74:$X90,T!$V74:$V90),IF(AND(J51="4D4",OR(J53=3,J53=5,J53=7),J55="AC"),LOOKUP(J82,T!$X74:$X90,T!$W74:$W90),IF(AND(J51="4D5",AND(J53&gt;=2,J53&lt;=7)),LOOKUP(J82,T!$I96:$I102,T!$H96:$H102),0))))))))))))))))))))),IF(ISNUMBER(SEARCH("4E",J51)),IF(AND(J51="4E1",OR(J53=2,J53=4,J53=6,J53=8,J53=11),J55="DC"),LOOKUP(J82,T!$AC108:$AC129,T!$U108:$U129),IF(AND(J51="4E1",OR(J53=2,J53=4),J55="AC"),LOOKUP(J82,T!$AC108:$AC129,T!$V108:$V129),IF(AND(J51="4E1",OR(J53=6,J53=8),J55="AC"),LOOKUP(J82,T!$AC108:$AC129,T!$W108:$W129),IF(AND(J51="4E1",OR(J53=11,J53=12),J55="AC",J57=1),LOOKUP(J82,T!$AC108:$AC127,T!$X108:$X129),IF(AND(J51="4E1",OR(J53=3,J53=5),J55="AC"),LOOKUP(J82,T!$AC108:$AC129,T!$Y108:$Y129),IF(AND(J51="4E1",OR(J53=7,J53=10),J55="AC"),LOOKUP(J82,T!$AC108:$AC129,T!$Z108:$Z129),IF(AND(J51="4E1",J53=9,J55="AC"),LOOKUP(J82,T!$AC115:$AC129,T!$AA115:$AA129),IF(AND(J51="4E1",OR(J53=11,J53=12),J55="AC",J57=3),LOOKUP(J82,T!$AC115:$AC129,T!$AB115:$AB129),IF(AND(J51="4E2",OR(J53=2,J53=4,J53=6,J53=8),J55="DC"),LOOKUP(J82,T!$X134:$X152,T!$U134:$U152),IF(AND(J51="4E2",OR(J53=2,J53=4,J53=6,J53=8),J55="AC"),LOOKUP(J82,T!$X134:$X152,T!$V134:$V152),IF(AND(J51="4E2",OR(J53=3,J53=5,J53=7,J53=9),J55="AC"),LOOKUP(J82,T!$X134:$X152,T!$W134:$W152),IF(AND(J51="4E3",OR(J53=2,J53=4,J53=7,J53=8),J55="DC"),LOOKUP(J82,T!$AA158:$AA170,T!$U158:$U170),IF(AND(J51="4E3",OR(J53=2,J53=4),J55="AC"),LOOKUP(J82,T!$AA158:$AA170,T!$V158:$V170),IF(AND(J51="4E3",OR(J53=9,J53=10),J55="AC"),LOOKUP(J82,T!$AA158:$AA170,T!$W158:$W170),IF(AND(J51="4E3",J53=6,J55="AC"),LOOKUP(J82,T!$AA158:$AA170,T!$X158:$X170),IF(AND(J51="4E3",OR(J53=3,J53=5),J55="AC"),LOOKUP(J82,T!$AA158:$AA170,T!$Y158:$Y170),IF(AND(J51="4E3",OR(J53=11,J53=12),J55="AC"),LOOKUP(J82,T!$AA158:$AA170,T!$Z158:$Z170),IF(AND(J51="4E4",OR(J53=2,J53=4,J53=6),J55="DC"),LOOKUP(J82,T!$X176:$X192,T!$U176:$U192),IF(AND(J51="4E4",OR(J53=2,J53=4,J53=6),J55="AC"),LOOKUP(J82,T!$X176:$X192,T!$V176:$V192),IF(AND(J51="4E4",OR(J53=3,J53=5,J53=7),J55="AC"),LOOKUP(J82,T!$X176:$X192,T!$W176:$W192),0)))))))))))))))))))),IF(ISNUMBER(SEARCH("4F",J51)),IF(AND(J51="4F1",J53=2,J55="DC"),LOOKUP(J82,T!$Z198:$Z214,T!$U198:$U214),IF(AND(J51="4F1",J53=2,J55="AC"),LOOKUP(J82,T!$Z198:$Z214,T!$V198:$V214),IF(AND(J51="4F1",J53=3,J55="AC"),LOOKUP(J82,T!$Z198:$Z214,T!$W198:$W214),IF(AND(J51="4F1",J53=4,J55="DC"),LOOKUP(J82,T!$Z198:$Z214,T!$X198:$X214),IF(AND(J51="4F1",J53=4,J55="AC"),LOOKUP(J82,T!$Z198:$Z214,T!$Y198:$Y214),IF(AND(J51="4F2",J53=2,J55="DC"),LOOKUP(J82,T!$Y220:$Y236,T!$U220:$U236),IF(AND(J51="4F2",J53=2,J55="AC"),LOOKUP(J82,T!$Y220:$Y236,T!$V220:$V236),IF(AND(J51="4F2",J53=3,J55="AC"),LOOKUP(J82,T!$Y220:$Y236,T!$W220:$W236),IF(AND(J51="4F2",J53=4,J55="DC"),LOOKUP(J82,T!$Y220:$Y236,T!$X220:$X236),IF(AND(J51="4F3",J53=2),LOOKUP(J82,T!$W242:$W248,T!$U242:$U248),IF(AND(J51="4F3",J53=3,J55="AC"),LOOKUP(J82,T!$W242:$W248,T!$V242:$V248),0))))))))))),IF(ISNUMBER(SEARCH("4G",J51)),IF(AND(J51="4G1",OR(J53=2,J53=5)),LOOKUP(J82,T!$AA254:$AA269,T!$U254:$U269),IF(AND(J51="4G1",OR(J53=3,J53=6)),LOOKUP(J82,T!$AA254:$AA269,T!$X254:$X269),IF(AND(J51="4G1",OR(J53=4,J53=7)),LOOKUP(J82,T!$AA254:$AA269,T!$Y254:$Y269),IF(AND(J51="4G1",OR(J53=8,J53=9)),LOOKUP(J82,T!$AA254:$AA269,T!$Z254:$Z269),IF(AND(J51="4G2",OR(J53=2,J53=5)),LOOKUP(J82,T!$AA281:$AA296,T!$U281:$U296),IF(AND(J51="4G2",OR(J53=3,J53=6)),LOOKUP(J82,T!$AA281:$AA296,T!$X281:$X296),IF(AND(J51="4G2",OR(J53=4,J53=7)),LOOKUP(J82,T!$AA281:$AA296,T!$Y281:$Y296),IF(AND(J51="4G2",OR(J53=8,J53=9)),LOOKUP(J82,T!$AA281:$AA296,T!$Z281:$Z296),0)))))))),0)))))*J23*J69)/1000))</f>
        <v>14.322916666666668</v>
      </c>
      <c r="K96" s="163">
        <f>IF(K29="","",IF(OR(COUNT(K19:K21)=3,COUNT(K19:K21)=1),(IF(K29="",0,IF(ISNUMBER(SEARCH("4D",K51)),IF(AND(K51="4D1",OR(K53=2,K53=4,K53=6,K53=8,K53=11),K55="DC"),LOOKUP(K82,T!$AC6:$AC27,T!$U6:$U27),IF(AND(K51="4D1",OR(K53=2,K53=4),K55="AC"),LOOKUP(K82,T!$AC6:$AC27,T!$V6:$V27),IF(AND(K51="4D1",OR(K53=6,K53=8),K55="AC"),LOOKUP(K82,T!$AC6:$AC27,T!$W6:$W27),IF(AND(K51="4D1",OR(K53=11,K53=12),K55="AC",K57=1),LOOKUP(K82,T!$AC6:$AC27,T!$X6:$X27),IF(AND(K51="4D1",OR(K53=3,K53=5),K55="AC"),LOOKUP(K82,T!$AC6:$AC27,T!$Y6:$Y27),IF(AND(K51="4D1",OR(K53=7,K53=10),K55="AC"),LOOKUP(K82,T!$AC6:$AC27,T!$Z6:$Z27),IF(AND(K51="4D1",K53=9,K55="AC"),LOOKUP(K82,T!$AC6:$AC27,T!$AA6:$AA27),IF(AND(K51="4D1",OR(K53=11,K53=12),K55="AC",K57=3),LOOKUP(K82,T!$AC13:$AC27,T!$AB13:$AB27),IF(AND(K51="4D2",OR(K53=2,K53=4,K53=6,K53=8),K55="DC"),LOOKUP(K82,T!$X33:$X50,T!$U33:$U50),IF(AND(K51="4D2",OR(K53=2,K53=4,K53=6,K53=8),K55="AC"),LOOKUP(K82,T!$X33:$X50,T!$V33:$V50),IF(AND(K51="4D2",OR(K53=3,K53=5,K53=7,K53=9),K55="AC"),LOOKUP(K82,T!$X33:$X50,T!$W33:$W50),IF(AND(K51="4D3",OR(K53=2,K53=4,K53=7,K53=8),K55="DC"),LOOKUP(K82,T!$AA56:$AA68,T!$U56:$U68),IF(AND(K51="4D3",OR(K53=2,K53=4),K55="AC"),LOOKUP(K82,T!$AA56:$AA68,T!$V56:$V68),IF(AND(K51="4D3",OR(K53=9,K53=10),K55="AC"),LOOKUP(K82,T!$AA56:$AA$68,T!$W56:$W68),IF(AND(K51="4D3",K53=6,K55="AC"),LOOKUP(K82,T!$AA56:$AA68,T!$X56:$X68),IF(AND(K51="4D3",OR(K53=3,K53=5),K55="AC"),LOOKUP(K82,T!$AA56:$AA68,T!$Y56:$Y68),IF(AND(K51="4D3",OR(K53=11,K53=12),K55="AC"),LOOKUP(K82,T!$AA56:$AA68,T!$Z56:$Z68),IF(AND(K51="4D4",OR(K53=2,K53=4,K53=6),K55="DC"),LOOKUP(K82,T!$X74:$X90,T!$U74:$U90),IF(AND(K51="4D4",OR(K53=2,K53=4,K53=6),K55="AC"),LOOKUP(K82,T!$X74:$X90,T!$V74:$V90),IF(AND(K51="4D4",OR(K53=3,K53=5,K53=7),K55="AC"),LOOKUP(K82,T!$X74:$X90,T!$W74:$W90),IF(AND(K51="4D5",AND(K53&gt;=2,K53&lt;=7)),LOOKUP(K82,T!$I96:$I102,T!$H96:$H102),0))))))))))))))))))))),IF(ISNUMBER(SEARCH("4E",K51)),IF(AND(K51="4E1",OR(K53=2,K53=4,K53=6,K53=8,K53=11),K55="DC"),LOOKUP(K82,T!$AC108:$AC129,T!$U108:$U129),IF(AND(K51="4E1",OR(K53=2,K53=4),K55="AC"),LOOKUP(K82,T!$AC108:$AC129,T!$V108:$V129),IF(AND(K51="4E1",OR(K53=6,K53=8),K55="AC"),LOOKUP(K82,T!$AC108:$AC129,T!$W108:$W129),IF(AND(K51="4E1",OR(K53=11,K53=12),K55="AC",K57=1),LOOKUP(K82,T!$AC108:$AC127,T!$X108:$X129),IF(AND(K51="4E1",OR(K53=3,K53=5),K55="AC"),LOOKUP(K82,T!$AC108:$AC129,T!$Y108:$Y129),IF(AND(K51="4E1",OR(K53=7,K53=10),K55="AC"),LOOKUP(K82,T!$AC108:$AC129,T!$Z108:$Z129),IF(AND(K51="4E1",K53=9,K55="AC"),LOOKUP(K82,T!$AC115:$AC129,T!$AA115:$AA129),IF(AND(K51="4E1",OR(K53=11,K53=12),K55="AC",K57=3),LOOKUP(K82,T!$AC115:$AC129,T!$AB115:$AB129),IF(AND(K51="4E2",OR(K53=2,K53=4,K53=6,K53=8),K55="DC"),LOOKUP(K82,T!$X134:$X152,T!$U134:$U152),IF(AND(K51="4E2",OR(K53=2,K53=4,K53=6,K53=8),K55="AC"),LOOKUP(K82,T!$X134:$X152,T!$V134:$V152),IF(AND(K51="4E2",OR(K53=3,K53=5,K53=7,K53=9),K55="AC"),LOOKUP(K82,T!$X134:$X152,T!$W134:$W152),IF(AND(K51="4E3",OR(K53=2,K53=4,K53=7,K53=8),K55="DC"),LOOKUP(K82,T!$AA158:$AA170,T!$U158:$U170),IF(AND(K51="4E3",OR(K53=2,K53=4),K55="AC"),LOOKUP(K82,T!$AA158:$AA170,T!$V158:$V170),IF(AND(K51="4E3",OR(K53=9,K53=10),K55="AC"),LOOKUP(K82,T!$AA158:$AA170,T!$W158:$W170),IF(AND(K51="4E3",K53=6,K55="AC"),LOOKUP(K82,T!$AA158:$AA170,T!$X158:$X170),IF(AND(K51="4E3",OR(K53=3,K53=5),K55="AC"),LOOKUP(K82,T!$AA158:$AA170,T!$Y158:$Y170),IF(AND(K51="4E3",OR(K53=11,K53=12),K55="AC"),LOOKUP(K82,T!$AA158:$AA170,T!$Z158:$Z170),IF(AND(K51="4E4",OR(K53=2,K53=4,K53=6),K55="DC"),LOOKUP(K82,T!$X176:$X192,T!$U176:$U192),IF(AND(K51="4E4",OR(K53=2,K53=4,K53=6),K55="AC"),LOOKUP(K82,T!$X176:$X192,T!$V176:$V192),IF(AND(K51="4E4",OR(K53=3,K53=5,K53=7),K55="AC"),LOOKUP(K82,T!$X176:$X192,T!$W176:$W192),0)))))))))))))))))))),IF(ISNUMBER(SEARCH("4F",K51)),IF(AND(K51="4F1",K53=2,K55="DC"),LOOKUP(K82,T!$Z198:$Z214,T!$U198:$U214),IF(AND(K51="4F1",K53=2,K55="AC"),LOOKUP(K82,T!$Z198:$Z214,T!$V198:$V214),IF(AND(K51="4F1",K53=3,K55="AC"),LOOKUP(K82,T!$Z198:$Z214,T!$W198:$W214),IF(AND(K51="4F1",K53=4,K55="DC"),LOOKUP(K82,T!$Z198:$Z214,T!$X198:$X214),IF(AND(K51="4F1",K53=4,K55="AC"),LOOKUP(K82,T!$Z198:$Z214,T!$Y198:$Y214),IF(AND(K51="4F2",K53=2,K55="DC"),LOOKUP(K82,T!$Y220:$Y236,T!$U220:$U236),IF(AND(K51="4F2",K53=2,K55="AC"),LOOKUP(K82,T!$Y220:$Y236,T!$V220:$V236),IF(AND(K51="4F2",K53=3,K55="AC"),LOOKUP(K82,T!$Y220:$Y236,T!$W220:$W236),IF(AND(K51="4F2",K53=4,K55="DC"),LOOKUP(K82,T!$Y220:$Y236,T!$X220:$X236),IF(AND(K51="4F3",K53=2),LOOKUP(K82,T!$W242:$W248,T!$U242:$U248),IF(AND(K51="4F3",K53=3,K55="AC"),LOOKUP(K82,T!$W242:$W248,T!$V242:$V248),0))))))))))),IF(ISNUMBER(SEARCH("4G",K51)),IF(AND(K51="4G1",OR(K53=2,K53=5)),LOOKUP(K82,T!$AA254:$AA269,T!$U254:$U269),IF(AND(K51="4G1",OR(K53=3,K53=6)),LOOKUP(K82,T!$AA254:$AA269,T!$X254:$X269),IF(AND(K51="4G1",OR(K53=4,K53=7)),LOOKUP(K82,T!$AA254:$AA269,T!$Y254:$Y269),IF(AND(K51="4G1",OR(K53=8,K53=9)),LOOKUP(K82,T!$AA254:$AA269,T!$Z254:$Z269),IF(AND(K51="4G2",OR(K53=2,K53=5)),LOOKUP(K82,T!$AA281:$AA296,T!$U281:$U296),IF(AND(K51="4G2",OR(K53=3,K53=6)),LOOKUP(K82,T!$AA281:$AA296,T!$X281:$X296),IF(AND(K51="4G2",OR(K53=4,K53=7)),LOOKUP(K82,T!$AA281:$AA296,T!$Y281:$Y296),IF(AND(K51="4G2",OR(K53=8,K53=9)),LOOKUP(K82,T!$AA281:$AA296,T!$Z281:$Z296),0)))))))),0)))))*K23*K69)/1000))</f>
        <v>7.4698199999999986</v>
      </c>
      <c r="L96" s="163">
        <f>IF(L29="","",IF(OR(COUNT(L19:L21)=3,COUNT(L19:L21)=1),(IF(L29="",0,IF(ISNUMBER(SEARCH("4D",L51)),IF(AND(L51="4D1",OR(L53=2,L53=4,L53=6,L53=8,L53=11),L55="DC"),LOOKUP(L82,T!$AC6:$AC27,T!$U6:$U27),IF(AND(L51="4D1",OR(L53=2,L53=4),L55="AC"),LOOKUP(L82,T!$AC6:$AC27,T!$V6:$V27),IF(AND(L51="4D1",OR(L53=6,L53=8),L55="AC"),LOOKUP(L82,T!$AC6:$AC27,T!$W6:$W27),IF(AND(L51="4D1",OR(L53=11,L53=12),L55="AC",L57=1),LOOKUP(L82,T!$AC6:$AC27,T!$X6:$X27),IF(AND(L51="4D1",OR(L53=3,L53=5),L55="AC"),LOOKUP(L82,T!$AC6:$AC27,T!$Y6:$Y27),IF(AND(L51="4D1",OR(L53=7,L53=10),L55="AC"),LOOKUP(L82,T!$AC6:$AC27,T!$Z6:$Z27),IF(AND(L51="4D1",L53=9,L55="AC"),LOOKUP(L82,T!$AC6:$AC27,T!$AA6:$AA27),IF(AND(L51="4D1",OR(L53=11,L53=12),L55="AC",L57=3),LOOKUP(L82,T!$AC13:$AC27,T!$AB13:$AB27),IF(AND(L51="4D2",OR(L53=2,L53=4,L53=6,L53=8),L55="DC"),LOOKUP(L82,T!$X33:$X50,T!$U33:$U50),IF(AND(L51="4D2",OR(L53=2,L53=4,L53=6,L53=8),L55="AC"),LOOKUP(L82,T!$X33:$X50,T!$V33:$V50),IF(AND(L51="4D2",OR(L53=3,L53=5,L53=7,L53=9),L55="AC"),LOOKUP(L82,T!$X33:$X50,T!$W33:$W50),IF(AND(L51="4D3",OR(L53=2,L53=4,L53=7,L53=8),L55="DC"),LOOKUP(L82,T!$AA56:$AA68,T!$U56:$U68),IF(AND(L51="4D3",OR(L53=2,L53=4),L55="AC"),LOOKUP(L82,T!$AA56:$AA68,T!$V56:$V68),IF(AND(L51="4D3",OR(L53=9,L53=10),L55="AC"),LOOKUP(L82,T!$AA56:$AA$68,T!$W56:$W68),IF(AND(L51="4D3",L53=6,L55="AC"),LOOKUP(L82,T!$AA56:$AA68,T!$X56:$X68),IF(AND(L51="4D3",OR(L53=3,L53=5),L55="AC"),LOOKUP(L82,T!$AA56:$AA68,T!$Y56:$Y68),IF(AND(L51="4D3",OR(L53=11,L53=12),L55="AC"),LOOKUP(L82,T!$AA56:$AA68,T!$Z56:$Z68),IF(AND(L51="4D4",OR(L53=2,L53=4,L53=6),L55="DC"),LOOKUP(L82,T!$X74:$X90,T!$U74:$U90),IF(AND(L51="4D4",OR(L53=2,L53=4,L53=6),L55="AC"),LOOKUP(L82,T!$X74:$X90,T!$V74:$V90),IF(AND(L51="4D4",OR(L53=3,L53=5,L53=7),L55="AC"),LOOKUP(L82,T!$X74:$X90,T!$W74:$W90),IF(AND(L51="4D5",AND(L53&gt;=2,L53&lt;=7)),LOOKUP(L82,T!$I96:$I102,T!$H96:$H102),0))))))))))))))))))))),IF(ISNUMBER(SEARCH("4E",L51)),IF(AND(L51="4E1",OR(L53=2,L53=4,L53=6,L53=8,L53=11),L55="DC"),LOOKUP(L82,T!$AC108:$AC129,T!$U108:$U129),IF(AND(L51="4E1",OR(L53=2,L53=4),L55="AC"),LOOKUP(L82,T!$AC108:$AC129,T!$V108:$V129),IF(AND(L51="4E1",OR(L53=6,L53=8),L55="AC"),LOOKUP(L82,T!$AC108:$AC129,T!$W108:$W129),IF(AND(L51="4E1",OR(L53=11,L53=12),L55="AC",L57=1),LOOKUP(L82,T!$AC108:$AC127,T!$X108:$X129),IF(AND(L51="4E1",OR(L53=3,L53=5),L55="AC"),LOOKUP(L82,T!$AC108:$AC129,T!$Y108:$Y129),IF(AND(L51="4E1",OR(L53=7,L53=10),L55="AC"),LOOKUP(L82,T!$AC108:$AC129,T!$Z108:$Z129),IF(AND(L51="4E1",L53=9,L55="AC"),LOOKUP(L82,T!$AC115:$AC129,T!$AA115:$AA129),IF(AND(L51="4E1",OR(L53=11,L53=12),L55="AC",L57=3),LOOKUP(L82,T!$AC115:$AC129,T!$AB115:$AB129),IF(AND(L51="4E2",OR(L53=2,L53=4,L53=6,L53=8),L55="DC"),LOOKUP(L82,T!$X134:$X152,T!$U134:$U152),IF(AND(L51="4E2",OR(L53=2,L53=4,L53=6,L53=8),L55="AC"),LOOKUP(L82,T!$X134:$X152,T!$V134:$V152),IF(AND(L51="4E2",OR(L53=3,L53=5,L53=7,L53=9),L55="AC"),LOOKUP(L82,T!$X134:$X152,T!$W134:$W152),IF(AND(L51="4E3",OR(L53=2,L53=4,L53=7,L53=8),L55="DC"),LOOKUP(L82,T!$AA158:$AA170,T!$U158:$U170),IF(AND(L51="4E3",OR(L53=2,L53=4),L55="AC"),LOOKUP(L82,T!$AA158:$AA170,T!$V158:$V170),IF(AND(L51="4E3",OR(L53=9,L53=10),L55="AC"),LOOKUP(L82,T!$AA158:$AA170,T!$W158:$W170),IF(AND(L51="4E3",L53=6,L55="AC"),LOOKUP(L82,T!$AA158:$AA170,T!$X158:$X170),IF(AND(L51="4E3",OR(L53=3,L53=5),L55="AC"),LOOKUP(L82,T!$AA158:$AA170,T!$Y158:$Y170),IF(AND(L51="4E3",OR(L53=11,L53=12),L55="AC"),LOOKUP(L82,T!$AA158:$AA170,T!$Z158:$Z170),IF(AND(L51="4E4",OR(L53=2,L53=4,L53=6),L55="DC"),LOOKUP(L82,T!$X176:$X192,T!$U176:$U192),IF(AND(L51="4E4",OR(L53=2,L53=4,L53=6),L55="AC"),LOOKUP(L82,T!$X176:$X192,T!$V176:$V192),IF(AND(L51="4E4",OR(L53=3,L53=5,L53=7),L55="AC"),LOOKUP(L82,T!$X176:$X192,T!$W176:$W192),0)))))))))))))))))))),IF(ISNUMBER(SEARCH("4F",L51)),IF(AND(L51="4F1",L53=2,L55="DC"),LOOKUP(L82,T!$Z198:$Z214,T!$U198:$U214),IF(AND(L51="4F1",L53=2,L55="AC"),LOOKUP(L82,T!$Z198:$Z214,T!$V198:$V214),IF(AND(L51="4F1",L53=3,L55="AC"),LOOKUP(L82,T!$Z198:$Z214,T!$W198:$W214),IF(AND(L51="4F1",L53=4,L55="DC"),LOOKUP(L82,T!$Z198:$Z214,T!$X198:$X214),IF(AND(L51="4F1",L53=4,L55="AC"),LOOKUP(L82,T!$Z198:$Z214,T!$Y198:$Y214),IF(AND(L51="4F2",L53=2,L55="DC"),LOOKUP(L82,T!$Y220:$Y236,T!$U220:$U236),IF(AND(L51="4F2",L53=2,L55="AC"),LOOKUP(L82,T!$Y220:$Y236,T!$V220:$V236),IF(AND(L51="4F2",L53=3,L55="AC"),LOOKUP(L82,T!$Y220:$Y236,T!$W220:$W236),IF(AND(L51="4F2",L53=4,L55="DC"),LOOKUP(L82,T!$Y220:$Y236,T!$X220:$X236),IF(AND(L51="4F3",L53=2),LOOKUP(L82,T!$W242:$W248,T!$U242:$U248),IF(AND(L51="4F3",L53=3,L55="AC"),LOOKUP(L82,T!$W242:$W248,T!$V242:$V248),0))))))))))),IF(ISNUMBER(SEARCH("4G",L51)),IF(AND(L51="4G1",OR(L53=2,L53=5)),LOOKUP(L82,T!$AA254:$AA269,T!$U254:$U269),IF(AND(L51="4G1",OR(L53=3,L53=6)),LOOKUP(L82,T!$AA254:$AA269,T!$X254:$X269),IF(AND(L51="4G1",OR(L53=4,L53=7)),LOOKUP(L82,T!$AA254:$AA269,T!$Y254:$Y269),IF(AND(L51="4G1",OR(L53=8,L53=9)),LOOKUP(L82,T!$AA254:$AA269,T!$Z254:$Z269),IF(AND(L51="4G2",OR(L53=2,L53=5)),LOOKUP(L82,T!$AA281:$AA296,T!$U281:$U296),IF(AND(L51="4G2",OR(L53=3,L53=6)),LOOKUP(L82,T!$AA281:$AA296,T!$X281:$X296),IF(AND(L51="4G2",OR(L53=4,L53=7)),LOOKUP(L82,T!$AA281:$AA296,T!$Y281:$Y296),IF(AND(L51="4G2",OR(L53=8,L53=9)),LOOKUP(L82,T!$AA281:$AA296,T!$Z281:$Z296),0)))))))),0)))))*L23*L69)/1000))</f>
        <v>7.4698199999999986</v>
      </c>
      <c r="M96" s="163" t="str">
        <f>IF(M29="","",IF(OR(COUNT(M19:M21)=3,COUNT(M19:M21)=1),(IF(M29="",0,IF(ISNUMBER(SEARCH("4D",M51)),IF(AND(M51="4D1",OR(M53=2,M53=4,M53=6,M53=8,M53=11),M55="DC"),LOOKUP(M82,T!$AC6:$AC27,T!$U6:$U27),IF(AND(M51="4D1",OR(M53=2,M53=4),M55="AC"),LOOKUP(M82,T!$AC6:$AC27,T!$V6:$V27),IF(AND(M51="4D1",OR(M53=6,M53=8),M55="AC"),LOOKUP(M82,T!$AC6:$AC27,T!$W6:$W27),IF(AND(M51="4D1",OR(M53=11,M53=12),M55="AC",M57=1),LOOKUP(M82,T!$AC6:$AC27,T!$X6:$X27),IF(AND(M51="4D1",OR(M53=3,M53=5),M55="AC"),LOOKUP(M82,T!$AC6:$AC27,T!$Y6:$Y27),IF(AND(M51="4D1",OR(M53=7,M53=10),M55="AC"),LOOKUP(M82,T!$AC6:$AC27,T!$Z6:$Z27),IF(AND(M51="4D1",M53=9,M55="AC"),LOOKUP(M82,T!$AC6:$AC27,T!$AA6:$AA27),IF(AND(M51="4D1",OR(M53=11,M53=12),M55="AC",M57=3),LOOKUP(M82,T!$AC13:$AC27,T!$AB13:$AB27),IF(AND(M51="4D2",OR(M53=2,M53=4,M53=6,M53=8),M55="DC"),LOOKUP(M82,T!$X33:$X50,T!$U33:$U50),IF(AND(M51="4D2",OR(M53=2,M53=4,M53=6,M53=8),M55="AC"),LOOKUP(M82,T!$X33:$X50,T!$V33:$V50),IF(AND(M51="4D2",OR(M53=3,M53=5,M53=7,M53=9),M55="AC"),LOOKUP(M82,T!$X33:$X50,T!$W33:$W50),IF(AND(M51="4D3",OR(M53=2,M53=4,M53=7,M53=8),M55="DC"),LOOKUP(M82,T!$AA56:$AA68,T!$U56:$U68),IF(AND(M51="4D3",OR(M53=2,M53=4),M55="AC"),LOOKUP(M82,T!$AA56:$AA68,T!$V56:$V68),IF(AND(M51="4D3",OR(M53=9,M53=10),M55="AC"),LOOKUP(M82,T!$AA56:$AA$68,T!$W56:$W68),IF(AND(M51="4D3",M53=6,M55="AC"),LOOKUP(M82,T!$AA56:$AA68,T!$X56:$X68),IF(AND(M51="4D3",OR(M53=3,M53=5),M55="AC"),LOOKUP(M82,T!$AA56:$AA68,T!$Y56:$Y68),IF(AND(M51="4D3",OR(M53=11,M53=12),M55="AC"),LOOKUP(M82,T!$AA56:$AA68,T!$Z56:$Z68),IF(AND(M51="4D4",OR(M53=2,M53=4,M53=6),M55="DC"),LOOKUP(M82,T!$X74:$X90,T!$U74:$U90),IF(AND(M51="4D4",OR(M53=2,M53=4,M53=6),M55="AC"),LOOKUP(M82,T!$X74:$X90,T!$V74:$V90),IF(AND(M51="4D4",OR(M53=3,M53=5,M53=7),M55="AC"),LOOKUP(M82,T!$X74:$X90,T!$W74:$W90),IF(AND(M51="4D5",AND(M53&gt;=2,M53&lt;=7)),LOOKUP(M82,T!$I96:$I102,T!$H96:$H102),0))))))))))))))))))))),IF(ISNUMBER(SEARCH("4E",M51)),IF(AND(M51="4E1",OR(M53=2,M53=4,M53=6,M53=8,M53=11),M55="DC"),LOOKUP(M82,T!$AC108:$AC129,T!$U108:$U129),IF(AND(M51="4E1",OR(M53=2,M53=4),M55="AC"),LOOKUP(M82,T!$AC108:$AC129,T!$V108:$V129),IF(AND(M51="4E1",OR(M53=6,M53=8),M55="AC"),LOOKUP(M82,T!$AC108:$AC129,T!$W108:$W129),IF(AND(M51="4E1",OR(M53=11,M53=12),M55="AC",M57=1),LOOKUP(M82,T!$AC108:$AC127,T!$X108:$X129),IF(AND(M51="4E1",OR(M53=3,M53=5),M55="AC"),LOOKUP(M82,T!$AC108:$AC129,T!$Y108:$Y129),IF(AND(M51="4E1",OR(M53=7,M53=10),M55="AC"),LOOKUP(M82,T!$AC108:$AC129,T!$Z108:$Z129),IF(AND(M51="4E1",M53=9,M55="AC"),LOOKUP(M82,T!$AC115:$AC129,T!$AA115:$AA129),IF(AND(M51="4E1",OR(M53=11,M53=12),M55="AC",M57=3),LOOKUP(M82,T!$AC115:$AC129,T!$AB115:$AB129),IF(AND(M51="4E2",OR(M53=2,M53=4,M53=6,M53=8),M55="DC"),LOOKUP(M82,T!$X134:$X152,T!$U134:$U152),IF(AND(M51="4E2",OR(M53=2,M53=4,M53=6,M53=8),M55="AC"),LOOKUP(M82,T!$X134:$X152,T!$V134:$V152),IF(AND(M51="4E2",OR(M53=3,M53=5,M53=7,M53=9),M55="AC"),LOOKUP(M82,T!$X134:$X152,T!$W134:$W152),IF(AND(M51="4E3",OR(M53=2,M53=4,M53=7,M53=8),M55="DC"),LOOKUP(M82,T!$AA158:$AA170,T!$U158:$U170),IF(AND(M51="4E3",OR(M53=2,M53=4),M55="AC"),LOOKUP(M82,T!$AA158:$AA170,T!$V158:$V170),IF(AND(M51="4E3",OR(M53=9,M53=10),M55="AC"),LOOKUP(M82,T!$AA158:$AA170,T!$W158:$W170),IF(AND(M51="4E3",M53=6,M55="AC"),LOOKUP(M82,T!$AA158:$AA170,T!$X158:$X170),IF(AND(M51="4E3",OR(M53=3,M53=5),M55="AC"),LOOKUP(M82,T!$AA158:$AA170,T!$Y158:$Y170),IF(AND(M51="4E3",OR(M53=11,M53=12),M55="AC"),LOOKUP(M82,T!$AA158:$AA170,T!$Z158:$Z170),IF(AND(M51="4E4",OR(M53=2,M53=4,M53=6),M55="DC"),LOOKUP(M82,T!$X176:$X192,T!$U176:$U192),IF(AND(M51="4E4",OR(M53=2,M53=4,M53=6),M55="AC"),LOOKUP(M82,T!$X176:$X192,T!$V176:$V192),IF(AND(M51="4E4",OR(M53=3,M53=5,M53=7),M55="AC"),LOOKUP(M82,T!$X176:$X192,T!$W176:$W192),0)))))))))))))))))))),IF(ISNUMBER(SEARCH("4F",M51)),IF(AND(M51="4F1",M53=2,M55="DC"),LOOKUP(M82,T!$Z198:$Z214,T!$U198:$U214),IF(AND(M51="4F1",M53=2,M55="AC"),LOOKUP(M82,T!$Z198:$Z214,T!$V198:$V214),IF(AND(M51="4F1",M53=3,M55="AC"),LOOKUP(M82,T!$Z198:$Z214,T!$W198:$W214),IF(AND(M51="4F1",M53=4,M55="DC"),LOOKUP(M82,T!$Z198:$Z214,T!$X198:$X214),IF(AND(M51="4F1",M53=4,M55="AC"),LOOKUP(M82,T!$Z198:$Z214,T!$Y198:$Y214),IF(AND(M51="4F2",M53=2,M55="DC"),LOOKUP(M82,T!$Y220:$Y236,T!$U220:$U236),IF(AND(M51="4F2",M53=2,M55="AC"),LOOKUP(M82,T!$Y220:$Y236,T!$V220:$V236),IF(AND(M51="4F2",M53=3,M55="AC"),LOOKUP(M82,T!$Y220:$Y236,T!$W220:$W236),IF(AND(M51="4F2",M53=4,M55="DC"),LOOKUP(M82,T!$Y220:$Y236,T!$X220:$X236),IF(AND(M51="4F3",M53=2),LOOKUP(M82,T!$W242:$W248,T!$U242:$U248),IF(AND(M51="4F3",M53=3,M55="AC"),LOOKUP(M82,T!$W242:$W248,T!$V242:$V248),0))))))))))),IF(ISNUMBER(SEARCH("4G",M51)),IF(AND(M51="4G1",OR(M53=2,M53=5)),LOOKUP(M82,T!$AA254:$AA269,T!$U254:$U269),IF(AND(M51="4G1",OR(M53=3,M53=6)),LOOKUP(M82,T!$AA254:$AA269,T!$X254:$X269),IF(AND(M51="4G1",OR(M53=4,M53=7)),LOOKUP(M82,T!$AA254:$AA269,T!$Y254:$Y269),IF(AND(M51="4G1",OR(M53=8,M53=9)),LOOKUP(M82,T!$AA254:$AA269,T!$Z254:$Z269),IF(AND(M51="4G2",OR(M53=2,M53=5)),LOOKUP(M82,T!$AA281:$AA296,T!$U281:$U296),IF(AND(M51="4G2",OR(M53=3,M53=6)),LOOKUP(M82,T!$AA281:$AA296,T!$X281:$X296),IF(AND(M51="4G2",OR(M53=4,M53=7)),LOOKUP(M82,T!$AA281:$AA296,T!$Y281:$Y296),IF(AND(M51="4G2",OR(M53=8,M53=9)),LOOKUP(M82,T!$AA281:$AA296,T!$Z281:$Z296),0)))))))),0)))))*M23*M69)/1000))</f>
        <v/>
      </c>
      <c r="N96" s="163">
        <f>IF(N29="","",IF(OR(COUNT(N19:N21)=3,COUNT(N19:N21)=1),(IF(N29="",0,IF(ISNUMBER(SEARCH("4D",N51)),IF(AND(N51="4D1",OR(N53=2,N53=4,N53=6,N53=8,N53=11),N55="DC"),LOOKUP(N82,T!$AC6:$AC27,T!$U6:$U27),IF(AND(N51="4D1",OR(N53=2,N53=4),N55="AC"),LOOKUP(N82,T!$AC6:$AC27,T!$V6:$V27),IF(AND(N51="4D1",OR(N53=6,N53=8),N55="AC"),LOOKUP(N82,T!$AC6:$AC27,T!$W6:$W27),IF(AND(N51="4D1",OR(N53=11,N53=12),N55="AC",N57=1),LOOKUP(N82,T!$AC6:$AC27,T!$X6:$X27),IF(AND(N51="4D1",OR(N53=3,N53=5),N55="AC"),LOOKUP(N82,T!$AC6:$AC27,T!$Y6:$Y27),IF(AND(N51="4D1",OR(N53=7,N53=10),N55="AC"),LOOKUP(N82,T!$AC6:$AC27,T!$Z6:$Z27),IF(AND(N51="4D1",N53=9,N55="AC"),LOOKUP(N82,T!$AC6:$AC27,T!$AA6:$AA27),IF(AND(N51="4D1",OR(N53=11,N53=12),N55="AC",N57=3),LOOKUP(N82,T!$AC13:$AC27,T!$AB13:$AB27),IF(AND(N51="4D2",OR(N53=2,N53=4,N53=6,N53=8),N55="DC"),LOOKUP(N82,T!$X33:$X50,T!$U33:$U50),IF(AND(N51="4D2",OR(N53=2,N53=4,N53=6,N53=8),N55="AC"),LOOKUP(N82,T!$X33:$X50,T!$V33:$V50),IF(AND(N51="4D2",OR(N53=3,N53=5,N53=7,N53=9),N55="AC"),LOOKUP(N82,T!$X33:$X50,T!$W33:$W50),IF(AND(N51="4D3",OR(N53=2,N53=4,N53=7,N53=8),N55="DC"),LOOKUP(N82,T!$AA56:$AA68,T!$U56:$U68),IF(AND(N51="4D3",OR(N53=2,N53=4),N55="AC"),LOOKUP(N82,T!$AA56:$AA68,T!$V56:$V68),IF(AND(N51="4D3",OR(N53=9,N53=10),N55="AC"),LOOKUP(N82,T!$AA56:$AA$68,T!$W56:$W68),IF(AND(N51="4D3",N53=6,N55="AC"),LOOKUP(N82,T!$AA56:$AA68,T!$X56:$X68),IF(AND(N51="4D3",OR(N53=3,N53=5),N55="AC"),LOOKUP(N82,T!$AA56:$AA68,T!$Y56:$Y68),IF(AND(N51="4D3",OR(N53=11,N53=12),N55="AC"),LOOKUP(N82,T!$AA56:$AA68,T!$Z56:$Z68),IF(AND(N51="4D4",OR(N53=2,N53=4,N53=6),N55="DC"),LOOKUP(N82,T!$X74:$X90,T!$U74:$U90),IF(AND(N51="4D4",OR(N53=2,N53=4,N53=6),N55="AC"),LOOKUP(N82,T!$X74:$X90,T!$V74:$V90),IF(AND(N51="4D4",OR(N53=3,N53=5,N53=7),N55="AC"),LOOKUP(N82,T!$X74:$X90,T!$W74:$W90),IF(AND(N51="4D5",AND(N53&gt;=2,N53&lt;=7)),LOOKUP(N82,T!$I96:$I102,T!$H96:$H102),0))))))))))))))))))))),IF(ISNUMBER(SEARCH("4E",N51)),IF(AND(N51="4E1",OR(N53=2,N53=4,N53=6,N53=8,N53=11),N55="DC"),LOOKUP(N82,T!$AC108:$AC129,T!$U108:$U129),IF(AND(N51="4E1",OR(N53=2,N53=4),N55="AC"),LOOKUP(N82,T!$AC108:$AC129,T!$V108:$V129),IF(AND(N51="4E1",OR(N53=6,N53=8),N55="AC"),LOOKUP(N82,T!$AC108:$AC129,T!$W108:$W129),IF(AND(N51="4E1",OR(N53=11,N53=12),N55="AC",N57=1),LOOKUP(N82,T!$AC108:$AC127,T!$X108:$X129),IF(AND(N51="4E1",OR(N53=3,N53=5),N55="AC"),LOOKUP(N82,T!$AC108:$AC129,T!$Y108:$Y129),IF(AND(N51="4E1",OR(N53=7,N53=10),N55="AC"),LOOKUP(N82,T!$AC108:$AC129,T!$Z108:$Z129),IF(AND(N51="4E1",N53=9,N55="AC"),LOOKUP(N82,T!$AC115:$AC129,T!$AA115:$AA129),IF(AND(N51="4E1",OR(N53=11,N53=12),N55="AC",N57=3),LOOKUP(N82,T!$AC115:$AC129,T!$AB115:$AB129),IF(AND(N51="4E2",OR(N53=2,N53=4,N53=6,N53=8),N55="DC"),LOOKUP(N82,T!$X134:$X152,T!$U134:$U152),IF(AND(N51="4E2",OR(N53=2,N53=4,N53=6,N53=8),N55="AC"),LOOKUP(N82,T!$X134:$X152,T!$V134:$V152),IF(AND(N51="4E2",OR(N53=3,N53=5,N53=7,N53=9),N55="AC"),LOOKUP(N82,T!$X134:$X152,T!$W134:$W152),IF(AND(N51="4E3",OR(N53=2,N53=4,N53=7,N53=8),N55="DC"),LOOKUP(N82,T!$AA158:$AA170,T!$U158:$U170),IF(AND(N51="4E3",OR(N53=2,N53=4),N55="AC"),LOOKUP(N82,T!$AA158:$AA170,T!$V158:$V170),IF(AND(N51="4E3",OR(N53=9,N53=10),N55="AC"),LOOKUP(N82,T!$AA158:$AA170,T!$W158:$W170),IF(AND(N51="4E3",N53=6,N55="AC"),LOOKUP(N82,T!$AA158:$AA170,T!$X158:$X170),IF(AND(N51="4E3",OR(N53=3,N53=5),N55="AC"),LOOKUP(N82,T!$AA158:$AA170,T!$Y158:$Y170),IF(AND(N51="4E3",OR(N53=11,N53=12),N55="AC"),LOOKUP(N82,T!$AA158:$AA170,T!$Z158:$Z170),IF(AND(N51="4E4",OR(N53=2,N53=4,N53=6),N55="DC"),LOOKUP(N82,T!$X176:$X192,T!$U176:$U192),IF(AND(N51="4E4",OR(N53=2,N53=4,N53=6),N55="AC"),LOOKUP(N82,T!$X176:$X192,T!$V176:$V192),IF(AND(N51="4E4",OR(N53=3,N53=5,N53=7),N55="AC"),LOOKUP(N82,T!$X176:$X192,T!$W176:$W192),0)))))))))))))))))))),IF(ISNUMBER(SEARCH("4F",N51)),IF(AND(N51="4F1",N53=2,N55="DC"),LOOKUP(N82,T!$Z198:$Z214,T!$U198:$U214),IF(AND(N51="4F1",N53=2,N55="AC"),LOOKUP(N82,T!$Z198:$Z214,T!$V198:$V214),IF(AND(N51="4F1",N53=3,N55="AC"),LOOKUP(N82,T!$Z198:$Z214,T!$W198:$W214),IF(AND(N51="4F1",N53=4,N55="DC"),LOOKUP(N82,T!$Z198:$Z214,T!$X198:$X214),IF(AND(N51="4F1",N53=4,N55="AC"),LOOKUP(N82,T!$Z198:$Z214,T!$Y198:$Y214),IF(AND(N51="4F2",N53=2,N55="DC"),LOOKUP(N82,T!$Y220:$Y236,T!$U220:$U236),IF(AND(N51="4F2",N53=2,N55="AC"),LOOKUP(N82,T!$Y220:$Y236,T!$V220:$V236),IF(AND(N51="4F2",N53=3,N55="AC"),LOOKUP(N82,T!$Y220:$Y236,T!$W220:$W236),IF(AND(N51="4F2",N53=4,N55="DC"),LOOKUP(N82,T!$Y220:$Y236,T!$X220:$X236),IF(AND(N51="4F3",N53=2),LOOKUP(N82,T!$W242:$W248,T!$U242:$U248),IF(AND(N51="4F3",N53=3,N55="AC"),LOOKUP(N82,T!$W242:$W248,T!$V242:$V248),0))))))))))),IF(ISNUMBER(SEARCH("4G",N51)),IF(AND(N51="4G1",OR(N53=2,N53=5)),LOOKUP(N82,T!$AA254:$AA269,T!$U254:$U269),IF(AND(N51="4G1",OR(N53=3,N53=6)),LOOKUP(N82,T!$AA254:$AA269,T!$X254:$X269),IF(AND(N51="4G1",OR(N53=4,N53=7)),LOOKUP(N82,T!$AA254:$AA269,T!$Y254:$Y269),IF(AND(N51="4G1",OR(N53=8,N53=9)),LOOKUP(N82,T!$AA254:$AA269,T!$Z254:$Z269),IF(AND(N51="4G2",OR(N53=2,N53=5)),LOOKUP(N82,T!$AA281:$AA296,T!$U281:$U296),IF(AND(N51="4G2",OR(N53=3,N53=6)),LOOKUP(N82,T!$AA281:$AA296,T!$X281:$X296),IF(AND(N51="4G2",OR(N53=4,N53=7)),LOOKUP(N82,T!$AA281:$AA296,T!$Y281:$Y296),IF(AND(N51="4G2",OR(N53=8,N53=9)),LOOKUP(N82,T!$AA281:$AA296,T!$Z281:$Z296),0)))))))),0)))))*N23*N69)/1000))</f>
        <v>5.0083396845365131</v>
      </c>
      <c r="O96" s="148" t="str">
        <f t="shared" si="23"/>
        <v>mV/A/m</v>
      </c>
    </row>
    <row r="97" spans="1:58" s="173" customFormat="1" ht="17">
      <c r="A97" s="194"/>
      <c r="B97" s="399"/>
      <c r="C97" s="396"/>
      <c r="D97" s="164">
        <f>IF(D29="","",IF(OR(COUNT(D19:D21)=3,COUNT(D19:D21)=1),(IF(D29="",0,IF(ISNUMBER(SEARCH("4D",D51)),IF(AND(D51="4D1",OR(D53=2,D53=4,D53=6,D53=8,D53=11),D55="DC"),LOOKUP(D83,T!$AC6:$AC27,T!$U6:$U27),IF(AND(D51="4D1",OR(D53=2,D53=4),D55="AC"),LOOKUP(D83,T!$AC6:$AC27,T!$V6:$V27),IF(AND(D51="4D1",OR(D53=6,D53=8),D55="AC"),LOOKUP(D83,T!$AC6:$AC27,T!$W6:$W27),IF(AND(D51="4D1",OR(D53=11,D53=12),D55="AC",D57=1),LOOKUP(D83,T!$AC6:$AC27,T!$X6:$X27),IF(AND(D51="4D1",OR(D53=3,D53=5),D55="AC"),LOOKUP(D83,T!$AC6:$AC27,T!$Y6:$Y27),IF(AND(D51="4D1",OR(D53=7,D53=10),D55="AC"),LOOKUP(D83,T!$AC6:$AC27,T!$Z6:$Z27),IF(AND(D51="4D1",D53=9,D55="AC"),LOOKUP(D83,T!$AC6:$AC27,T!$AA6:$AA27),IF(AND(D51="4D1",OR(D53=11,D53=12),D55="AC",D57=3),LOOKUP(D83,T!$AC13:$AC27,T!$AB13:$AB27),IF(AND(D51="4D2",OR(D53=2,D53=4,D53=6,D53=8),D55="DC"),LOOKUP(D83,T!$X33:$X50,T!$U33:$U50),IF(AND(D51="4D2",OR(D53=2,D53=4,D53=6,D53=8),D55="AC"),LOOKUP(D83,T!$X33:$X50,T!$V33:$V50),IF(AND(D51="4D2",OR(D53=3,D53=5,D53=7,D53=9),D55="AC"),LOOKUP(D83,T!$X33:$X50,T!$W33:$W50),IF(AND(D51="4D3",OR(D53=2,D53=4,D53=7,D53=8),D55="DC"),LOOKUP(D83,T!$AA56:$AA68,T!$U56:$U68),IF(AND(D51="4D3",OR(D53=2,D53=4),D55="AC"),LOOKUP(D83,T!$AA56:$AA68,T!$V56:$V68),IF(AND(D51="4D3",OR(D53=9,D53=10),D55="AC"),LOOKUP(D83,T!$AA56:$AA$68,T!$W56:$W68),IF(AND(D51="4D3",D53=6,D55="AC"),LOOKUP(D83,T!$AA56:$AA68,T!$X56:$X68),IF(AND(D51="4D3",OR(D53=3,D53=5),D55="AC"),LOOKUP(D83,T!$AA56:$AA68,T!$Y56:$Y68),IF(AND(D51="4D3",OR(D53=11,D53=12),D55="AC"),LOOKUP(D83,T!$AA56:$AA68,T!$Z56:$Z68),IF(AND(D51="4D4",OR(D53=2,D53=4,D53=6),D55="DC"),LOOKUP(D83,T!$X74:$X90,T!$U74:$U90),IF(AND(D51="4D4",OR(D53=2,D53=4,D53=6),D55="AC"),LOOKUP(D83,T!$X74:$X90,T!$V74:$V90),IF(AND(D51="4D4",OR(D53=3,D53=5,D53=7),D55="AC"),LOOKUP(D83,T!$X74:$X90,T!$W74:$W90),IF(AND(D51="4D5",AND(D53&gt;=2,D53&lt;=7)),LOOKUP(D83,T!$I96:$I102,T!$H96:$H102),0))))))))))))))))))))),IF(ISNUMBER(SEARCH("4E",D51)),IF(AND(D51="4E1",OR(D53=2,D53=4,D53=6,D53=8,D53=11),D55="DC"),LOOKUP(D83,T!$AC108:$AC129,T!$U108:$U129),IF(AND(D51="4E1",OR(D53=2,D53=4),D55="AC"),LOOKUP(D83,T!$AC108:$AC129,T!$V108:$V129),IF(AND(D51="4E1",OR(D53=6,D53=8),D55="AC"),LOOKUP(D83,T!$AC108:$AC129,T!$W108:$W129),IF(AND(D51="4E1",OR(D53=11,D53=12),D55="AC",D57=1),LOOKUP(D83,T!$AC108:$AC127,T!$X108:$X129),IF(AND(D51="4E1",OR(D53=3,D53=5),D55="AC"),LOOKUP(D83,T!$AC108:$AC129,T!$Y108:$Y129),IF(AND(D51="4E1",OR(D53=7,D53=10),D55="AC"),LOOKUP(D83,T!$AC108:$AC129,T!$Z108:$Z129),IF(AND(D51="4E1",D53=9,D55="AC"),LOOKUP(D83,T!$AC115:$AC129,T!$AA115:$AA129),IF(AND(D51="4E1",OR(D53=11,D53=12),D55="AC",D57=3),LOOKUP(D83,T!$AC115:$AC129,T!$AB115:$AB129),IF(AND(D51="4E2",OR(D53=2,D53=4,D53=6,D53=8),D55="DC"),LOOKUP(D83,T!$X134:$X152,T!$U134:$U152),IF(AND(D51="4E2",OR(D53=2,D53=4,D53=6,D53=8),D55="AC"),LOOKUP(D83,T!$X134:$X152,T!$V134:$V152),IF(AND(D51="4E2",OR(D53=3,D53=5,D53=7,D53=9),D55="AC"),LOOKUP(D83,T!$X134:$X152,T!$W134:$W152),IF(AND(D51="4E3",OR(D53=2,D53=4,D53=7,D53=8),D55="DC"),LOOKUP(D83,T!$AA158:$AA170,T!$U158:$U170),IF(AND(D51="4E3",OR(D53=2,D53=4),D55="AC"),LOOKUP(D83,T!$AA158:$AA170,T!$V158:$V170),IF(AND(D51="4E3",OR(D53=9,D53=10),D55="AC"),LOOKUP(D83,T!$AA158:$AA170,T!$W158:$W170),IF(AND(D51="4E3",D53=6,D55="AC"),LOOKUP(D83,T!$AA158:$AA170,T!$X158:$X170),IF(AND(D51="4E3",OR(D53=3,D53=5),D55="AC"),LOOKUP(D83,T!$AA158:$AA170,T!$Y158:$Y170),IF(AND(D51="4E3",OR(D53=11,D53=12),D55="AC"),LOOKUP(D83,T!$AA158:$AA170,T!$Z158:$Z170),IF(AND(D51="4E4",OR(D53=2,D53=4,D53=6),D55="DC"),LOOKUP(D83,T!$X176:$X192,T!$U176:$U192),IF(AND(D51="4E4",OR(D53=2,D53=4,D53=6),D55="AC"),LOOKUP(D83,T!$X176:$X192,T!$V176:$V192),IF(AND(D51="4E4",OR(D53=3,D53=5,D53=7),D55="AC"),LOOKUP(D83,T!$X176:$X192,T!$W176:$W192),0)))))))))))))))))))),IF(ISNUMBER(SEARCH("4F",D51)),IF(AND(D51="4F1",D53=2,D55="DC"),LOOKUP(D83,T!$Z198:$Z214,T!$U198:$U214),IF(AND(D51="4F1",D53=2,D55="AC"),LOOKUP(D83,T!$Z198:$Z214,T!$V198:$V214),IF(AND(D51="4F1",D53=3,D55="AC"),LOOKUP(D83,T!$Z198:$Z214,T!$W198:$W214),IF(AND(D51="4F1",D53=4,D55="DC"),LOOKUP(D83,T!$Z198:$Z214,T!$X198:$X214),IF(AND(D51="4F1",D53=4,D55="AC"),LOOKUP(D83,T!$Z198:$Z214,T!$Y198:$Y214),IF(AND(D51="4F2",D53=2,D55="DC"),LOOKUP(D83,T!$Y220:$Y236,T!$U220:$U236),IF(AND(D51="4F2",D53=2,D55="AC"),LOOKUP(D83,T!$Y220:$Y236,T!$V220:$V236),IF(AND(D51="4F2",D53=3,D55="AC"),LOOKUP(D83,T!$Y220:$Y236,T!$W220:$W236),IF(AND(D51="4F2",D53=4,D55="DC"),LOOKUP(D83,T!$Y220:$Y236,T!$X220:$X236),IF(AND(D51="4F3",D53=2),LOOKUP(D83,T!$W242:$W248,T!$U242:$U248),IF(AND(D51="4F3",D53=3,D55="AC"),LOOKUP(D83,T!$W242:$W248,T!$V242:$V248),0))))))))))),IF(ISNUMBER(SEARCH("4G",D51)),IF(AND(D51="4G1",OR(D53=2,D53=5)),LOOKUP(D83,T!$AA254:$AA269,T!$U254:$U269),IF(AND(D51="4G1",OR(D53=3,D53=6)),LOOKUP(D83,T!$AA254:$AA269,T!$X254:$X269),IF(AND(D51="4G1",OR(D53=4,D53=7)),LOOKUP(D83,T!$AA254:$AA269,T!$Y254:$Y269),IF(AND(D51="4G1",OR(D53=8,D53=9)),LOOKUP(D83,T!$AA254:$AA269,T!$Z254:$Z269),IF(AND(D51="4G2",OR(D53=2,D53=5)),LOOKUP(D83,T!$AA281:$AA296,T!$U281:$U296),IF(AND(D51="4G2",OR(D53=3,D53=6)),LOOKUP(D83,T!$AA281:$AA296,T!$X281:$X296),IF(AND(D51="4G2",OR(D53=4,D53=7)),LOOKUP(D83,T!$AA281:$AA296,T!$Y281:$Y296),IF(AND(D51="4G2",OR(D53=8,D53=9)),LOOKUP(D83,T!$AA281:$AA296,T!$Z281:$Z296),0)))))))),0)))))*D23*D69)/1000))</f>
        <v>2.8645833333333339</v>
      </c>
      <c r="E97" s="164">
        <f ca="1">IF(E29="","",IF(OR(COUNT(E19:E21)=3,COUNT(E19:E21)=1),(IF(E29="",0,IF(ISNUMBER(SEARCH("4D",E51)),IF(AND(E51="4D1",OR(E53=2,E53=4,E53=6,E53=8,E53=11),E55="DC"),LOOKUP(E83,T!$AC6:$AC27,T!$U6:$U27),IF(AND(E51="4D1",OR(E53=2,E53=4),E55="AC"),LOOKUP(E83,T!$AC6:$AC27,T!$V6:$V27),IF(AND(E51="4D1",OR(E53=6,E53=8),E55="AC"),LOOKUP(E83,T!$AC6:$AC27,T!$W6:$W27),IF(AND(E51="4D1",OR(E53=11,E53=12),E55="AC",E57=1),LOOKUP(E83,T!$AC6:$AC27,T!$X6:$X27),IF(AND(E51="4D1",OR(E53=3,E53=5),E55="AC"),LOOKUP(E83,T!$AC6:$AC27,T!$Y6:$Y27),IF(AND(E51="4D1",OR(E53=7,E53=10),E55="AC"),LOOKUP(E83,T!$AC6:$AC27,T!$Z6:$Z27),IF(AND(E51="4D1",E53=9,E55="AC"),LOOKUP(E83,T!$AC6:$AC27,T!$AA6:$AA27),IF(AND(E51="4D1",OR(E53=11,E53=12),E55="AC",E57=3),LOOKUP(E83,T!$AC13:$AC27,T!$AB13:$AB27),IF(AND(E51="4D2",OR(E53=2,E53=4,E53=6,E53=8),E55="DC"),LOOKUP(E83,T!$X33:$X50,T!$U33:$U50),IF(AND(E51="4D2",OR(E53=2,E53=4,E53=6,E53=8),E55="AC"),LOOKUP(E83,T!$X33:$X50,T!$V33:$V50),IF(AND(E51="4D2",OR(E53=3,E53=5,E53=7,E53=9),E55="AC"),LOOKUP(E83,T!$X33:$X50,T!$W33:$W50),IF(AND(E51="4D3",OR(E53=2,E53=4,E53=7,E53=8),E55="DC"),LOOKUP(E83,T!$AA56:$AA68,T!$U56:$U68),IF(AND(E51="4D3",OR(E53=2,E53=4),E55="AC"),LOOKUP(E83,T!$AA56:$AA68,T!$V56:$V68),IF(AND(E51="4D3",OR(E53=9,E53=10),E55="AC"),LOOKUP(E83,T!$AA56:$AA$68,T!$W56:$W68),IF(AND(E51="4D3",E53=6,E55="AC"),LOOKUP(E83,T!$AA56:$AA68,T!$X56:$X68),IF(AND(E51="4D3",OR(E53=3,E53=5),E55="AC"),LOOKUP(E83,T!$AA56:$AA68,T!$Y56:$Y68),IF(AND(E51="4D3",OR(E53=11,E53=12),E55="AC"),LOOKUP(E83,T!$AA56:$AA68,T!$Z56:$Z68),IF(AND(E51="4D4",OR(E53=2,E53=4,E53=6),E55="DC"),LOOKUP(E83,T!$X74:$X90,T!$U74:$U90),IF(AND(E51="4D4",OR(E53=2,E53=4,E53=6),E55="AC"),LOOKUP(E83,T!$X74:$X90,T!$V74:$V90),IF(AND(E51="4D4",OR(E53=3,E53=5,E53=7),E55="AC"),LOOKUP(E83,T!$X74:$X90,T!$W74:$W90),IF(AND(E51="4D5",AND(E53&gt;=2,E53&lt;=7)),LOOKUP(E83,T!$I96:$I102,T!$H96:$H102),0))))))))))))))))))))),IF(ISNUMBER(SEARCH("4E",E51)),IF(AND(E51="4E1",OR(E53=2,E53=4,E53=6,E53=8,E53=11),E55="DC"),LOOKUP(E83,T!$AC108:$AC129,T!$U108:$U129),IF(AND(E51="4E1",OR(E53=2,E53=4),E55="AC"),LOOKUP(E83,T!$AC108:$AC129,T!$V108:$V129),IF(AND(E51="4E1",OR(E53=6,E53=8),E55="AC"),LOOKUP(E83,T!$AC108:$AC129,T!$W108:$W129),IF(AND(E51="4E1",OR(E53=11,E53=12),E55="AC",E57=1),LOOKUP(E83,T!$AC108:$AC127,T!$X108:$X129),IF(AND(E51="4E1",OR(E53=3,E53=5),E55="AC"),LOOKUP(E83,T!$AC108:$AC129,T!$Y108:$Y129),IF(AND(E51="4E1",OR(E53=7,E53=10),E55="AC"),LOOKUP(E83,T!$AC108:$AC129,T!$Z108:$Z129),IF(AND(E51="4E1",E53=9,E55="AC"),LOOKUP(E83,T!$AC115:$AC129,T!$AA115:$AA129),IF(AND(E51="4E1",OR(E53=11,E53=12),E55="AC",E57=3),LOOKUP(E83,T!$AC115:$AC129,T!$AB115:$AB129),IF(AND(E51="4E2",OR(E53=2,E53=4,E53=6,E53=8),E55="DC"),LOOKUP(E83,T!$X134:$X152,T!$U134:$U152),IF(AND(E51="4E2",OR(E53=2,E53=4,E53=6,E53=8),E55="AC"),LOOKUP(E83,T!$X134:$X152,T!$V134:$V152),IF(AND(E51="4E2",OR(E53=3,E53=5,E53=7,E53=9),E55="AC"),LOOKUP(E83,T!$X134:$X152,T!$W134:$W152),IF(AND(E51="4E3",OR(E53=2,E53=4,E53=7,E53=8),E55="DC"),LOOKUP(E83,T!$AA158:$AA170,T!$U158:$U170),IF(AND(E51="4E3",OR(E53=2,E53=4),E55="AC"),LOOKUP(E83,T!$AA158:$AA170,T!$V158:$V170),IF(AND(E51="4E3",OR(E53=9,E53=10),E55="AC"),LOOKUP(E83,T!$AA158:$AA170,T!$W158:$W170),IF(AND(E51="4E3",E53=6,E55="AC"),LOOKUP(E83,T!$AA158:$AA170,T!$X158:$X170),IF(AND(E51="4E3",OR(E53=3,E53=5),E55="AC"),LOOKUP(E83,T!$AA158:$AA170,T!$Y158:$Y170),IF(AND(E51="4E3",OR(E53=11,E53=12),E55="AC"),LOOKUP(E83,T!$AA158:$AA170,T!$Z158:$Z170),IF(AND(E51="4E4",OR(E53=2,E53=4,E53=6),E55="DC"),LOOKUP(E83,T!$X176:$X192,T!$U176:$U192),IF(AND(E51="4E4",OR(E53=2,E53=4,E53=6),E55="AC"),LOOKUP(E83,T!$X176:$X192,T!$V176:$V192),IF(AND(E51="4E4",OR(E53=3,E53=5,E53=7),E55="AC"),LOOKUP(E83,T!$X176:$X192,T!$W176:$W192),0)))))))))))))))))))),IF(ISNUMBER(SEARCH("4F",E51)),IF(AND(E51="4F1",E53=2,E55="DC"),LOOKUP(E83,T!$Z198:$Z214,T!$U198:$U214),IF(AND(E51="4F1",E53=2,E55="AC"),LOOKUP(E83,T!$Z198:$Z214,T!$V198:$V214),IF(AND(E51="4F1",E53=3,E55="AC"),LOOKUP(E83,T!$Z198:$Z214,T!$W198:$W214),IF(AND(E51="4F1",E53=4,E55="DC"),LOOKUP(E83,T!$Z198:$Z214,T!$X198:$X214),IF(AND(E51="4F1",E53=4,E55="AC"),LOOKUP(E83,T!$Z198:$Z214,T!$Y198:$Y214),IF(AND(E51="4F2",E53=2,E55="DC"),LOOKUP(E83,T!$Y220:$Y236,T!$U220:$U236),IF(AND(E51="4F2",E53=2,E55="AC"),LOOKUP(E83,T!$Y220:$Y236,T!$V220:$V236),IF(AND(E51="4F2",E53=3,E55="AC"),LOOKUP(E83,T!$Y220:$Y236,T!$W220:$W236),IF(AND(E51="4F2",E53=4,E55="DC"),LOOKUP(E83,T!$Y220:$Y236,T!$X220:$X236),IF(AND(E51="4F3",E53=2),LOOKUP(E83,T!$W242:$W248,T!$U242:$U248),IF(AND(E51="4F3",E53=3,E55="AC"),LOOKUP(E83,T!$W242:$W248,T!$V242:$V248),0))))))))))),IF(ISNUMBER(SEARCH("4G",E51)),IF(AND(E51="4G1",OR(E53=2,E53=5)),LOOKUP(E83,T!$AA254:$AA269,T!$U254:$U269),IF(AND(E51="4G1",OR(E53=3,E53=6)),LOOKUP(E83,T!$AA254:$AA269,T!$X254:$X269),IF(AND(E51="4G1",OR(E53=4,E53=7)),LOOKUP(E83,T!$AA254:$AA269,T!$Y254:$Y269),IF(AND(E51="4G1",OR(E53=8,E53=9)),LOOKUP(E83,T!$AA254:$AA269,T!$Z254:$Z269),IF(AND(E51="4G2",OR(E53=2,E53=5)),LOOKUP(E83,T!$AA281:$AA296,T!$U281:$U296),IF(AND(E51="4G2",OR(E53=3,E53=6)),LOOKUP(E83,T!$AA281:$AA296,T!$X281:$X296),IF(AND(E51="4G2",OR(E53=4,E53=7)),LOOKUP(E83,T!$AA281:$AA296,T!$Y281:$Y296),IF(AND(E51="4G2",OR(E53=8,E53=9)),LOOKUP(E83,T!$AA281:$AA296,T!$Z281:$Z296),0)))))))),0)))))*E23*E69)/1000))</f>
        <v>3.4000560000000002</v>
      </c>
      <c r="F97" s="164">
        <f ca="1">IF(F29="","",IF(OR(COUNT(F19:F21)=3,COUNT(F19:F21)=1),(IF(F29="",0,IF(ISNUMBER(SEARCH("4D",F51)),IF(AND(F51="4D1",OR(F53=2,F53=4,F53=6,F53=8,F53=11),F55="DC"),LOOKUP(F83,T!$AC6:$AC27,T!$U6:$U27),IF(AND(F51="4D1",OR(F53=2,F53=4),F55="AC"),LOOKUP(F83,T!$AC6:$AC27,T!$V6:$V27),IF(AND(F51="4D1",OR(F53=6,F53=8),F55="AC"),LOOKUP(F83,T!$AC6:$AC27,T!$W6:$W27),IF(AND(F51="4D1",OR(F53=11,F53=12),F55="AC",F57=1),LOOKUP(F83,T!$AC6:$AC27,T!$X6:$X27),IF(AND(F51="4D1",OR(F53=3,F53=5),F55="AC"),LOOKUP(F83,T!$AC6:$AC27,T!$Y6:$Y27),IF(AND(F51="4D1",OR(F53=7,F53=10),F55="AC"),LOOKUP(F83,T!$AC6:$AC27,T!$Z6:$Z27),IF(AND(F51="4D1",F53=9,F55="AC"),LOOKUP(F83,T!$AC6:$AC27,T!$AA6:$AA27),IF(AND(F51="4D1",OR(F53=11,F53=12),F55="AC",F57=3),LOOKUP(F83,T!$AC13:$AC27,T!$AB13:$AB27),IF(AND(F51="4D2",OR(F53=2,F53=4,F53=6,F53=8),F55="DC"),LOOKUP(F83,T!$X33:$X50,T!$U33:$U50),IF(AND(F51="4D2",OR(F53=2,F53=4,F53=6,F53=8),F55="AC"),LOOKUP(F83,T!$X33:$X50,T!$V33:$V50),IF(AND(F51="4D2",OR(F53=3,F53=5,F53=7,F53=9),F55="AC"),LOOKUP(F83,T!$X33:$X50,T!$W33:$W50),IF(AND(F51="4D3",OR(F53=2,F53=4,F53=7,F53=8),F55="DC"),LOOKUP(F83,T!$AA56:$AA68,T!$U56:$U68),IF(AND(F51="4D3",OR(F53=2,F53=4),F55="AC"),LOOKUP(F83,T!$AA56:$AA68,T!$V56:$V68),IF(AND(F51="4D3",OR(F53=9,F53=10),F55="AC"),LOOKUP(F83,T!$AA56:$AA$68,T!$W56:$W68),IF(AND(F51="4D3",F53=6,F55="AC"),LOOKUP(F83,T!$AA56:$AA68,T!$X56:$X68),IF(AND(F51="4D3",OR(F53=3,F53=5),F55="AC"),LOOKUP(F83,T!$AA56:$AA68,T!$Y56:$Y68),IF(AND(F51="4D3",OR(F53=11,F53=12),F55="AC"),LOOKUP(F83,T!$AA56:$AA68,T!$Z56:$Z68),IF(AND(F51="4D4",OR(F53=2,F53=4,F53=6),F55="DC"),LOOKUP(F83,T!$X74:$X90,T!$U74:$U90),IF(AND(F51="4D4",OR(F53=2,F53=4,F53=6),F55="AC"),LOOKUP(F83,T!$X74:$X90,T!$V74:$V90),IF(AND(F51="4D4",OR(F53=3,F53=5,F53=7),F55="AC"),LOOKUP(F83,T!$X74:$X90,T!$W74:$W90),IF(AND(F51="4D5",AND(F53&gt;=2,F53&lt;=7)),LOOKUP(F83,T!$I96:$I102,T!$H96:$H102),0))))))))))))))))))))),IF(ISNUMBER(SEARCH("4E",F51)),IF(AND(F51="4E1",OR(F53=2,F53=4,F53=6,F53=8,F53=11),F55="DC"),LOOKUP(F83,T!$AC108:$AC129,T!$U108:$U129),IF(AND(F51="4E1",OR(F53=2,F53=4),F55="AC"),LOOKUP(F83,T!$AC108:$AC129,T!$V108:$V129),IF(AND(F51="4E1",OR(F53=6,F53=8),F55="AC"),LOOKUP(F83,T!$AC108:$AC129,T!$W108:$W129),IF(AND(F51="4E1",OR(F53=11,F53=12),F55="AC",F57=1),LOOKUP(F83,T!$AC108:$AC127,T!$X108:$X129),IF(AND(F51="4E1",OR(F53=3,F53=5),F55="AC"),LOOKUP(F83,T!$AC108:$AC129,T!$Y108:$Y129),IF(AND(F51="4E1",OR(F53=7,F53=10),F55="AC"),LOOKUP(F83,T!$AC108:$AC129,T!$Z108:$Z129),IF(AND(F51="4E1",F53=9,F55="AC"),LOOKUP(F83,T!$AC115:$AC129,T!$AA115:$AA129),IF(AND(F51="4E1",OR(F53=11,F53=12),F55="AC",F57=3),LOOKUP(F83,T!$AC115:$AC129,T!$AB115:$AB129),IF(AND(F51="4E2",OR(F53=2,F53=4,F53=6,F53=8),F55="DC"),LOOKUP(F83,T!$X134:$X152,T!$U134:$U152),IF(AND(F51="4E2",OR(F53=2,F53=4,F53=6,F53=8),F55="AC"),LOOKUP(F83,T!$X134:$X152,T!$V134:$V152),IF(AND(F51="4E2",OR(F53=3,F53=5,F53=7,F53=9),F55="AC"),LOOKUP(F83,T!$X134:$X152,T!$W134:$W152),IF(AND(F51="4E3",OR(F53=2,F53=4,F53=7,F53=8),F55="DC"),LOOKUP(F83,T!$AA158:$AA170,T!$U158:$U170),IF(AND(F51="4E3",OR(F53=2,F53=4),F55="AC"),LOOKUP(F83,T!$AA158:$AA170,T!$V158:$V170),IF(AND(F51="4E3",OR(F53=9,F53=10),F55="AC"),LOOKUP(F83,T!$AA158:$AA170,T!$W158:$W170),IF(AND(F51="4E3",F53=6,F55="AC"),LOOKUP(F83,T!$AA158:$AA170,T!$X158:$X170),IF(AND(F51="4E3",OR(F53=3,F53=5),F55="AC"),LOOKUP(F83,T!$AA158:$AA170,T!$Y158:$Y170),IF(AND(F51="4E3",OR(F53=11,F53=12),F55="AC"),LOOKUP(F83,T!$AA158:$AA170,T!$Z158:$Z170),IF(AND(F51="4E4",OR(F53=2,F53=4,F53=6),F55="DC"),LOOKUP(F83,T!$X176:$X192,T!$U176:$U192),IF(AND(F51="4E4",OR(F53=2,F53=4,F53=6),F55="AC"),LOOKUP(F83,T!$X176:$X192,T!$V176:$V192),IF(AND(F51="4E4",OR(F53=3,F53=5,F53=7),F55="AC"),LOOKUP(F83,T!$X176:$X192,T!$W176:$W192),0)))))))))))))))))))),IF(ISNUMBER(SEARCH("4F",F51)),IF(AND(F51="4F1",F53=2,F55="DC"),LOOKUP(F83,T!$Z198:$Z214,T!$U198:$U214),IF(AND(F51="4F1",F53=2,F55="AC"),LOOKUP(F83,T!$Z198:$Z214,T!$V198:$V214),IF(AND(F51="4F1",F53=3,F55="AC"),LOOKUP(F83,T!$Z198:$Z214,T!$W198:$W214),IF(AND(F51="4F1",F53=4,F55="DC"),LOOKUP(F83,T!$Z198:$Z214,T!$X198:$X214),IF(AND(F51="4F1",F53=4,F55="AC"),LOOKUP(F83,T!$Z198:$Z214,T!$Y198:$Y214),IF(AND(F51="4F2",F53=2,F55="DC"),LOOKUP(F83,T!$Y220:$Y236,T!$U220:$U236),IF(AND(F51="4F2",F53=2,F55="AC"),LOOKUP(F83,T!$Y220:$Y236,T!$V220:$V236),IF(AND(F51="4F2",F53=3,F55="AC"),LOOKUP(F83,T!$Y220:$Y236,T!$W220:$W236),IF(AND(F51="4F2",F53=4,F55="DC"),LOOKUP(F83,T!$Y220:$Y236,T!$X220:$X236),IF(AND(F51="4F3",F53=2),LOOKUP(F83,T!$W242:$W248,T!$U242:$U248),IF(AND(F51="4F3",F53=3,F55="AC"),LOOKUP(F83,T!$W242:$W248,T!$V242:$V248),0))))))))))),IF(ISNUMBER(SEARCH("4G",F51)),IF(AND(F51="4G1",OR(F53=2,F53=5)),LOOKUP(F83,T!$AA254:$AA269,T!$U254:$U269),IF(AND(F51="4G1",OR(F53=3,F53=6)),LOOKUP(F83,T!$AA254:$AA269,T!$X254:$X269),IF(AND(F51="4G1",OR(F53=4,F53=7)),LOOKUP(F83,T!$AA254:$AA269,T!$Y254:$Y269),IF(AND(F51="4G1",OR(F53=8,F53=9)),LOOKUP(F83,T!$AA254:$AA269,T!$Z254:$Z269),IF(AND(F51="4G2",OR(F53=2,F53=5)),LOOKUP(F83,T!$AA281:$AA296,T!$U281:$U296),IF(AND(F51="4G2",OR(F53=3,F53=6)),LOOKUP(F83,T!$AA281:$AA296,T!$X281:$X296),IF(AND(F51="4G2",OR(F53=4,F53=7)),LOOKUP(F83,T!$AA281:$AA296,T!$Y281:$Y296),IF(AND(F51="4G2",OR(F53=8,F53=9)),LOOKUP(F83,T!$AA281:$AA296,T!$Z281:$Z296),0)))))))),0)))))*F23*F69)/1000))</f>
        <v>3.4000560000000002</v>
      </c>
      <c r="G97" s="164">
        <f ca="1">IF(G29="","",IF(OR(COUNT(G19:G21)=3,COUNT(G19:G21)=1),(IF(G29="",0,IF(ISNUMBER(SEARCH("4D",G51)),IF(AND(G51="4D1",OR(G53=2,G53=4,G53=6,G53=8,G53=11),G55="DC"),LOOKUP(G83,T!$AC6:$AC27,T!$U6:$U27),IF(AND(G51="4D1",OR(G53=2,G53=4),G55="AC"),LOOKUP(G83,T!$AC6:$AC27,T!$V6:$V27),IF(AND(G51="4D1",OR(G53=6,G53=8),G55="AC"),LOOKUP(G83,T!$AC6:$AC27,T!$W6:$W27),IF(AND(G51="4D1",OR(G53=11,G53=12),G55="AC",G57=1),LOOKUP(G83,T!$AC6:$AC27,T!$X6:$X27),IF(AND(G51="4D1",OR(G53=3,G53=5),G55="AC"),LOOKUP(G83,T!$AC6:$AC27,T!$Y6:$Y27),IF(AND(G51="4D1",OR(G53=7,G53=10),G55="AC"),LOOKUP(G83,T!$AC6:$AC27,T!$Z6:$Z27),IF(AND(G51="4D1",G53=9,G55="AC"),LOOKUP(G83,T!$AC6:$AC27,T!$AA6:$AA27),IF(AND(G51="4D1",OR(G53=11,G53=12),G55="AC",G57=3),LOOKUP(G83,T!$AC13:$AC27,T!$AB13:$AB27),IF(AND(G51="4D2",OR(G53=2,G53=4,G53=6,G53=8),G55="DC"),LOOKUP(G83,T!$X33:$X50,T!$U33:$U50),IF(AND(G51="4D2",OR(G53=2,G53=4,G53=6,G53=8),G55="AC"),LOOKUP(G83,T!$X33:$X50,T!$V33:$V50),IF(AND(G51="4D2",OR(G53=3,G53=5,G53=7,G53=9),G55="AC"),LOOKUP(G83,T!$X33:$X50,T!$W33:$W50),IF(AND(G51="4D3",OR(G53=2,G53=4,G53=7,G53=8),G55="DC"),LOOKUP(G83,T!$AA56:$AA68,T!$U56:$U68),IF(AND(G51="4D3",OR(G53=2,G53=4),G55="AC"),LOOKUP(G83,T!$AA56:$AA68,T!$V56:$V68),IF(AND(G51="4D3",OR(G53=9,G53=10),G55="AC"),LOOKUP(G83,T!$AA56:$AA$68,T!$W56:$W68),IF(AND(G51="4D3",G53=6,G55="AC"),LOOKUP(G83,T!$AA56:$AA68,T!$X56:$X68),IF(AND(G51="4D3",OR(G53=3,G53=5),G55="AC"),LOOKUP(G83,T!$AA56:$AA68,T!$Y56:$Y68),IF(AND(G51="4D3",OR(G53=11,G53=12),G55="AC"),LOOKUP(G83,T!$AA56:$AA68,T!$Z56:$Z68),IF(AND(G51="4D4",OR(G53=2,G53=4,G53=6),G55="DC"),LOOKUP(G83,T!$X74:$X90,T!$U74:$U90),IF(AND(G51="4D4",OR(G53=2,G53=4,G53=6),G55="AC"),LOOKUP(G83,T!$X74:$X90,T!$V74:$V90),IF(AND(G51="4D4",OR(G53=3,G53=5,G53=7),G55="AC"),LOOKUP(G83,T!$X74:$X90,T!$W74:$W90),IF(AND(G51="4D5",AND(G53&gt;=2,G53&lt;=7)),LOOKUP(G83,T!$I96:$I102,T!$H96:$H102),0))))))))))))))))))))),IF(ISNUMBER(SEARCH("4E",G51)),IF(AND(G51="4E1",OR(G53=2,G53=4,G53=6,G53=8,G53=11),G55="DC"),LOOKUP(G83,T!$AC108:$AC129,T!$U108:$U129),IF(AND(G51="4E1",OR(G53=2,G53=4),G55="AC"),LOOKUP(G83,T!$AC108:$AC129,T!$V108:$V129),IF(AND(G51="4E1",OR(G53=6,G53=8),G55="AC"),LOOKUP(G83,T!$AC108:$AC129,T!$W108:$W129),IF(AND(G51="4E1",OR(G53=11,G53=12),G55="AC",G57=1),LOOKUP(G83,T!$AC108:$AC127,T!$X108:$X129),IF(AND(G51="4E1",OR(G53=3,G53=5),G55="AC"),LOOKUP(G83,T!$AC108:$AC129,T!$Y108:$Y129),IF(AND(G51="4E1",OR(G53=7,G53=10),G55="AC"),LOOKUP(G83,T!$AC108:$AC129,T!$Z108:$Z129),IF(AND(G51="4E1",G53=9,G55="AC"),LOOKUP(G83,T!$AC115:$AC129,T!$AA115:$AA129),IF(AND(G51="4E1",OR(G53=11,G53=12),G55="AC",G57=3),LOOKUP(G83,T!$AC115:$AC129,T!$AB115:$AB129),IF(AND(G51="4E2",OR(G53=2,G53=4,G53=6,G53=8),G55="DC"),LOOKUP(G83,T!$X134:$X152,T!$U134:$U152),IF(AND(G51="4E2",OR(G53=2,G53=4,G53=6,G53=8),G55="AC"),LOOKUP(G83,T!$X134:$X152,T!$V134:$V152),IF(AND(G51="4E2",OR(G53=3,G53=5,G53=7,G53=9),G55="AC"),LOOKUP(G83,T!$X134:$X152,T!$W134:$W152),IF(AND(G51="4E3",OR(G53=2,G53=4,G53=7,G53=8),G55="DC"),LOOKUP(G83,T!$AA158:$AA170,T!$U158:$U170),IF(AND(G51="4E3",OR(G53=2,G53=4),G55="AC"),LOOKUP(G83,T!$AA158:$AA170,T!$V158:$V170),IF(AND(G51="4E3",OR(G53=9,G53=10),G55="AC"),LOOKUP(G83,T!$AA158:$AA170,T!$W158:$W170),IF(AND(G51="4E3",G53=6,G55="AC"),LOOKUP(G83,T!$AA158:$AA170,T!$X158:$X170),IF(AND(G51="4E3",OR(G53=3,G53=5),G55="AC"),LOOKUP(G83,T!$AA158:$AA170,T!$Y158:$Y170),IF(AND(G51="4E3",OR(G53=11,G53=12),G55="AC"),LOOKUP(G83,T!$AA158:$AA170,T!$Z158:$Z170),IF(AND(G51="4E4",OR(G53=2,G53=4,G53=6),G55="DC"),LOOKUP(G83,T!$X176:$X192,T!$U176:$U192),IF(AND(G51="4E4",OR(G53=2,G53=4,G53=6),G55="AC"),LOOKUP(G83,T!$X176:$X192,T!$V176:$V192),IF(AND(G51="4E4",OR(G53=3,G53=5,G53=7),G55="AC"),LOOKUP(G83,T!$X176:$X192,T!$W176:$W192),0)))))))))))))))))))),IF(ISNUMBER(SEARCH("4F",G51)),IF(AND(G51="4F1",G53=2,G55="DC"),LOOKUP(G83,T!$Z198:$Z214,T!$U198:$U214),IF(AND(G51="4F1",G53=2,G55="AC"),LOOKUP(G83,T!$Z198:$Z214,T!$V198:$V214),IF(AND(G51="4F1",G53=3,G55="AC"),LOOKUP(G83,T!$Z198:$Z214,T!$W198:$W214),IF(AND(G51="4F1",G53=4,G55="DC"),LOOKUP(G83,T!$Z198:$Z214,T!$X198:$X214),IF(AND(G51="4F1",G53=4,G55="AC"),LOOKUP(G83,T!$Z198:$Z214,T!$Y198:$Y214),IF(AND(G51="4F2",G53=2,G55="DC"),LOOKUP(G83,T!$Y220:$Y236,T!$U220:$U236),IF(AND(G51="4F2",G53=2,G55="AC"),LOOKUP(G83,T!$Y220:$Y236,T!$V220:$V236),IF(AND(G51="4F2",G53=3,G55="AC"),LOOKUP(G83,T!$Y220:$Y236,T!$W220:$W236),IF(AND(G51="4F2",G53=4,G55="DC"),LOOKUP(G83,T!$Y220:$Y236,T!$X220:$X236),IF(AND(G51="4F3",G53=2),LOOKUP(G83,T!$W242:$W248,T!$U242:$U248),IF(AND(G51="4F3",G53=3,G55="AC"),LOOKUP(G83,T!$W242:$W248,T!$V242:$V248),0))))))))))),IF(ISNUMBER(SEARCH("4G",G51)),IF(AND(G51="4G1",OR(G53=2,G53=5)),LOOKUP(G83,T!$AA254:$AA269,T!$U254:$U269),IF(AND(G51="4G1",OR(G53=3,G53=6)),LOOKUP(G83,T!$AA254:$AA269,T!$X254:$X269),IF(AND(G51="4G1",OR(G53=4,G53=7)),LOOKUP(G83,T!$AA254:$AA269,T!$Y254:$Y269),IF(AND(G51="4G1",OR(G53=8,G53=9)),LOOKUP(G83,T!$AA254:$AA269,T!$Z254:$Z269),IF(AND(G51="4G2",OR(G53=2,G53=5)),LOOKUP(G83,T!$AA281:$AA296,T!$U281:$U296),IF(AND(G51="4G2",OR(G53=3,G53=6)),LOOKUP(G83,T!$AA281:$AA296,T!$X281:$X296),IF(AND(G51="4G2",OR(G53=4,G53=7)),LOOKUP(G83,T!$AA281:$AA296,T!$Y281:$Y296),IF(AND(G51="4G2",OR(G53=8,G53=9)),LOOKUP(G83,T!$AA281:$AA296,T!$Z281:$Z296),0)))))))),0)))))*G23*G69)/1000))</f>
        <v>3.4000560000000002</v>
      </c>
      <c r="H97" s="164">
        <f ca="1">IF(H29="","",IF(OR(COUNT(H19:H21)=3,COUNT(H19:H21)=1),(IF(H29="",0,IF(ISNUMBER(SEARCH("4D",H51)),IF(AND(H51="4D1",OR(H53=2,H53=4,H53=6,H53=8,H53=11),H55="DC"),LOOKUP(H83,T!$AC6:$AC27,T!$U6:$U27),IF(AND(H51="4D1",OR(H53=2,H53=4),H55="AC"),LOOKUP(H83,T!$AC6:$AC27,T!$V6:$V27),IF(AND(H51="4D1",OR(H53=6,H53=8),H55="AC"),LOOKUP(H83,T!$AC6:$AC27,T!$W6:$W27),IF(AND(H51="4D1",OR(H53=11,H53=12),H55="AC",H57=1),LOOKUP(H83,T!$AC6:$AC27,T!$X6:$X27),IF(AND(H51="4D1",OR(H53=3,H53=5),H55="AC"),LOOKUP(H83,T!$AC6:$AC27,T!$Y6:$Y27),IF(AND(H51="4D1",OR(H53=7,H53=10),H55="AC"),LOOKUP(H83,T!$AC6:$AC27,T!$Z6:$Z27),IF(AND(H51="4D1",H53=9,H55="AC"),LOOKUP(H83,T!$AC6:$AC27,T!$AA6:$AA27),IF(AND(H51="4D1",OR(H53=11,H53=12),H55="AC",H57=3),LOOKUP(H83,T!$AC13:$AC27,T!$AB13:$AB27),IF(AND(H51="4D2",OR(H53=2,H53=4,H53=6,H53=8),H55="DC"),LOOKUP(H83,T!$X33:$X50,T!$U33:$U50),IF(AND(H51="4D2",OR(H53=2,H53=4,H53=6,H53=8),H55="AC"),LOOKUP(H83,T!$X33:$X50,T!$V33:$V50),IF(AND(H51="4D2",OR(H53=3,H53=5,H53=7,H53=9),H55="AC"),LOOKUP(H83,T!$X33:$X50,T!$W33:$W50),IF(AND(H51="4D3",OR(H53=2,H53=4,H53=7,H53=8),H55="DC"),LOOKUP(H83,T!$AA56:$AA68,T!$U56:$U68),IF(AND(H51="4D3",OR(H53=2,H53=4),H55="AC"),LOOKUP(H83,T!$AA56:$AA68,T!$V56:$V68),IF(AND(H51="4D3",OR(H53=9,H53=10),H55="AC"),LOOKUP(H83,T!$AA56:$AA$68,T!$W56:$W68),IF(AND(H51="4D3",H53=6,H55="AC"),LOOKUP(H83,T!$AA56:$AA68,T!$X56:$X68),IF(AND(H51="4D3",OR(H53=3,H53=5),H55="AC"),LOOKUP(H83,T!$AA56:$AA68,T!$Y56:$Y68),IF(AND(H51="4D3",OR(H53=11,H53=12),H55="AC"),LOOKUP(H83,T!$AA56:$AA68,T!$Z56:$Z68),IF(AND(H51="4D4",OR(H53=2,H53=4,H53=6),H55="DC"),LOOKUP(H83,T!$X74:$X90,T!$U74:$U90),IF(AND(H51="4D4",OR(H53=2,H53=4,H53=6),H55="AC"),LOOKUP(H83,T!$X74:$X90,T!$V74:$V90),IF(AND(H51="4D4",OR(H53=3,H53=5,H53=7),H55="AC"),LOOKUP(H83,T!$X74:$X90,T!$W74:$W90),IF(AND(H51="4D5",AND(H53&gt;=2,H53&lt;=7)),LOOKUP(H83,T!$I96:$I102,T!$H96:$H102),0))))))))))))))))))))),IF(ISNUMBER(SEARCH("4E",H51)),IF(AND(H51="4E1",OR(H53=2,H53=4,H53=6,H53=8,H53=11),H55="DC"),LOOKUP(H83,T!$AC108:$AC129,T!$U108:$U129),IF(AND(H51="4E1",OR(H53=2,H53=4),H55="AC"),LOOKUP(H83,T!$AC108:$AC129,T!$V108:$V129),IF(AND(H51="4E1",OR(H53=6,H53=8),H55="AC"),LOOKUP(H83,T!$AC108:$AC129,T!$W108:$W129),IF(AND(H51="4E1",OR(H53=11,H53=12),H55="AC",H57=1),LOOKUP(H83,T!$AC108:$AC127,T!$X108:$X129),IF(AND(H51="4E1",OR(H53=3,H53=5),H55="AC"),LOOKUP(H83,T!$AC108:$AC129,T!$Y108:$Y129),IF(AND(H51="4E1",OR(H53=7,H53=10),H55="AC"),LOOKUP(H83,T!$AC108:$AC129,T!$Z108:$Z129),IF(AND(H51="4E1",H53=9,H55="AC"),LOOKUP(H83,T!$AC115:$AC129,T!$AA115:$AA129),IF(AND(H51="4E1",OR(H53=11,H53=12),H55="AC",H57=3),LOOKUP(H83,T!$AC115:$AC129,T!$AB115:$AB129),IF(AND(H51="4E2",OR(H53=2,H53=4,H53=6,H53=8),H55="DC"),LOOKUP(H83,T!$X134:$X152,T!$U134:$U152),IF(AND(H51="4E2",OR(H53=2,H53=4,H53=6,H53=8),H55="AC"),LOOKUP(H83,T!$X134:$X152,T!$V134:$V152),IF(AND(H51="4E2",OR(H53=3,H53=5,H53=7,H53=9),H55="AC"),LOOKUP(H83,T!$X134:$X152,T!$W134:$W152),IF(AND(H51="4E3",OR(H53=2,H53=4,H53=7,H53=8),H55="DC"),LOOKUP(H83,T!$AA158:$AA170,T!$U158:$U170),IF(AND(H51="4E3",OR(H53=2,H53=4),H55="AC"),LOOKUP(H83,T!$AA158:$AA170,T!$V158:$V170),IF(AND(H51="4E3",OR(H53=9,H53=10),H55="AC"),LOOKUP(H83,T!$AA158:$AA170,T!$W158:$W170),IF(AND(H51="4E3",H53=6,H55="AC"),LOOKUP(H83,T!$AA158:$AA170,T!$X158:$X170),IF(AND(H51="4E3",OR(H53=3,H53=5),H55="AC"),LOOKUP(H83,T!$AA158:$AA170,T!$Y158:$Y170),IF(AND(H51="4E3",OR(H53=11,H53=12),H55="AC"),LOOKUP(H83,T!$AA158:$AA170,T!$Z158:$Z170),IF(AND(H51="4E4",OR(H53=2,H53=4,H53=6),H55="DC"),LOOKUP(H83,T!$X176:$X192,T!$U176:$U192),IF(AND(H51="4E4",OR(H53=2,H53=4,H53=6),H55="AC"),LOOKUP(H83,T!$X176:$X192,T!$V176:$V192),IF(AND(H51="4E4",OR(H53=3,H53=5,H53=7),H55="AC"),LOOKUP(H83,T!$X176:$X192,T!$W176:$W192),0)))))))))))))))))))),IF(ISNUMBER(SEARCH("4F",H51)),IF(AND(H51="4F1",H53=2,H55="DC"),LOOKUP(H83,T!$Z198:$Z214,T!$U198:$U214),IF(AND(H51="4F1",H53=2,H55="AC"),LOOKUP(H83,T!$Z198:$Z214,T!$V198:$V214),IF(AND(H51="4F1",H53=3,H55="AC"),LOOKUP(H83,T!$Z198:$Z214,T!$W198:$W214),IF(AND(H51="4F1",H53=4,H55="DC"),LOOKUP(H83,T!$Z198:$Z214,T!$X198:$X214),IF(AND(H51="4F1",H53=4,H55="AC"),LOOKUP(H83,T!$Z198:$Z214,T!$Y198:$Y214),IF(AND(H51="4F2",H53=2,H55="DC"),LOOKUP(H83,T!$Y220:$Y236,T!$U220:$U236),IF(AND(H51="4F2",H53=2,H55="AC"),LOOKUP(H83,T!$Y220:$Y236,T!$V220:$V236),IF(AND(H51="4F2",H53=3,H55="AC"),LOOKUP(H83,T!$Y220:$Y236,T!$W220:$W236),IF(AND(H51="4F2",H53=4,H55="DC"),LOOKUP(H83,T!$Y220:$Y236,T!$X220:$X236),IF(AND(H51="4F3",H53=2),LOOKUP(H83,T!$W242:$W248,T!$U242:$U248),IF(AND(H51="4F3",H53=3,H55="AC"),LOOKUP(H83,T!$W242:$W248,T!$V242:$V248),0))))))))))),IF(ISNUMBER(SEARCH("4G",H51)),IF(AND(H51="4G1",OR(H53=2,H53=5)),LOOKUP(H83,T!$AA254:$AA269,T!$U254:$U269),IF(AND(H51="4G1",OR(H53=3,H53=6)),LOOKUP(H83,T!$AA254:$AA269,T!$X254:$X269),IF(AND(H51="4G1",OR(H53=4,H53=7)),LOOKUP(H83,T!$AA254:$AA269,T!$Y254:$Y269),IF(AND(H51="4G1",OR(H53=8,H53=9)),LOOKUP(H83,T!$AA254:$AA269,T!$Z254:$Z269),IF(AND(H51="4G2",OR(H53=2,H53=5)),LOOKUP(H83,T!$AA281:$AA296,T!$U281:$U296),IF(AND(H51="4G2",OR(H53=3,H53=6)),LOOKUP(H83,T!$AA281:$AA296,T!$X281:$X296),IF(AND(H51="4G2",OR(H53=4,H53=7)),LOOKUP(H83,T!$AA281:$AA296,T!$Y281:$Y296),IF(AND(H51="4G2",OR(H53=8,H53=9)),LOOKUP(H83,T!$AA281:$AA296,T!$Z281:$Z296),0)))))))),0)))))*H23*H69)/1000))</f>
        <v>3.4000560000000002</v>
      </c>
      <c r="I97" s="164">
        <f>IF(I29="","",IF(OR(COUNT(I19:I21)=3,COUNT(I19:I21)=1),(IF(I29="",0,IF(ISNUMBER(SEARCH("4D",I51)),IF(AND(I51="4D1",OR(I53=2,I53=4,I53=6,I53=8,I53=11),I55="DC"),LOOKUP(I83,T!$AC6:$AC27,T!$U6:$U27),IF(AND(I51="4D1",OR(I53=2,I53=4),I55="AC"),LOOKUP(I83,T!$AC6:$AC27,T!$V6:$V27),IF(AND(I51="4D1",OR(I53=6,I53=8),I55="AC"),LOOKUP(I83,T!$AC6:$AC27,T!$W6:$W27),IF(AND(I51="4D1",OR(I53=11,I53=12),I55="AC",I57=1),LOOKUP(I83,T!$AC6:$AC27,T!$X6:$X27),IF(AND(I51="4D1",OR(I53=3,I53=5),I55="AC"),LOOKUP(I83,T!$AC6:$AC27,T!$Y6:$Y27),IF(AND(I51="4D1",OR(I53=7,I53=10),I55="AC"),LOOKUP(I83,T!$AC6:$AC27,T!$Z6:$Z27),IF(AND(I51="4D1",I53=9,I55="AC"),LOOKUP(I83,T!$AC6:$AC27,T!$AA6:$AA27),IF(AND(I51="4D1",OR(I53=11,I53=12),I55="AC",I57=3),LOOKUP(I83,T!$AC13:$AC27,T!$AB13:$AB27),IF(AND(I51="4D2",OR(I53=2,I53=4,I53=6,I53=8),I55="DC"),LOOKUP(I83,T!$X33:$X50,T!$U33:$U50),IF(AND(I51="4D2",OR(I53=2,I53=4,I53=6,I53=8),I55="AC"),LOOKUP(I83,T!$X33:$X50,T!$V33:$V50),IF(AND(I51="4D2",OR(I53=3,I53=5,I53=7,I53=9),I55="AC"),LOOKUP(I83,T!$X33:$X50,T!$W33:$W50),IF(AND(I51="4D3",OR(I53=2,I53=4,I53=7,I53=8),I55="DC"),LOOKUP(I83,T!$AA56:$AA68,T!$U56:$U68),IF(AND(I51="4D3",OR(I53=2,I53=4),I55="AC"),LOOKUP(I83,T!$AA56:$AA68,T!$V56:$V68),IF(AND(I51="4D3",OR(I53=9,I53=10),I55="AC"),LOOKUP(I83,T!$AA56:$AA$68,T!$W56:$W68),IF(AND(I51="4D3",I53=6,I55="AC"),LOOKUP(I83,T!$AA56:$AA68,T!$X56:$X68),IF(AND(I51="4D3",OR(I53=3,I53=5),I55="AC"),LOOKUP(I83,T!$AA56:$AA68,T!$Y56:$Y68),IF(AND(I51="4D3",OR(I53=11,I53=12),I55="AC"),LOOKUP(I83,T!$AA56:$AA68,T!$Z56:$Z68),IF(AND(I51="4D4",OR(I53=2,I53=4,I53=6),I55="DC"),LOOKUP(I83,T!$X74:$X90,T!$U74:$U90),IF(AND(I51="4D4",OR(I53=2,I53=4,I53=6),I55="AC"),LOOKUP(I83,T!$X74:$X90,T!$V74:$V90),IF(AND(I51="4D4",OR(I53=3,I53=5,I53=7),I55="AC"),LOOKUP(I83,T!$X74:$X90,T!$W74:$W90),IF(AND(I51="4D5",AND(I53&gt;=2,I53&lt;=7)),LOOKUP(I83,T!$I96:$I102,T!$H96:$H102),0))))))))))))))))))))),IF(ISNUMBER(SEARCH("4E",I51)),IF(AND(I51="4E1",OR(I53=2,I53=4,I53=6,I53=8,I53=11),I55="DC"),LOOKUP(I83,T!$AC108:$AC129,T!$U108:$U129),IF(AND(I51="4E1",OR(I53=2,I53=4),I55="AC"),LOOKUP(I83,T!$AC108:$AC129,T!$V108:$V129),IF(AND(I51="4E1",OR(I53=6,I53=8),I55="AC"),LOOKUP(I83,T!$AC108:$AC129,T!$W108:$W129),IF(AND(I51="4E1",OR(I53=11,I53=12),I55="AC",I57=1),LOOKUP(I83,T!$AC108:$AC127,T!$X108:$X129),IF(AND(I51="4E1",OR(I53=3,I53=5),I55="AC"),LOOKUP(I83,T!$AC108:$AC129,T!$Y108:$Y129),IF(AND(I51="4E1",OR(I53=7,I53=10),I55="AC"),LOOKUP(I83,T!$AC108:$AC129,T!$Z108:$Z129),IF(AND(I51="4E1",I53=9,I55="AC"),LOOKUP(I83,T!$AC115:$AC129,T!$AA115:$AA129),IF(AND(I51="4E1",OR(I53=11,I53=12),I55="AC",I57=3),LOOKUP(I83,T!$AC115:$AC129,T!$AB115:$AB129),IF(AND(I51="4E2",OR(I53=2,I53=4,I53=6,I53=8),I55="DC"),LOOKUP(I83,T!$X134:$X152,T!$U134:$U152),IF(AND(I51="4E2",OR(I53=2,I53=4,I53=6,I53=8),I55="AC"),LOOKUP(I83,T!$X134:$X152,T!$V134:$V152),IF(AND(I51="4E2",OR(I53=3,I53=5,I53=7,I53=9),I55="AC"),LOOKUP(I83,T!$X134:$X152,T!$W134:$W152),IF(AND(I51="4E3",OR(I53=2,I53=4,I53=7,I53=8),I55="DC"),LOOKUP(I83,T!$AA158:$AA170,T!$U158:$U170),IF(AND(I51="4E3",OR(I53=2,I53=4),I55="AC"),LOOKUP(I83,T!$AA158:$AA170,T!$V158:$V170),IF(AND(I51="4E3",OR(I53=9,I53=10),I55="AC"),LOOKUP(I83,T!$AA158:$AA170,T!$W158:$W170),IF(AND(I51="4E3",I53=6,I55="AC"),LOOKUP(I83,T!$AA158:$AA170,T!$X158:$X170),IF(AND(I51="4E3",OR(I53=3,I53=5),I55="AC"),LOOKUP(I83,T!$AA158:$AA170,T!$Y158:$Y170),IF(AND(I51="4E3",OR(I53=11,I53=12),I55="AC"),LOOKUP(I83,T!$AA158:$AA170,T!$Z158:$Z170),IF(AND(I51="4E4",OR(I53=2,I53=4,I53=6),I55="DC"),LOOKUP(I83,T!$X176:$X192,T!$U176:$U192),IF(AND(I51="4E4",OR(I53=2,I53=4,I53=6),I55="AC"),LOOKUP(I83,T!$X176:$X192,T!$V176:$V192),IF(AND(I51="4E4",OR(I53=3,I53=5,I53=7),I55="AC"),LOOKUP(I83,T!$X176:$X192,T!$W176:$W192),0)))))))))))))))))))),IF(ISNUMBER(SEARCH("4F",I51)),IF(AND(I51="4F1",I53=2,I55="DC"),LOOKUP(I83,T!$Z198:$Z214,T!$U198:$U214),IF(AND(I51="4F1",I53=2,I55="AC"),LOOKUP(I83,T!$Z198:$Z214,T!$V198:$V214),IF(AND(I51="4F1",I53=3,I55="AC"),LOOKUP(I83,T!$Z198:$Z214,T!$W198:$W214),IF(AND(I51="4F1",I53=4,I55="DC"),LOOKUP(I83,T!$Z198:$Z214,T!$X198:$X214),IF(AND(I51="4F1",I53=4,I55="AC"),LOOKUP(I83,T!$Z198:$Z214,T!$Y198:$Y214),IF(AND(I51="4F2",I53=2,I55="DC"),LOOKUP(I83,T!$Y220:$Y236,T!$U220:$U236),IF(AND(I51="4F2",I53=2,I55="AC"),LOOKUP(I83,T!$Y220:$Y236,T!$V220:$V236),IF(AND(I51="4F2",I53=3,I55="AC"),LOOKUP(I83,T!$Y220:$Y236,T!$W220:$W236),IF(AND(I51="4F2",I53=4,I55="DC"),LOOKUP(I83,T!$Y220:$Y236,T!$X220:$X236),IF(AND(I51="4F3",I53=2),LOOKUP(I83,T!$W242:$W248,T!$U242:$U248),IF(AND(I51="4F3",I53=3,I55="AC"),LOOKUP(I83,T!$W242:$W248,T!$V242:$V248),0))))))))))),IF(ISNUMBER(SEARCH("4G",I51)),IF(AND(I51="4G1",OR(I53=2,I53=5)),LOOKUP(I83,T!$AA254:$AA269,T!$U254:$U269),IF(AND(I51="4G1",OR(I53=3,I53=6)),LOOKUP(I83,T!$AA254:$AA269,T!$X254:$X269),IF(AND(I51="4G1",OR(I53=4,I53=7)),LOOKUP(I83,T!$AA254:$AA269,T!$Y254:$Y269),IF(AND(I51="4G1",OR(I53=8,I53=9)),LOOKUP(I83,T!$AA254:$AA269,T!$Z254:$Z269),IF(AND(I51="4G2",OR(I53=2,I53=5)),LOOKUP(I83,T!$AA281:$AA296,T!$U281:$U296),IF(AND(I51="4G2",OR(I53=3,I53=6)),LOOKUP(I83,T!$AA281:$AA296,T!$X281:$X296),IF(AND(I51="4G2",OR(I53=4,I53=7)),LOOKUP(I83,T!$AA281:$AA296,T!$Y281:$Y296),IF(AND(I51="4G2",OR(I53=8,I53=9)),LOOKUP(I83,T!$AA281:$AA296,T!$Z281:$Z296),0)))))))),0)))))*I23*I69)/1000))</f>
        <v>0</v>
      </c>
      <c r="J97" s="164">
        <f>IF(J29="","",IF(OR(COUNT(J19:J21)=3,COUNT(J19:J21)=1),(IF(J29="",0,IF(ISNUMBER(SEARCH("4D",J51)),IF(AND(J51="4D1",OR(J53=2,J53=4,J53=6,J53=8,J53=11),J55="DC"),LOOKUP(J83,T!$AC6:$AC27,T!$U6:$U27),IF(AND(J51="4D1",OR(J53=2,J53=4),J55="AC"),LOOKUP(J83,T!$AC6:$AC27,T!$V6:$V27),IF(AND(J51="4D1",OR(J53=6,J53=8),J55="AC"),LOOKUP(J83,T!$AC6:$AC27,T!$W6:$W27),IF(AND(J51="4D1",OR(J53=11,J53=12),J55="AC",J57=1),LOOKUP(J83,T!$AC6:$AC27,T!$X6:$X27),IF(AND(J51="4D1",OR(J53=3,J53=5),J55="AC"),LOOKUP(J83,T!$AC6:$AC27,T!$Y6:$Y27),IF(AND(J51="4D1",OR(J53=7,J53=10),J55="AC"),LOOKUP(J83,T!$AC6:$AC27,T!$Z6:$Z27),IF(AND(J51="4D1",J53=9,J55="AC"),LOOKUP(J83,T!$AC6:$AC27,T!$AA6:$AA27),IF(AND(J51="4D1",OR(J53=11,J53=12),J55="AC",J57=3),LOOKUP(J83,T!$AC13:$AC27,T!$AB13:$AB27),IF(AND(J51="4D2",OR(J53=2,J53=4,J53=6,J53=8),J55="DC"),LOOKUP(J83,T!$X33:$X50,T!$U33:$U50),IF(AND(J51="4D2",OR(J53=2,J53=4,J53=6,J53=8),J55="AC"),LOOKUP(J83,T!$X33:$X50,T!$V33:$V50),IF(AND(J51="4D2",OR(J53=3,J53=5,J53=7,J53=9),J55="AC"),LOOKUP(J83,T!$X33:$X50,T!$W33:$W50),IF(AND(J51="4D3",OR(J53=2,J53=4,J53=7,J53=8),J55="DC"),LOOKUP(J83,T!$AA56:$AA68,T!$U56:$U68),IF(AND(J51="4D3",OR(J53=2,J53=4),J55="AC"),LOOKUP(J83,T!$AA56:$AA68,T!$V56:$V68),IF(AND(J51="4D3",OR(J53=9,J53=10),J55="AC"),LOOKUP(J83,T!$AA56:$AA$68,T!$W56:$W68),IF(AND(J51="4D3",J53=6,J55="AC"),LOOKUP(J83,T!$AA56:$AA68,T!$X56:$X68),IF(AND(J51="4D3",OR(J53=3,J53=5),J55="AC"),LOOKUP(J83,T!$AA56:$AA68,T!$Y56:$Y68),IF(AND(J51="4D3",OR(J53=11,J53=12),J55="AC"),LOOKUP(J83,T!$AA56:$AA68,T!$Z56:$Z68),IF(AND(J51="4D4",OR(J53=2,J53=4,J53=6),J55="DC"),LOOKUP(J83,T!$X74:$X90,T!$U74:$U90),IF(AND(J51="4D4",OR(J53=2,J53=4,J53=6),J55="AC"),LOOKUP(J83,T!$X74:$X90,T!$V74:$V90),IF(AND(J51="4D4",OR(J53=3,J53=5,J53=7),J55="AC"),LOOKUP(J83,T!$X74:$X90,T!$W74:$W90),IF(AND(J51="4D5",AND(J53&gt;=2,J53&lt;=7)),LOOKUP(J83,T!$I96:$I102,T!$H96:$H102),0))))))))))))))))))))),IF(ISNUMBER(SEARCH("4E",J51)),IF(AND(J51="4E1",OR(J53=2,J53=4,J53=6,J53=8,J53=11),J55="DC"),LOOKUP(J83,T!$AC108:$AC129,T!$U108:$U129),IF(AND(J51="4E1",OR(J53=2,J53=4),J55="AC"),LOOKUP(J83,T!$AC108:$AC129,T!$V108:$V129),IF(AND(J51="4E1",OR(J53=6,J53=8),J55="AC"),LOOKUP(J83,T!$AC108:$AC129,T!$W108:$W129),IF(AND(J51="4E1",OR(J53=11,J53=12),J55="AC",J57=1),LOOKUP(J83,T!$AC108:$AC127,T!$X108:$X129),IF(AND(J51="4E1",OR(J53=3,J53=5),J55="AC"),LOOKUP(J83,T!$AC108:$AC129,T!$Y108:$Y129),IF(AND(J51="4E1",OR(J53=7,J53=10),J55="AC"),LOOKUP(J83,T!$AC108:$AC129,T!$Z108:$Z129),IF(AND(J51="4E1",J53=9,J55="AC"),LOOKUP(J83,T!$AC115:$AC129,T!$AA115:$AA129),IF(AND(J51="4E1",OR(J53=11,J53=12),J55="AC",J57=3),LOOKUP(J83,T!$AC115:$AC129,T!$AB115:$AB129),IF(AND(J51="4E2",OR(J53=2,J53=4,J53=6,J53=8),J55="DC"),LOOKUP(J83,T!$X134:$X152,T!$U134:$U152),IF(AND(J51="4E2",OR(J53=2,J53=4,J53=6,J53=8),J55="AC"),LOOKUP(J83,T!$X134:$X152,T!$V134:$V152),IF(AND(J51="4E2",OR(J53=3,J53=5,J53=7,J53=9),J55="AC"),LOOKUP(J83,T!$X134:$X152,T!$W134:$W152),IF(AND(J51="4E3",OR(J53=2,J53=4,J53=7,J53=8),J55="DC"),LOOKUP(J83,T!$AA158:$AA170,T!$U158:$U170),IF(AND(J51="4E3",OR(J53=2,J53=4),J55="AC"),LOOKUP(J83,T!$AA158:$AA170,T!$V158:$V170),IF(AND(J51="4E3",OR(J53=9,J53=10),J55="AC"),LOOKUP(J83,T!$AA158:$AA170,T!$W158:$W170),IF(AND(J51="4E3",J53=6,J55="AC"),LOOKUP(J83,T!$AA158:$AA170,T!$X158:$X170),IF(AND(J51="4E3",OR(J53=3,J53=5),J55="AC"),LOOKUP(J83,T!$AA158:$AA170,T!$Y158:$Y170),IF(AND(J51="4E3",OR(J53=11,J53=12),J55="AC"),LOOKUP(J83,T!$AA158:$AA170,T!$Z158:$Z170),IF(AND(J51="4E4",OR(J53=2,J53=4,J53=6),J55="DC"),LOOKUP(J83,T!$X176:$X192,T!$U176:$U192),IF(AND(J51="4E4",OR(J53=2,J53=4,J53=6),J55="AC"),LOOKUP(J83,T!$X176:$X192,T!$V176:$V192),IF(AND(J51="4E4",OR(J53=3,J53=5,J53=7),J55="AC"),LOOKUP(J83,T!$X176:$X192,T!$W176:$W192),0)))))))))))))))))))),IF(ISNUMBER(SEARCH("4F",J51)),IF(AND(J51="4F1",J53=2,J55="DC"),LOOKUP(J83,T!$Z198:$Z214,T!$U198:$U214),IF(AND(J51="4F1",J53=2,J55="AC"),LOOKUP(J83,T!$Z198:$Z214,T!$V198:$V214),IF(AND(J51="4F1",J53=3,J55="AC"),LOOKUP(J83,T!$Z198:$Z214,T!$W198:$W214),IF(AND(J51="4F1",J53=4,J55="DC"),LOOKUP(J83,T!$Z198:$Z214,T!$X198:$X214),IF(AND(J51="4F1",J53=4,J55="AC"),LOOKUP(J83,T!$Z198:$Z214,T!$Y198:$Y214),IF(AND(J51="4F2",J53=2,J55="DC"),LOOKUP(J83,T!$Y220:$Y236,T!$U220:$U236),IF(AND(J51="4F2",J53=2,J55="AC"),LOOKUP(J83,T!$Y220:$Y236,T!$V220:$V236),IF(AND(J51="4F2",J53=3,J55="AC"),LOOKUP(J83,T!$Y220:$Y236,T!$W220:$W236),IF(AND(J51="4F2",J53=4,J55="DC"),LOOKUP(J83,T!$Y220:$Y236,T!$X220:$X236),IF(AND(J51="4F3",J53=2),LOOKUP(J83,T!$W242:$W248,T!$U242:$U248),IF(AND(J51="4F3",J53=3,J55="AC"),LOOKUP(J83,T!$W242:$W248,T!$V242:$V248),0))))))))))),IF(ISNUMBER(SEARCH("4G",J51)),IF(AND(J51="4G1",OR(J53=2,J53=5)),LOOKUP(J83,T!$AA254:$AA269,T!$U254:$U269),IF(AND(J51="4G1",OR(J53=3,J53=6)),LOOKUP(J83,T!$AA254:$AA269,T!$X254:$X269),IF(AND(J51="4G1",OR(J53=4,J53=7)),LOOKUP(J83,T!$AA254:$AA269,T!$Y254:$Y269),IF(AND(J51="4G1",OR(J53=8,J53=9)),LOOKUP(J83,T!$AA254:$AA269,T!$Z254:$Z269),IF(AND(J51="4G2",OR(J53=2,J53=5)),LOOKUP(J83,T!$AA281:$AA296,T!$U281:$U296),IF(AND(J51="4G2",OR(J53=3,J53=6)),LOOKUP(J83,T!$AA281:$AA296,T!$X281:$X296),IF(AND(J51="4G2",OR(J53=4,J53=7)),LOOKUP(J83,T!$AA281:$AA296,T!$Y281:$Y296),IF(AND(J51="4G2",OR(J53=8,J53=9)),LOOKUP(J83,T!$AA281:$AA296,T!$Z281:$Z296),0)))))))),0)))))*J23*J69)/1000))</f>
        <v>14.322916666666668</v>
      </c>
      <c r="K97" s="164">
        <f>IF(K29="","",IF(OR(COUNT(K19:K21)=3,COUNT(K19:K21)=1),(IF(K29="",0,IF(ISNUMBER(SEARCH("4D",K51)),IF(AND(K51="4D1",OR(K53=2,K53=4,K53=6,K53=8,K53=11),K55="DC"),LOOKUP(K83,T!$AC6:$AC27,T!$U6:$U27),IF(AND(K51="4D1",OR(K53=2,K53=4),K55="AC"),LOOKUP(K83,T!$AC6:$AC27,T!$V6:$V27),IF(AND(K51="4D1",OR(K53=6,K53=8),K55="AC"),LOOKUP(K83,T!$AC6:$AC27,T!$W6:$W27),IF(AND(K51="4D1",OR(K53=11,K53=12),K55="AC",K57=1),LOOKUP(K83,T!$AC6:$AC27,T!$X6:$X27),IF(AND(K51="4D1",OR(K53=3,K53=5),K55="AC"),LOOKUP(K83,T!$AC6:$AC27,T!$Y6:$Y27),IF(AND(K51="4D1",OR(K53=7,K53=10),K55="AC"),LOOKUP(K83,T!$AC6:$AC27,T!$Z6:$Z27),IF(AND(K51="4D1",K53=9,K55="AC"),LOOKUP(K83,T!$AC6:$AC27,T!$AA6:$AA27),IF(AND(K51="4D1",OR(K53=11,K53=12),K55="AC",K57=3),LOOKUP(K83,T!$AC13:$AC27,T!$AB13:$AB27),IF(AND(K51="4D2",OR(K53=2,K53=4,K53=6,K53=8),K55="DC"),LOOKUP(K83,T!$X33:$X50,T!$U33:$U50),IF(AND(K51="4D2",OR(K53=2,K53=4,K53=6,K53=8),K55="AC"),LOOKUP(K83,T!$X33:$X50,T!$V33:$V50),IF(AND(K51="4D2",OR(K53=3,K53=5,K53=7,K53=9),K55="AC"),LOOKUP(K83,T!$X33:$X50,T!$W33:$W50),IF(AND(K51="4D3",OR(K53=2,K53=4,K53=7,K53=8),K55="DC"),LOOKUP(K83,T!$AA56:$AA68,T!$U56:$U68),IF(AND(K51="4D3",OR(K53=2,K53=4),K55="AC"),LOOKUP(K83,T!$AA56:$AA68,T!$V56:$V68),IF(AND(K51="4D3",OR(K53=9,K53=10),K55="AC"),LOOKUP(K83,T!$AA56:$AA$68,T!$W56:$W68),IF(AND(K51="4D3",K53=6,K55="AC"),LOOKUP(K83,T!$AA56:$AA68,T!$X56:$X68),IF(AND(K51="4D3",OR(K53=3,K53=5),K55="AC"),LOOKUP(K83,T!$AA56:$AA68,T!$Y56:$Y68),IF(AND(K51="4D3",OR(K53=11,K53=12),K55="AC"),LOOKUP(K83,T!$AA56:$AA68,T!$Z56:$Z68),IF(AND(K51="4D4",OR(K53=2,K53=4,K53=6),K55="DC"),LOOKUP(K83,T!$X74:$X90,T!$U74:$U90),IF(AND(K51="4D4",OR(K53=2,K53=4,K53=6),K55="AC"),LOOKUP(K83,T!$X74:$X90,T!$V74:$V90),IF(AND(K51="4D4",OR(K53=3,K53=5,K53=7),K55="AC"),LOOKUP(K83,T!$X74:$X90,T!$W74:$W90),IF(AND(K51="4D5",AND(K53&gt;=2,K53&lt;=7)),LOOKUP(K83,T!$I96:$I102,T!$H96:$H102),0))))))))))))))))))))),IF(ISNUMBER(SEARCH("4E",K51)),IF(AND(K51="4E1",OR(K53=2,K53=4,K53=6,K53=8,K53=11),K55="DC"),LOOKUP(K83,T!$AC108:$AC129,T!$U108:$U129),IF(AND(K51="4E1",OR(K53=2,K53=4),K55="AC"),LOOKUP(K83,T!$AC108:$AC129,T!$V108:$V129),IF(AND(K51="4E1",OR(K53=6,K53=8),K55="AC"),LOOKUP(K83,T!$AC108:$AC129,T!$W108:$W129),IF(AND(K51="4E1",OR(K53=11,K53=12),K55="AC",K57=1),LOOKUP(K83,T!$AC108:$AC127,T!$X108:$X129),IF(AND(K51="4E1",OR(K53=3,K53=5),K55="AC"),LOOKUP(K83,T!$AC108:$AC129,T!$Y108:$Y129),IF(AND(K51="4E1",OR(K53=7,K53=10),K55="AC"),LOOKUP(K83,T!$AC108:$AC129,T!$Z108:$Z129),IF(AND(K51="4E1",K53=9,K55="AC"),LOOKUP(K83,T!$AC115:$AC129,T!$AA115:$AA129),IF(AND(K51="4E1",OR(K53=11,K53=12),K55="AC",K57=3),LOOKUP(K83,T!$AC115:$AC129,T!$AB115:$AB129),IF(AND(K51="4E2",OR(K53=2,K53=4,K53=6,K53=8),K55="DC"),LOOKUP(K83,T!$X134:$X152,T!$U134:$U152),IF(AND(K51="4E2",OR(K53=2,K53=4,K53=6,K53=8),K55="AC"),LOOKUP(K83,T!$X134:$X152,T!$V134:$V152),IF(AND(K51="4E2",OR(K53=3,K53=5,K53=7,K53=9),K55="AC"),LOOKUP(K83,T!$X134:$X152,T!$W134:$W152),IF(AND(K51="4E3",OR(K53=2,K53=4,K53=7,K53=8),K55="DC"),LOOKUP(K83,T!$AA158:$AA170,T!$U158:$U170),IF(AND(K51="4E3",OR(K53=2,K53=4),K55="AC"),LOOKUP(K83,T!$AA158:$AA170,T!$V158:$V170),IF(AND(K51="4E3",OR(K53=9,K53=10),K55="AC"),LOOKUP(K83,T!$AA158:$AA170,T!$W158:$W170),IF(AND(K51="4E3",K53=6,K55="AC"),LOOKUP(K83,T!$AA158:$AA170,T!$X158:$X170),IF(AND(K51="4E3",OR(K53=3,K53=5),K55="AC"),LOOKUP(K83,T!$AA158:$AA170,T!$Y158:$Y170),IF(AND(K51="4E3",OR(K53=11,K53=12),K55="AC"),LOOKUP(K83,T!$AA158:$AA170,T!$Z158:$Z170),IF(AND(K51="4E4",OR(K53=2,K53=4,K53=6),K55="DC"),LOOKUP(K83,T!$X176:$X192,T!$U176:$U192),IF(AND(K51="4E4",OR(K53=2,K53=4,K53=6),K55="AC"),LOOKUP(K83,T!$X176:$X192,T!$V176:$V192),IF(AND(K51="4E4",OR(K53=3,K53=5,K53=7),K55="AC"),LOOKUP(K83,T!$X176:$X192,T!$W176:$W192),0)))))))))))))))))))),IF(ISNUMBER(SEARCH("4F",K51)),IF(AND(K51="4F1",K53=2,K55="DC"),LOOKUP(K83,T!$Z198:$Z214,T!$U198:$U214),IF(AND(K51="4F1",K53=2,K55="AC"),LOOKUP(K83,T!$Z198:$Z214,T!$V198:$V214),IF(AND(K51="4F1",K53=3,K55="AC"),LOOKUP(K83,T!$Z198:$Z214,T!$W198:$W214),IF(AND(K51="4F1",K53=4,K55="DC"),LOOKUP(K83,T!$Z198:$Z214,T!$X198:$X214),IF(AND(K51="4F1",K53=4,K55="AC"),LOOKUP(K83,T!$Z198:$Z214,T!$Y198:$Y214),IF(AND(K51="4F2",K53=2,K55="DC"),LOOKUP(K83,T!$Y220:$Y236,T!$U220:$U236),IF(AND(K51="4F2",K53=2,K55="AC"),LOOKUP(K83,T!$Y220:$Y236,T!$V220:$V236),IF(AND(K51="4F2",K53=3,K55="AC"),LOOKUP(K83,T!$Y220:$Y236,T!$W220:$W236),IF(AND(K51="4F2",K53=4,K55="DC"),LOOKUP(K83,T!$Y220:$Y236,T!$X220:$X236),IF(AND(K51="4F3",K53=2),LOOKUP(K83,T!$W242:$W248,T!$U242:$U248),IF(AND(K51="4F3",K53=3,K55="AC"),LOOKUP(K83,T!$W242:$W248,T!$V242:$V248),0))))))))))),IF(ISNUMBER(SEARCH("4G",K51)),IF(AND(K51="4G1",OR(K53=2,K53=5)),LOOKUP(K83,T!$AA254:$AA269,T!$U254:$U269),IF(AND(K51="4G1",OR(K53=3,K53=6)),LOOKUP(K83,T!$AA254:$AA269,T!$X254:$X269),IF(AND(K51="4G1",OR(K53=4,K53=7)),LOOKUP(K83,T!$AA254:$AA269,T!$Y254:$Y269),IF(AND(K51="4G1",OR(K53=8,K53=9)),LOOKUP(K83,T!$AA254:$AA269,T!$Z254:$Z269),IF(AND(K51="4G2",OR(K53=2,K53=5)),LOOKUP(K83,T!$AA281:$AA296,T!$U281:$U296),IF(AND(K51="4G2",OR(K53=3,K53=6)),LOOKUP(K83,T!$AA281:$AA296,T!$X281:$X296),IF(AND(K51="4G2",OR(K53=4,K53=7)),LOOKUP(K83,T!$AA281:$AA296,T!$Y281:$Y296),IF(AND(K51="4G2",OR(K53=8,K53=9)),LOOKUP(K83,T!$AA281:$AA296,T!$Z281:$Z296),0)))))))),0)))))*K23*K69)/1000))</f>
        <v>7.4698199999999986</v>
      </c>
      <c r="L97" s="164">
        <f>IF(L29="","",IF(OR(COUNT(L19:L21)=3,COUNT(L19:L21)=1),(IF(L29="",0,IF(ISNUMBER(SEARCH("4D",L51)),IF(AND(L51="4D1",OR(L53=2,L53=4,L53=6,L53=8,L53=11),L55="DC"),LOOKUP(L83,T!$AC6:$AC27,T!$U6:$U27),IF(AND(L51="4D1",OR(L53=2,L53=4),L55="AC"),LOOKUP(L83,T!$AC6:$AC27,T!$V6:$V27),IF(AND(L51="4D1",OR(L53=6,L53=8),L55="AC"),LOOKUP(L83,T!$AC6:$AC27,T!$W6:$W27),IF(AND(L51="4D1",OR(L53=11,L53=12),L55="AC",L57=1),LOOKUP(L83,T!$AC6:$AC27,T!$X6:$X27),IF(AND(L51="4D1",OR(L53=3,L53=5),L55="AC"),LOOKUP(L83,T!$AC6:$AC27,T!$Y6:$Y27),IF(AND(L51="4D1",OR(L53=7,L53=10),L55="AC"),LOOKUP(L83,T!$AC6:$AC27,T!$Z6:$Z27),IF(AND(L51="4D1",L53=9,L55="AC"),LOOKUP(L83,T!$AC6:$AC27,T!$AA6:$AA27),IF(AND(L51="4D1",OR(L53=11,L53=12),L55="AC",L57=3),LOOKUP(L83,T!$AC13:$AC27,T!$AB13:$AB27),IF(AND(L51="4D2",OR(L53=2,L53=4,L53=6,L53=8),L55="DC"),LOOKUP(L83,T!$X33:$X50,T!$U33:$U50),IF(AND(L51="4D2",OR(L53=2,L53=4,L53=6,L53=8),L55="AC"),LOOKUP(L83,T!$X33:$X50,T!$V33:$V50),IF(AND(L51="4D2",OR(L53=3,L53=5,L53=7,L53=9),L55="AC"),LOOKUP(L83,T!$X33:$X50,T!$W33:$W50),IF(AND(L51="4D3",OR(L53=2,L53=4,L53=7,L53=8),L55="DC"),LOOKUP(L83,T!$AA56:$AA68,T!$U56:$U68),IF(AND(L51="4D3",OR(L53=2,L53=4),L55="AC"),LOOKUP(L83,T!$AA56:$AA68,T!$V56:$V68),IF(AND(L51="4D3",OR(L53=9,L53=10),L55="AC"),LOOKUP(L83,T!$AA56:$AA$68,T!$W56:$W68),IF(AND(L51="4D3",L53=6,L55="AC"),LOOKUP(L83,T!$AA56:$AA68,T!$X56:$X68),IF(AND(L51="4D3",OR(L53=3,L53=5),L55="AC"),LOOKUP(L83,T!$AA56:$AA68,T!$Y56:$Y68),IF(AND(L51="4D3",OR(L53=11,L53=12),L55="AC"),LOOKUP(L83,T!$AA56:$AA68,T!$Z56:$Z68),IF(AND(L51="4D4",OR(L53=2,L53=4,L53=6),L55="DC"),LOOKUP(L83,T!$X74:$X90,T!$U74:$U90),IF(AND(L51="4D4",OR(L53=2,L53=4,L53=6),L55="AC"),LOOKUP(L83,T!$X74:$X90,T!$V74:$V90),IF(AND(L51="4D4",OR(L53=3,L53=5,L53=7),L55="AC"),LOOKUP(L83,T!$X74:$X90,T!$W74:$W90),IF(AND(L51="4D5",AND(L53&gt;=2,L53&lt;=7)),LOOKUP(L83,T!$I96:$I102,T!$H96:$H102),0))))))))))))))))))))),IF(ISNUMBER(SEARCH("4E",L51)),IF(AND(L51="4E1",OR(L53=2,L53=4,L53=6,L53=8,L53=11),L55="DC"),LOOKUP(L83,T!$AC108:$AC129,T!$U108:$U129),IF(AND(L51="4E1",OR(L53=2,L53=4),L55="AC"),LOOKUP(L83,T!$AC108:$AC129,T!$V108:$V129),IF(AND(L51="4E1",OR(L53=6,L53=8),L55="AC"),LOOKUP(L83,T!$AC108:$AC129,T!$W108:$W129),IF(AND(L51="4E1",OR(L53=11,L53=12),L55="AC",L57=1),LOOKUP(L83,T!$AC108:$AC127,T!$X108:$X129),IF(AND(L51="4E1",OR(L53=3,L53=5),L55="AC"),LOOKUP(L83,T!$AC108:$AC129,T!$Y108:$Y129),IF(AND(L51="4E1",OR(L53=7,L53=10),L55="AC"),LOOKUP(L83,T!$AC108:$AC129,T!$Z108:$Z129),IF(AND(L51="4E1",L53=9,L55="AC"),LOOKUP(L83,T!$AC115:$AC129,T!$AA115:$AA129),IF(AND(L51="4E1",OR(L53=11,L53=12),L55="AC",L57=3),LOOKUP(L83,T!$AC115:$AC129,T!$AB115:$AB129),IF(AND(L51="4E2",OR(L53=2,L53=4,L53=6,L53=8),L55="DC"),LOOKUP(L83,T!$X134:$X152,T!$U134:$U152),IF(AND(L51="4E2",OR(L53=2,L53=4,L53=6,L53=8),L55="AC"),LOOKUP(L83,T!$X134:$X152,T!$V134:$V152),IF(AND(L51="4E2",OR(L53=3,L53=5,L53=7,L53=9),L55="AC"),LOOKUP(L83,T!$X134:$X152,T!$W134:$W152),IF(AND(L51="4E3",OR(L53=2,L53=4,L53=7,L53=8),L55="DC"),LOOKUP(L83,T!$AA158:$AA170,T!$U158:$U170),IF(AND(L51="4E3",OR(L53=2,L53=4),L55="AC"),LOOKUP(L83,T!$AA158:$AA170,T!$V158:$V170),IF(AND(L51="4E3",OR(L53=9,L53=10),L55="AC"),LOOKUP(L83,T!$AA158:$AA170,T!$W158:$W170),IF(AND(L51="4E3",L53=6,L55="AC"),LOOKUP(L83,T!$AA158:$AA170,T!$X158:$X170),IF(AND(L51="4E3",OR(L53=3,L53=5),L55="AC"),LOOKUP(L83,T!$AA158:$AA170,T!$Y158:$Y170),IF(AND(L51="4E3",OR(L53=11,L53=12),L55="AC"),LOOKUP(L83,T!$AA158:$AA170,T!$Z158:$Z170),IF(AND(L51="4E4",OR(L53=2,L53=4,L53=6),L55="DC"),LOOKUP(L83,T!$X176:$X192,T!$U176:$U192),IF(AND(L51="4E4",OR(L53=2,L53=4,L53=6),L55="AC"),LOOKUP(L83,T!$X176:$X192,T!$V176:$V192),IF(AND(L51="4E4",OR(L53=3,L53=5,L53=7),L55="AC"),LOOKUP(L83,T!$X176:$X192,T!$W176:$W192),0)))))))))))))))))))),IF(ISNUMBER(SEARCH("4F",L51)),IF(AND(L51="4F1",L53=2,L55="DC"),LOOKUP(L83,T!$Z198:$Z214,T!$U198:$U214),IF(AND(L51="4F1",L53=2,L55="AC"),LOOKUP(L83,T!$Z198:$Z214,T!$V198:$V214),IF(AND(L51="4F1",L53=3,L55="AC"),LOOKUP(L83,T!$Z198:$Z214,T!$W198:$W214),IF(AND(L51="4F1",L53=4,L55="DC"),LOOKUP(L83,T!$Z198:$Z214,T!$X198:$X214),IF(AND(L51="4F1",L53=4,L55="AC"),LOOKUP(L83,T!$Z198:$Z214,T!$Y198:$Y214),IF(AND(L51="4F2",L53=2,L55="DC"),LOOKUP(L83,T!$Y220:$Y236,T!$U220:$U236),IF(AND(L51="4F2",L53=2,L55="AC"),LOOKUP(L83,T!$Y220:$Y236,T!$V220:$V236),IF(AND(L51="4F2",L53=3,L55="AC"),LOOKUP(L83,T!$Y220:$Y236,T!$W220:$W236),IF(AND(L51="4F2",L53=4,L55="DC"),LOOKUP(L83,T!$Y220:$Y236,T!$X220:$X236),IF(AND(L51="4F3",L53=2),LOOKUP(L83,T!$W242:$W248,T!$U242:$U248),IF(AND(L51="4F3",L53=3,L55="AC"),LOOKUP(L83,T!$W242:$W248,T!$V242:$V248),0))))))))))),IF(ISNUMBER(SEARCH("4G",L51)),IF(AND(L51="4G1",OR(L53=2,L53=5)),LOOKUP(L83,T!$AA254:$AA269,T!$U254:$U269),IF(AND(L51="4G1",OR(L53=3,L53=6)),LOOKUP(L83,T!$AA254:$AA269,T!$X254:$X269),IF(AND(L51="4G1",OR(L53=4,L53=7)),LOOKUP(L83,T!$AA254:$AA269,T!$Y254:$Y269),IF(AND(L51="4G1",OR(L53=8,L53=9)),LOOKUP(L83,T!$AA254:$AA269,T!$Z254:$Z269),IF(AND(L51="4G2",OR(L53=2,L53=5)),LOOKUP(L83,T!$AA281:$AA296,T!$U281:$U296),IF(AND(L51="4G2",OR(L53=3,L53=6)),LOOKUP(L83,T!$AA281:$AA296,T!$X281:$X296),IF(AND(L51="4G2",OR(L53=4,L53=7)),LOOKUP(L83,T!$AA281:$AA296,T!$Y281:$Y296),IF(AND(L51="4G2",OR(L53=8,L53=9)),LOOKUP(L83,T!$AA281:$AA296,T!$Z281:$Z296),0)))))))),0)))))*L23*L69)/1000))</f>
        <v>7.4698199999999986</v>
      </c>
      <c r="M97" s="164" t="str">
        <f>IF(M29="","",IF(OR(COUNT(M19:M21)=3,COUNT(M19:M21)=1),(IF(M29="",0,IF(ISNUMBER(SEARCH("4D",M51)),IF(AND(M51="4D1",OR(M53=2,M53=4,M53=6,M53=8,M53=11),M55="DC"),LOOKUP(M83,T!$AC6:$AC27,T!$U6:$U27),IF(AND(M51="4D1",OR(M53=2,M53=4),M55="AC"),LOOKUP(M83,T!$AC6:$AC27,T!$V6:$V27),IF(AND(M51="4D1",OR(M53=6,M53=8),M55="AC"),LOOKUP(M83,T!$AC6:$AC27,T!$W6:$W27),IF(AND(M51="4D1",OR(M53=11,M53=12),M55="AC",M57=1),LOOKUP(M83,T!$AC6:$AC27,T!$X6:$X27),IF(AND(M51="4D1",OR(M53=3,M53=5),M55="AC"),LOOKUP(M83,T!$AC6:$AC27,T!$Y6:$Y27),IF(AND(M51="4D1",OR(M53=7,M53=10),M55="AC"),LOOKUP(M83,T!$AC6:$AC27,T!$Z6:$Z27),IF(AND(M51="4D1",M53=9,M55="AC"),LOOKUP(M83,T!$AC6:$AC27,T!$AA6:$AA27),IF(AND(M51="4D1",OR(M53=11,M53=12),M55="AC",M57=3),LOOKUP(M83,T!$AC13:$AC27,T!$AB13:$AB27),IF(AND(M51="4D2",OR(M53=2,M53=4,M53=6,M53=8),M55="DC"),LOOKUP(M83,T!$X33:$X50,T!$U33:$U50),IF(AND(M51="4D2",OR(M53=2,M53=4,M53=6,M53=8),M55="AC"),LOOKUP(M83,T!$X33:$X50,T!$V33:$V50),IF(AND(M51="4D2",OR(M53=3,M53=5,M53=7,M53=9),M55="AC"),LOOKUP(M83,T!$X33:$X50,T!$W33:$W50),IF(AND(M51="4D3",OR(M53=2,M53=4,M53=7,M53=8),M55="DC"),LOOKUP(M83,T!$AA56:$AA68,T!$U56:$U68),IF(AND(M51="4D3",OR(M53=2,M53=4),M55="AC"),LOOKUP(M83,T!$AA56:$AA68,T!$V56:$V68),IF(AND(M51="4D3",OR(M53=9,M53=10),M55="AC"),LOOKUP(M83,T!$AA56:$AA$68,T!$W56:$W68),IF(AND(M51="4D3",M53=6,M55="AC"),LOOKUP(M83,T!$AA56:$AA68,T!$X56:$X68),IF(AND(M51="4D3",OR(M53=3,M53=5),M55="AC"),LOOKUP(M83,T!$AA56:$AA68,T!$Y56:$Y68),IF(AND(M51="4D3",OR(M53=11,M53=12),M55="AC"),LOOKUP(M83,T!$AA56:$AA68,T!$Z56:$Z68),IF(AND(M51="4D4",OR(M53=2,M53=4,M53=6),M55="DC"),LOOKUP(M83,T!$X74:$X90,T!$U74:$U90),IF(AND(M51="4D4",OR(M53=2,M53=4,M53=6),M55="AC"),LOOKUP(M83,T!$X74:$X90,T!$V74:$V90),IF(AND(M51="4D4",OR(M53=3,M53=5,M53=7),M55="AC"),LOOKUP(M83,T!$X74:$X90,T!$W74:$W90),IF(AND(M51="4D5",AND(M53&gt;=2,M53&lt;=7)),LOOKUP(M83,T!$I96:$I102,T!$H96:$H102),0))))))))))))))))))))),IF(ISNUMBER(SEARCH("4E",M51)),IF(AND(M51="4E1",OR(M53=2,M53=4,M53=6,M53=8,M53=11),M55="DC"),LOOKUP(M83,T!$AC108:$AC129,T!$U108:$U129),IF(AND(M51="4E1",OR(M53=2,M53=4),M55="AC"),LOOKUP(M83,T!$AC108:$AC129,T!$V108:$V129),IF(AND(M51="4E1",OR(M53=6,M53=8),M55="AC"),LOOKUP(M83,T!$AC108:$AC129,T!$W108:$W129),IF(AND(M51="4E1",OR(M53=11,M53=12),M55="AC",M57=1),LOOKUP(M83,T!$AC108:$AC127,T!$X108:$X129),IF(AND(M51="4E1",OR(M53=3,M53=5),M55="AC"),LOOKUP(M83,T!$AC108:$AC129,T!$Y108:$Y129),IF(AND(M51="4E1",OR(M53=7,M53=10),M55="AC"),LOOKUP(M83,T!$AC108:$AC129,T!$Z108:$Z129),IF(AND(M51="4E1",M53=9,M55="AC"),LOOKUP(M83,T!$AC115:$AC129,T!$AA115:$AA129),IF(AND(M51="4E1",OR(M53=11,M53=12),M55="AC",M57=3),LOOKUP(M83,T!$AC115:$AC129,T!$AB115:$AB129),IF(AND(M51="4E2",OR(M53=2,M53=4,M53=6,M53=8),M55="DC"),LOOKUP(M83,T!$X134:$X152,T!$U134:$U152),IF(AND(M51="4E2",OR(M53=2,M53=4,M53=6,M53=8),M55="AC"),LOOKUP(M83,T!$X134:$X152,T!$V134:$V152),IF(AND(M51="4E2",OR(M53=3,M53=5,M53=7,M53=9),M55="AC"),LOOKUP(M83,T!$X134:$X152,T!$W134:$W152),IF(AND(M51="4E3",OR(M53=2,M53=4,M53=7,M53=8),M55="DC"),LOOKUP(M83,T!$AA158:$AA170,T!$U158:$U170),IF(AND(M51="4E3",OR(M53=2,M53=4),M55="AC"),LOOKUP(M83,T!$AA158:$AA170,T!$V158:$V170),IF(AND(M51="4E3",OR(M53=9,M53=10),M55="AC"),LOOKUP(M83,T!$AA158:$AA170,T!$W158:$W170),IF(AND(M51="4E3",M53=6,M55="AC"),LOOKUP(M83,T!$AA158:$AA170,T!$X158:$X170),IF(AND(M51="4E3",OR(M53=3,M53=5),M55="AC"),LOOKUP(M83,T!$AA158:$AA170,T!$Y158:$Y170),IF(AND(M51="4E3",OR(M53=11,M53=12),M55="AC"),LOOKUP(M83,T!$AA158:$AA170,T!$Z158:$Z170),IF(AND(M51="4E4",OR(M53=2,M53=4,M53=6),M55="DC"),LOOKUP(M83,T!$X176:$X192,T!$U176:$U192),IF(AND(M51="4E4",OR(M53=2,M53=4,M53=6),M55="AC"),LOOKUP(M83,T!$X176:$X192,T!$V176:$V192),IF(AND(M51="4E4",OR(M53=3,M53=5,M53=7),M55="AC"),LOOKUP(M83,T!$X176:$X192,T!$W176:$W192),0)))))))))))))))))))),IF(ISNUMBER(SEARCH("4F",M51)),IF(AND(M51="4F1",M53=2,M55="DC"),LOOKUP(M83,T!$Z198:$Z214,T!$U198:$U214),IF(AND(M51="4F1",M53=2,M55="AC"),LOOKUP(M83,T!$Z198:$Z214,T!$V198:$V214),IF(AND(M51="4F1",M53=3,M55="AC"),LOOKUP(M83,T!$Z198:$Z214,T!$W198:$W214),IF(AND(M51="4F1",M53=4,M55="DC"),LOOKUP(M83,T!$Z198:$Z214,T!$X198:$X214),IF(AND(M51="4F1",M53=4,M55="AC"),LOOKUP(M83,T!$Z198:$Z214,T!$Y198:$Y214),IF(AND(M51="4F2",M53=2,M55="DC"),LOOKUP(M83,T!$Y220:$Y236,T!$U220:$U236),IF(AND(M51="4F2",M53=2,M55="AC"),LOOKUP(M83,T!$Y220:$Y236,T!$V220:$V236),IF(AND(M51="4F2",M53=3,M55="AC"),LOOKUP(M83,T!$Y220:$Y236,T!$W220:$W236),IF(AND(M51="4F2",M53=4,M55="DC"),LOOKUP(M83,T!$Y220:$Y236,T!$X220:$X236),IF(AND(M51="4F3",M53=2),LOOKUP(M83,T!$W242:$W248,T!$U242:$U248),IF(AND(M51="4F3",M53=3,M55="AC"),LOOKUP(M83,T!$W242:$W248,T!$V242:$V248),0))))))))))),IF(ISNUMBER(SEARCH("4G",M51)),IF(AND(M51="4G1",OR(M53=2,M53=5)),LOOKUP(M83,T!$AA254:$AA269,T!$U254:$U269),IF(AND(M51="4G1",OR(M53=3,M53=6)),LOOKUP(M83,T!$AA254:$AA269,T!$X254:$X269),IF(AND(M51="4G1",OR(M53=4,M53=7)),LOOKUP(M83,T!$AA254:$AA269,T!$Y254:$Y269),IF(AND(M51="4G1",OR(M53=8,M53=9)),LOOKUP(M83,T!$AA254:$AA269,T!$Z254:$Z269),IF(AND(M51="4G2",OR(M53=2,M53=5)),LOOKUP(M83,T!$AA281:$AA296,T!$U281:$U296),IF(AND(M51="4G2",OR(M53=3,M53=6)),LOOKUP(M83,T!$AA281:$AA296,T!$X281:$X296),IF(AND(M51="4G2",OR(M53=4,M53=7)),LOOKUP(M83,T!$AA281:$AA296,T!$Y281:$Y296),IF(AND(M51="4G2",OR(M53=8,M53=9)),LOOKUP(M83,T!$AA281:$AA296,T!$Z281:$Z296),0)))))))),0)))))*M23*M69)/1000))</f>
        <v/>
      </c>
      <c r="N97" s="164">
        <f>IF(N29="","",IF(OR(COUNT(N19:N21)=3,COUNT(N19:N21)=1),(IF(N29="",0,IF(ISNUMBER(SEARCH("4D",N51)),IF(AND(N51="4D1",OR(N53=2,N53=4,N53=6,N53=8,N53=11),N55="DC"),LOOKUP(N83,T!$AC6:$AC27,T!$U6:$U27),IF(AND(N51="4D1",OR(N53=2,N53=4),N55="AC"),LOOKUP(N83,T!$AC6:$AC27,T!$V6:$V27),IF(AND(N51="4D1",OR(N53=6,N53=8),N55="AC"),LOOKUP(N83,T!$AC6:$AC27,T!$W6:$W27),IF(AND(N51="4D1",OR(N53=11,N53=12),N55="AC",N57=1),LOOKUP(N83,T!$AC6:$AC27,T!$X6:$X27),IF(AND(N51="4D1",OR(N53=3,N53=5),N55="AC"),LOOKUP(N83,T!$AC6:$AC27,T!$Y6:$Y27),IF(AND(N51="4D1",OR(N53=7,N53=10),N55="AC"),LOOKUP(N83,T!$AC6:$AC27,T!$Z6:$Z27),IF(AND(N51="4D1",N53=9,N55="AC"),LOOKUP(N83,T!$AC6:$AC27,T!$AA6:$AA27),IF(AND(N51="4D1",OR(N53=11,N53=12),N55="AC",N57=3),LOOKUP(N83,T!$AC13:$AC27,T!$AB13:$AB27),IF(AND(N51="4D2",OR(N53=2,N53=4,N53=6,N53=8),N55="DC"),LOOKUP(N83,T!$X33:$X50,T!$U33:$U50),IF(AND(N51="4D2",OR(N53=2,N53=4,N53=6,N53=8),N55="AC"),LOOKUP(N83,T!$X33:$X50,T!$V33:$V50),IF(AND(N51="4D2",OR(N53=3,N53=5,N53=7,N53=9),N55="AC"),LOOKUP(N83,T!$X33:$X50,T!$W33:$W50),IF(AND(N51="4D3",OR(N53=2,N53=4,N53=7,N53=8),N55="DC"),LOOKUP(N83,T!$AA56:$AA68,T!$U56:$U68),IF(AND(N51="4D3",OR(N53=2,N53=4),N55="AC"),LOOKUP(N83,T!$AA56:$AA68,T!$V56:$V68),IF(AND(N51="4D3",OR(N53=9,N53=10),N55="AC"),LOOKUP(N83,T!$AA56:$AA$68,T!$W56:$W68),IF(AND(N51="4D3",N53=6,N55="AC"),LOOKUP(N83,T!$AA56:$AA68,T!$X56:$X68),IF(AND(N51="4D3",OR(N53=3,N53=5),N55="AC"),LOOKUP(N83,T!$AA56:$AA68,T!$Y56:$Y68),IF(AND(N51="4D3",OR(N53=11,N53=12),N55="AC"),LOOKUP(N83,T!$AA56:$AA68,T!$Z56:$Z68),IF(AND(N51="4D4",OR(N53=2,N53=4,N53=6),N55="DC"),LOOKUP(N83,T!$X74:$X90,T!$U74:$U90),IF(AND(N51="4D4",OR(N53=2,N53=4,N53=6),N55="AC"),LOOKUP(N83,T!$X74:$X90,T!$V74:$V90),IF(AND(N51="4D4",OR(N53=3,N53=5,N53=7),N55="AC"),LOOKUP(N83,T!$X74:$X90,T!$W74:$W90),IF(AND(N51="4D5",AND(N53&gt;=2,N53&lt;=7)),LOOKUP(N83,T!$I96:$I102,T!$H96:$H102),0))))))))))))))))))))),IF(ISNUMBER(SEARCH("4E",N51)),IF(AND(N51="4E1",OR(N53=2,N53=4,N53=6,N53=8,N53=11),N55="DC"),LOOKUP(N83,T!$AC108:$AC129,T!$U108:$U129),IF(AND(N51="4E1",OR(N53=2,N53=4),N55="AC"),LOOKUP(N83,T!$AC108:$AC129,T!$V108:$V129),IF(AND(N51="4E1",OR(N53=6,N53=8),N55="AC"),LOOKUP(N83,T!$AC108:$AC129,T!$W108:$W129),IF(AND(N51="4E1",OR(N53=11,N53=12),N55="AC",N57=1),LOOKUP(N83,T!$AC108:$AC127,T!$X108:$X129),IF(AND(N51="4E1",OR(N53=3,N53=5),N55="AC"),LOOKUP(N83,T!$AC108:$AC129,T!$Y108:$Y129),IF(AND(N51="4E1",OR(N53=7,N53=10),N55="AC"),LOOKUP(N83,T!$AC108:$AC129,T!$Z108:$Z129),IF(AND(N51="4E1",N53=9,N55="AC"),LOOKUP(N83,T!$AC115:$AC129,T!$AA115:$AA129),IF(AND(N51="4E1",OR(N53=11,N53=12),N55="AC",N57=3),LOOKUP(N83,T!$AC115:$AC129,T!$AB115:$AB129),IF(AND(N51="4E2",OR(N53=2,N53=4,N53=6,N53=8),N55="DC"),LOOKUP(N83,T!$X134:$X152,T!$U134:$U152),IF(AND(N51="4E2",OR(N53=2,N53=4,N53=6,N53=8),N55="AC"),LOOKUP(N83,T!$X134:$X152,T!$V134:$V152),IF(AND(N51="4E2",OR(N53=3,N53=5,N53=7,N53=9),N55="AC"),LOOKUP(N83,T!$X134:$X152,T!$W134:$W152),IF(AND(N51="4E3",OR(N53=2,N53=4,N53=7,N53=8),N55="DC"),LOOKUP(N83,T!$AA158:$AA170,T!$U158:$U170),IF(AND(N51="4E3",OR(N53=2,N53=4),N55="AC"),LOOKUP(N83,T!$AA158:$AA170,T!$V158:$V170),IF(AND(N51="4E3",OR(N53=9,N53=10),N55="AC"),LOOKUP(N83,T!$AA158:$AA170,T!$W158:$W170),IF(AND(N51="4E3",N53=6,N55="AC"),LOOKUP(N83,T!$AA158:$AA170,T!$X158:$X170),IF(AND(N51="4E3",OR(N53=3,N53=5),N55="AC"),LOOKUP(N83,T!$AA158:$AA170,T!$Y158:$Y170),IF(AND(N51="4E3",OR(N53=11,N53=12),N55="AC"),LOOKUP(N83,T!$AA158:$AA170,T!$Z158:$Z170),IF(AND(N51="4E4",OR(N53=2,N53=4,N53=6),N55="DC"),LOOKUP(N83,T!$X176:$X192,T!$U176:$U192),IF(AND(N51="4E4",OR(N53=2,N53=4,N53=6),N55="AC"),LOOKUP(N83,T!$X176:$X192,T!$V176:$V192),IF(AND(N51="4E4",OR(N53=3,N53=5,N53=7),N55="AC"),LOOKUP(N83,T!$X176:$X192,T!$W176:$W192),0)))))))))))))))))))),IF(ISNUMBER(SEARCH("4F",N51)),IF(AND(N51="4F1",N53=2,N55="DC"),LOOKUP(N83,T!$Z198:$Z214,T!$U198:$U214),IF(AND(N51="4F1",N53=2,N55="AC"),LOOKUP(N83,T!$Z198:$Z214,T!$V198:$V214),IF(AND(N51="4F1",N53=3,N55="AC"),LOOKUP(N83,T!$Z198:$Z214,T!$W198:$W214),IF(AND(N51="4F1",N53=4,N55="DC"),LOOKUP(N83,T!$Z198:$Z214,T!$X198:$X214),IF(AND(N51="4F1",N53=4,N55="AC"),LOOKUP(N83,T!$Z198:$Z214,T!$Y198:$Y214),IF(AND(N51="4F2",N53=2,N55="DC"),LOOKUP(N83,T!$Y220:$Y236,T!$U220:$U236),IF(AND(N51="4F2",N53=2,N55="AC"),LOOKUP(N83,T!$Y220:$Y236,T!$V220:$V236),IF(AND(N51="4F2",N53=3,N55="AC"),LOOKUP(N83,T!$Y220:$Y236,T!$W220:$W236),IF(AND(N51="4F2",N53=4,N55="DC"),LOOKUP(N83,T!$Y220:$Y236,T!$X220:$X236),IF(AND(N51="4F3",N53=2),LOOKUP(N83,T!$W242:$W248,T!$U242:$U248),IF(AND(N51="4F3",N53=3,N55="AC"),LOOKUP(N83,T!$W242:$W248,T!$V242:$V248),0))))))))))),IF(ISNUMBER(SEARCH("4G",N51)),IF(AND(N51="4G1",OR(N53=2,N53=5)),LOOKUP(N83,T!$AA254:$AA269,T!$U254:$U269),IF(AND(N51="4G1",OR(N53=3,N53=6)),LOOKUP(N83,T!$AA254:$AA269,T!$X254:$X269),IF(AND(N51="4G1",OR(N53=4,N53=7)),LOOKUP(N83,T!$AA254:$AA269,T!$Y254:$Y269),IF(AND(N51="4G1",OR(N53=8,N53=9)),LOOKUP(N83,T!$AA254:$AA269,T!$Z254:$Z269),IF(AND(N51="4G2",OR(N53=2,N53=5)),LOOKUP(N83,T!$AA281:$AA296,T!$U281:$U296),IF(AND(N51="4G2",OR(N53=3,N53=6)),LOOKUP(N83,T!$AA281:$AA296,T!$X281:$X296),IF(AND(N51="4G2",OR(N53=4,N53=7)),LOOKUP(N83,T!$AA281:$AA296,T!$Y281:$Y296),IF(AND(N51="4G2",OR(N53=8,N53=9)),LOOKUP(N83,T!$AA281:$AA296,T!$Z281:$Z296),0)))))))),0)))))*N23*N69)/1000))</f>
        <v>5.0083396845365131</v>
      </c>
      <c r="O97" s="148" t="str">
        <f t="shared" si="23"/>
        <v>mV/A/m</v>
      </c>
    </row>
    <row r="98" spans="1:58" s="173" customFormat="1" ht="17">
      <c r="A98" s="193" t="s">
        <v>2137</v>
      </c>
      <c r="B98" s="399"/>
      <c r="C98" s="396"/>
      <c r="D98" s="163">
        <f>IF(D29="","",IF(OR(COUNT(D19:D21)=3,COUNT(D19:D21)=1),(IF(D29="",0,IF(ISNUMBER(SEARCH("4H",D51)),IF(AND(D51="4H1",OR(D53=2,D53=4,D53=6,D53=8,D53=11),D55="DC"),LOOKUP(D80,T!$AC308:$AC321,T!$U308:$U321),IF(AND(D51="4H1",OR(D53=2,D53=4),D55="AC"),LOOKUP(D80,T!$AC308:$AC321,T!$V308:$V321),IF(AND(D51="4H1",OR(D53=6,D53=8),D55="AC"),LOOKUP(D80,T!$AC308:$AC321,T!$W308:$W321),IF(AND(D51="4H1",OR(D53=11,D53=12),D55="AC",D57=1),LOOKUP(D80,T!$AC308:$AC321,T!$X308:$X321),IF(AND(D51="4H1",OR(D53=3,D53=5),D55="AC"),LOOKUP(D80,T!$AC308:$AC321,T!$Y308:$Y321),IF(AND(D51="4H1",OR(D53=7,D53=10),D55="AC"),LOOKUP(D80,T!$AC308:$AC321,T!$Z308:$Z321),IF(AND(D51="4H1",D53=9,D55="AC"),LOOKUP(D80,T!$AC308:$AC321,T!$AA308:$AA321),IF(AND(D51="4H1",OR(D53=11,D53=12),D55="AC",D57=3),LOOKUP(D80,T!$AC308:$AC321,T!$AB308:$AB321),IF(AND(D51="4H2",OR(D53=2,D53=4,D53=6,D53=8),D55="DC"),LOOKUP(D80,T!$X327:$X337,T!$U327:$U337),IF(AND(D51="4H2",OR(D53=2,D53=4,D53=6,D53=8),D55="AC"),LOOKUP(D80,T!$X327:$X337,T!$V327:$V337),IF(AND(D51="4H2",OR(D53=3,D53=5,D53=7,D53=9),D55="AC"),LOOKUP(D80,T!$X327:$X337,T!$W327:$W337),IF(AND(D51="4H3",OR(D53=2,D53=4,D53=7,D53=8),D55="DC"),LOOKUP(D80,T!$AA343:$AA356,T!$U343:$U356),IF(AND(D51="4H3",OR(D53=2,D53=4),D55="AC"),LOOKUP(D80,T!$AA343:$AA356,T!$V343:$V356),IF(AND(D51="4H3",OR(D53=9,D53=10),D55="AC"),LOOKUP(D80,T!$AA343:$AA$356,T!$W343:$W356),IF(AND(D51="4H3",D53=6,D55="AC"),LOOKUP(D80,T!$AA343:$AA356,T!$X343:$X356),IF(AND(D51="4H3",OR(D53=3,D53=5),D55="AC"),LOOKUP(D80,T!$AA343:$AA356,T!$Y343:$Y356),IF(AND(D51="4H3",OR(D53=11,D53=12),D55="AC"),LOOKUP(D80,T!$AA343:$AA356,T!$Z343:$Z356),IF(AND(D51="4H4",OR(D53=2,D53=4,D53=6),D55="DC"),LOOKUP(D80,T!$X362:$X372,T!$U362:$U372),IF(AND(D51="4H4",OR(D53=2,D53=4,D53=6),D55="AC"),LOOKUP(D80,T!$X362:$X372,T!$V362:$V372),IF(AND(D51="4H4",OR(D53=3,D53=5,D53=7),D55="AC"),LOOKUP(D80,T!$X362:$X372,T!$W362:$W372),0)))))))))))))))))))),IF(ISNUMBER(SEARCH("4J",D51)),IF(AND(D51="4J1",OR(D53=2,D53=4,D53=6,D53=8,D53=11),D55="DC"),LOOKUP(D80,T!$AC378:$AC391,T!$U378:$U391),IF(AND(D51="4J1",OR(D53=2,D53=4),D55="AC"),LOOKUP(D80,T!$AC378:$AC391,T!$V378:$V391),IF(AND(D51="4J1",OR(D53=6,D53=8),D55="AC"),LOOKUP(D80,T!$AC378:$AC391,T!$W378:$W391),IF(AND(D51="4J1",OR(D53=11,D53=12),D55="AC",D57=1),LOOKUP(D80,T!$AC378:$AC391,T!$X378:$X391),IF(AND(D51="4J1",OR(D53=3,D53=5),D55="AC"),LOOKUP(D80,T!$AC378:$AC391,T!$Y378:$Y391),IF(AND(D51="4J1",OR(D53=7,D53=10),D55="AC"),LOOKUP(D80,T!$AC378:$AC391,T!$Z378:$Z391),IF(AND(D51="4J1",D53=9,D55="AC"),LOOKUP(D80,T!$AC378:$AC391,T!$AA378:$AA391),IF(AND(D51="4J1",OR(D53=11,D53=12),D55="AC",D57=3),LOOKUP(D80,T!$AC378:$AC391,T!$AB378:$AB391),IF(AND(D51="4J2",OR(D53=2,D53=4,D53=6,D53=8),D55="DC"),LOOKUP(D80,T!$X397:$X407,T!$U397:$U407),IF(AND(D51="4J2",OR(D53=2,D53=4,D53=6,D53=8),D55="AC"),LOOKUP(D80,T!$X397:$X407,T!$V397:$V407),IF(AND(D51="4J2",OR(D53=3,D53=5,D53=7,D53=9),D55="AC"),LOOKUP(D80,T!$X397:$X407,T!$W397:$W407),IF(AND(D51="4J3",OR(D53=2,D53=4,D53=7,D53=8),D55="DC"),LOOKUP(D80,T!$AA413:$AA426,T!$U413:$U426),IF(AND(D51="4J3",OR(D53=2,D53=4),D55="AC"),LOOKUP(D80,T!$AA413:$AA426,T!$V413:$V426),IF(AND(D51="4J3",OR(D53=9,D53=10),D55="AC"),LOOKUP(D80,T!$AA413:$AA426,T!$W413:$W426),IF(AND(D51="4J3",D53=6,D55="AC"),LOOKUP(D80,T!$AA413:$AA426,T!$X413:$X426),IF(AND(D51="4J3",OR(D53=3,D53=5),D55="AC"),LOOKUP(D80,T!$AA413:$AA426,T!$Y413:$Y426),IF(AND(D51="4J3",OR(D53=11,D53=12),D55="AC"),LOOKUP(D80,T!$AA413:$AA426,T!$Z413:$Z426),IF(AND(D51="4J4",OR(D53=2,D53=4,D53=6),D55="DC"),LOOKUP(D80,T!$X432:$X442,T!$U432:$U442),IF(AND(D51="4J4",OR(D53=2,D53=4,D53=6),D55="AC"),LOOKUP(D80,T!$X432:$X442,T!$V432:$V442),IF(AND(D51="4J4",OR(D53=3,D53=5,D53=7),D55="AC"),LOOKUP(D80,T!$X432:$X442,T!$W432:$W442),0)))))))))))))))))))),0)))*D23*D69)/1000))</f>
        <v>0</v>
      </c>
      <c r="E98" s="163">
        <f ca="1">IF(E29="","",IF(OR(COUNT(E19:E21)=3,COUNT(E19:E21)=1),(IF(E29="",0,IF(ISNUMBER(SEARCH("4H",E51)),IF(AND(E51="4H1",OR(E53=2,E53=4,E53=6,E53=8,E53=11),E55="DC"),LOOKUP(E80,T!$AC308:$AC321,T!$U308:$U321),IF(AND(E51="4H1",OR(E53=2,E53=4),E55="AC"),LOOKUP(E80,T!$AC308:$AC321,T!$V308:$V321),IF(AND(E51="4H1",OR(E53=6,E53=8),E55="AC"),LOOKUP(E80,T!$AC308:$AC321,T!$W308:$W321),IF(AND(E51="4H1",OR(E53=11,E53=12),E55="AC",E57=1),LOOKUP(E80,T!$AC308:$AC321,T!$X308:$X321),IF(AND(E51="4H1",OR(E53=3,E53=5),E55="AC"),LOOKUP(E80,T!$AC308:$AC321,T!$Y308:$Y321),IF(AND(E51="4H1",OR(E53=7,E53=10),E55="AC"),LOOKUP(E80,T!$AC308:$AC321,T!$Z308:$Z321),IF(AND(E51="4H1",E53=9,E55="AC"),LOOKUP(E80,T!$AC308:$AC321,T!$AA308:$AA321),IF(AND(E51="4H1",OR(E53=11,E53=12),E55="AC",E57=3),LOOKUP(E80,T!$AC308:$AC321,T!$AB308:$AB321),IF(AND(E51="4H2",OR(E53=2,E53=4,E53=6,E53=8),E55="DC"),LOOKUP(E80,T!$X327:$X337,T!$U327:$U337),IF(AND(E51="4H2",OR(E53=2,E53=4,E53=6,E53=8),E55="AC"),LOOKUP(E80,T!$X327:$X337,T!$V327:$V337),IF(AND(E51="4H2",OR(E53=3,E53=5,E53=7,E53=9),E55="AC"),LOOKUP(E80,T!$X327:$X337,T!$W327:$W337),IF(AND(E51="4H3",OR(E53=2,E53=4,E53=7,E53=8),E55="DC"),LOOKUP(E80,T!$AA343:$AA356,T!$U343:$U356),IF(AND(E51="4H3",OR(E53=2,E53=4),E55="AC"),LOOKUP(E80,T!$AA343:$AA356,T!$V343:$V356),IF(AND(E51="4H3",OR(E53=9,E53=10),E55="AC"),LOOKUP(E80,T!$AA343:$AA$356,T!$W343:$W356),IF(AND(E51="4H3",E53=6,E55="AC"),LOOKUP(E80,T!$AA343:$AA356,T!$X343:$X356),IF(AND(E51="4H3",OR(E53=3,E53=5),E55="AC"),LOOKUP(E80,T!$AA343:$AA356,T!$Y343:$Y356),IF(AND(E51="4H3",OR(E53=11,E53=12),E55="AC"),LOOKUP(E80,T!$AA343:$AA356,T!$Z343:$Z356),IF(AND(E51="4H4",OR(E53=2,E53=4,E53=6),E55="DC"),LOOKUP(E80,T!$X362:$X372,T!$U362:$U372),IF(AND(E51="4H4",OR(E53=2,E53=4,E53=6),E55="AC"),LOOKUP(E80,T!$X362:$X372,T!$V362:$V372),IF(AND(E51="4H4",OR(E53=3,E53=5,E53=7),E55="AC"),LOOKUP(E80,T!$X362:$X372,T!$W362:$W372),0)))))))))))))))))))),IF(ISNUMBER(SEARCH("4J",E51)),IF(AND(E51="4J1",OR(E53=2,E53=4,E53=6,E53=8,E53=11),E55="DC"),LOOKUP(E80,T!$AC378:$AC391,T!$U378:$U391),IF(AND(E51="4J1",OR(E53=2,E53=4),E55="AC"),LOOKUP(E80,T!$AC378:$AC391,T!$V378:$V391),IF(AND(E51="4J1",OR(E53=6,E53=8),E55="AC"),LOOKUP(E80,T!$AC378:$AC391,T!$W378:$W391),IF(AND(E51="4J1",OR(E53=11,E53=12),E55="AC",E57=1),LOOKUP(E80,T!$AC378:$AC391,T!$X378:$X391),IF(AND(E51="4J1",OR(E53=3,E53=5),E55="AC"),LOOKUP(E80,T!$AC378:$AC391,T!$Y378:$Y391),IF(AND(E51="4J1",OR(E53=7,E53=10),E55="AC"),LOOKUP(E80,T!$AC378:$AC391,T!$Z378:$Z391),IF(AND(E51="4J1",E53=9,E55="AC"),LOOKUP(E80,T!$AC378:$AC391,T!$AA378:$AA391),IF(AND(E51="4J1",OR(E53=11,E53=12),E55="AC",E57=3),LOOKUP(E80,T!$AC378:$AC391,T!$AB378:$AB391),IF(AND(E51="4J2",OR(E53=2,E53=4,E53=6,E53=8),E55="DC"),LOOKUP(E80,T!$X397:$X407,T!$U397:$U407),IF(AND(E51="4J2",OR(E53=2,E53=4,E53=6,E53=8),E55="AC"),LOOKUP(E80,T!$X397:$X407,T!$V397:$V407),IF(AND(E51="4J2",OR(E53=3,E53=5,E53=7,E53=9),E55="AC"),LOOKUP(E80,T!$X397:$X407,T!$W397:$W407),IF(AND(E51="4J3",OR(E53=2,E53=4,E53=7,E53=8),E55="DC"),LOOKUP(E80,T!$AA413:$AA426,T!$U413:$U426),IF(AND(E51="4J3",OR(E53=2,E53=4),E55="AC"),LOOKUP(E80,T!$AA413:$AA426,T!$V413:$V426),IF(AND(E51="4J3",OR(E53=9,E53=10),E55="AC"),LOOKUP(E80,T!$AA413:$AA426,T!$W413:$W426),IF(AND(E51="4J3",E53=6,E55="AC"),LOOKUP(E80,T!$AA413:$AA426,T!$X413:$X426),IF(AND(E51="4J3",OR(E53=3,E53=5),E55="AC"),LOOKUP(E80,T!$AA413:$AA426,T!$Y413:$Y426),IF(AND(E51="4J3",OR(E53=11,E53=12),E55="AC"),LOOKUP(E80,T!$AA413:$AA426,T!$Z413:$Z426),IF(AND(E51="4J4",OR(E53=2,E53=4,E53=6),E55="DC"),LOOKUP(E80,T!$X432:$X442,T!$U432:$U442),IF(AND(E51="4J4",OR(E53=2,E53=4,E53=6),E55="AC"),LOOKUP(E80,T!$X432:$X442,T!$V432:$V442),IF(AND(E51="4J4",OR(E53=3,E53=5,E53=7),E55="AC"),LOOKUP(E80,T!$X432:$X442,T!$W432:$W442),0)))))))))))))))))))),0)))*E23*E69)/1000))</f>
        <v>0</v>
      </c>
      <c r="F98" s="163">
        <f ca="1">IF(F29="","",IF(OR(COUNT(F19:F21)=3,COUNT(F19:F21)=1),(IF(F29="",0,IF(ISNUMBER(SEARCH("4H",F51)),IF(AND(F51="4H1",OR(F53=2,F53=4,F53=6,F53=8,F53=11),F55="DC"),LOOKUP(F80,T!$AC308:$AC321,T!$U308:$U321),IF(AND(F51="4H1",OR(F53=2,F53=4),F55="AC"),LOOKUP(F80,T!$AC308:$AC321,T!$V308:$V321),IF(AND(F51="4H1",OR(F53=6,F53=8),F55="AC"),LOOKUP(F80,T!$AC308:$AC321,T!$W308:$W321),IF(AND(F51="4H1",OR(F53=11,F53=12),F55="AC",F57=1),LOOKUP(F80,T!$AC308:$AC321,T!$X308:$X321),IF(AND(F51="4H1",OR(F53=3,F53=5),F55="AC"),LOOKUP(F80,T!$AC308:$AC321,T!$Y308:$Y321),IF(AND(F51="4H1",OR(F53=7,F53=10),F55="AC"),LOOKUP(F80,T!$AC308:$AC321,T!$Z308:$Z321),IF(AND(F51="4H1",F53=9,F55="AC"),LOOKUP(F80,T!$AC308:$AC321,T!$AA308:$AA321),IF(AND(F51="4H1",OR(F53=11,F53=12),F55="AC",F57=3),LOOKUP(F80,T!$AC308:$AC321,T!$AB308:$AB321),IF(AND(F51="4H2",OR(F53=2,F53=4,F53=6,F53=8),F55="DC"),LOOKUP(F80,T!$X327:$X337,T!$U327:$U337),IF(AND(F51="4H2",OR(F53=2,F53=4,F53=6,F53=8),F55="AC"),LOOKUP(F80,T!$X327:$X337,T!$V327:$V337),IF(AND(F51="4H2",OR(F53=3,F53=5,F53=7,F53=9),F55="AC"),LOOKUP(F80,T!$X327:$X337,T!$W327:$W337),IF(AND(F51="4H3",OR(F53=2,F53=4,F53=7,F53=8),F55="DC"),LOOKUP(F80,T!$AA343:$AA356,T!$U343:$U356),IF(AND(F51="4H3",OR(F53=2,F53=4),F55="AC"),LOOKUP(F80,T!$AA343:$AA356,T!$V343:$V356),IF(AND(F51="4H3",OR(F53=9,F53=10),F55="AC"),LOOKUP(F80,T!$AA343:$AA$356,T!$W343:$W356),IF(AND(F51="4H3",F53=6,F55="AC"),LOOKUP(F80,T!$AA343:$AA356,T!$X343:$X356),IF(AND(F51="4H3",OR(F53=3,F53=5),F55="AC"),LOOKUP(F80,T!$AA343:$AA356,T!$Y343:$Y356),IF(AND(F51="4H3",OR(F53=11,F53=12),F55="AC"),LOOKUP(F80,T!$AA343:$AA356,T!$Z343:$Z356),IF(AND(F51="4H4",OR(F53=2,F53=4,F53=6),F55="DC"),LOOKUP(F80,T!$X362:$X372,T!$U362:$U372),IF(AND(F51="4H4",OR(F53=2,F53=4,F53=6),F55="AC"),LOOKUP(F80,T!$X362:$X372,T!$V362:$V372),IF(AND(F51="4H4",OR(F53=3,F53=5,F53=7),F55="AC"),LOOKUP(F80,T!$X362:$X372,T!$W362:$W372),0)))))))))))))))))))),IF(ISNUMBER(SEARCH("4J",F51)),IF(AND(F51="4J1",OR(F53=2,F53=4,F53=6,F53=8,F53=11),F55="DC"),LOOKUP(F80,T!$AC378:$AC391,T!$U378:$U391),IF(AND(F51="4J1",OR(F53=2,F53=4),F55="AC"),LOOKUP(F80,T!$AC378:$AC391,T!$V378:$V391),IF(AND(F51="4J1",OR(F53=6,F53=8),F55="AC"),LOOKUP(F80,T!$AC378:$AC391,T!$W378:$W391),IF(AND(F51="4J1",OR(F53=11,F53=12),F55="AC",F57=1),LOOKUP(F80,T!$AC378:$AC391,T!$X378:$X391),IF(AND(F51="4J1",OR(F53=3,F53=5),F55="AC"),LOOKUP(F80,T!$AC378:$AC391,T!$Y378:$Y391),IF(AND(F51="4J1",OR(F53=7,F53=10),F55="AC"),LOOKUP(F80,T!$AC378:$AC391,T!$Z378:$Z391),IF(AND(F51="4J1",F53=9,F55="AC"),LOOKUP(F80,T!$AC378:$AC391,T!$AA378:$AA391),IF(AND(F51="4J1",OR(F53=11,F53=12),F55="AC",F57=3),LOOKUP(F80,T!$AC378:$AC391,T!$AB378:$AB391),IF(AND(F51="4J2",OR(F53=2,F53=4,F53=6,F53=8),F55="DC"),LOOKUP(F80,T!$X397:$X407,T!$U397:$U407),IF(AND(F51="4J2",OR(F53=2,F53=4,F53=6,F53=8),F55="AC"),LOOKUP(F80,T!$X397:$X407,T!$V397:$V407),IF(AND(F51="4J2",OR(F53=3,F53=5,F53=7,F53=9),F55="AC"),LOOKUP(F80,T!$X397:$X407,T!$W397:$W407),IF(AND(F51="4J3",OR(F53=2,F53=4,F53=7,F53=8),F55="DC"),LOOKUP(F80,T!$AA413:$AA426,T!$U413:$U426),IF(AND(F51="4J3",OR(F53=2,F53=4),F55="AC"),LOOKUP(F80,T!$AA413:$AA426,T!$V413:$V426),IF(AND(F51="4J3",OR(F53=9,F53=10),F55="AC"),LOOKUP(F80,T!$AA413:$AA426,T!$W413:$W426),IF(AND(F51="4J3",F53=6,F55="AC"),LOOKUP(F80,T!$AA413:$AA426,T!$X413:$X426),IF(AND(F51="4J3",OR(F53=3,F53=5),F55="AC"),LOOKUP(F80,T!$AA413:$AA426,T!$Y413:$Y426),IF(AND(F51="4J3",OR(F53=11,F53=12),F55="AC"),LOOKUP(F80,T!$AA413:$AA426,T!$Z413:$Z426),IF(AND(F51="4J4",OR(F53=2,F53=4,F53=6),F55="DC"),LOOKUP(F80,T!$X432:$X442,T!$U432:$U442),IF(AND(F51="4J4",OR(F53=2,F53=4,F53=6),F55="AC"),LOOKUP(F80,T!$X432:$X442,T!$V432:$V442),IF(AND(F51="4J4",OR(F53=3,F53=5,F53=7),F55="AC"),LOOKUP(F80,T!$X432:$X442,T!$W432:$W442),0)))))))))))))))))))),0)))*F23*F69)/1000))</f>
        <v>0</v>
      </c>
      <c r="G98" s="163">
        <f ca="1">IF(G29="","",IF(OR(COUNT(G19:G21)=3,COUNT(G19:G21)=1),(IF(G29="",0,IF(ISNUMBER(SEARCH("4H",G51)),IF(AND(G51="4H1",OR(G53=2,G53=4,G53=6,G53=8,G53=11),G55="DC"),LOOKUP(G80,T!$AC308:$AC321,T!$U308:$U321),IF(AND(G51="4H1",OR(G53=2,G53=4),G55="AC"),LOOKUP(G80,T!$AC308:$AC321,T!$V308:$V321),IF(AND(G51="4H1",OR(G53=6,G53=8),G55="AC"),LOOKUP(G80,T!$AC308:$AC321,T!$W308:$W321),IF(AND(G51="4H1",OR(G53=11,G53=12),G55="AC",G57=1),LOOKUP(G80,T!$AC308:$AC321,T!$X308:$X321),IF(AND(G51="4H1",OR(G53=3,G53=5),G55="AC"),LOOKUP(G80,T!$AC308:$AC321,T!$Y308:$Y321),IF(AND(G51="4H1",OR(G53=7,G53=10),G55="AC"),LOOKUP(G80,T!$AC308:$AC321,T!$Z308:$Z321),IF(AND(G51="4H1",G53=9,G55="AC"),LOOKUP(G80,T!$AC308:$AC321,T!$AA308:$AA321),IF(AND(G51="4H1",OR(G53=11,G53=12),G55="AC",G57=3),LOOKUP(G80,T!$AC308:$AC321,T!$AB308:$AB321),IF(AND(G51="4H2",OR(G53=2,G53=4,G53=6,G53=8),G55="DC"),LOOKUP(G80,T!$X327:$X337,T!$U327:$U337),IF(AND(G51="4H2",OR(G53=2,G53=4,G53=6,G53=8),G55="AC"),LOOKUP(G80,T!$X327:$X337,T!$V327:$V337),IF(AND(G51="4H2",OR(G53=3,G53=5,G53=7,G53=9),G55="AC"),LOOKUP(G80,T!$X327:$X337,T!$W327:$W337),IF(AND(G51="4H3",OR(G53=2,G53=4,G53=7,G53=8),G55="DC"),LOOKUP(G80,T!$AA343:$AA356,T!$U343:$U356),IF(AND(G51="4H3",OR(G53=2,G53=4),G55="AC"),LOOKUP(G80,T!$AA343:$AA356,T!$V343:$V356),IF(AND(G51="4H3",OR(G53=9,G53=10),G55="AC"),LOOKUP(G80,T!$AA343:$AA$356,T!$W343:$W356),IF(AND(G51="4H3",G53=6,G55="AC"),LOOKUP(G80,T!$AA343:$AA356,T!$X343:$X356),IF(AND(G51="4H3",OR(G53=3,G53=5),G55="AC"),LOOKUP(G80,T!$AA343:$AA356,T!$Y343:$Y356),IF(AND(G51="4H3",OR(G53=11,G53=12),G55="AC"),LOOKUP(G80,T!$AA343:$AA356,T!$Z343:$Z356),IF(AND(G51="4H4",OR(G53=2,G53=4,G53=6),G55="DC"),LOOKUP(G80,T!$X362:$X372,T!$U362:$U372),IF(AND(G51="4H4",OR(G53=2,G53=4,G53=6),G55="AC"),LOOKUP(G80,T!$X362:$X372,T!$V362:$V372),IF(AND(G51="4H4",OR(G53=3,G53=5,G53=7),G55="AC"),LOOKUP(G80,T!$X362:$X372,T!$W362:$W372),0)))))))))))))))))))),IF(ISNUMBER(SEARCH("4J",G51)),IF(AND(G51="4J1",OR(G53=2,G53=4,G53=6,G53=8,G53=11),G55="DC"),LOOKUP(G80,T!$AC378:$AC391,T!$U378:$U391),IF(AND(G51="4J1",OR(G53=2,G53=4),G55="AC"),LOOKUP(G80,T!$AC378:$AC391,T!$V378:$V391),IF(AND(G51="4J1",OR(G53=6,G53=8),G55="AC"),LOOKUP(G80,T!$AC378:$AC391,T!$W378:$W391),IF(AND(G51="4J1",OR(G53=11,G53=12),G55="AC",G57=1),LOOKUP(G80,T!$AC378:$AC391,T!$X378:$X391),IF(AND(G51="4J1",OR(G53=3,G53=5),G55="AC"),LOOKUP(G80,T!$AC378:$AC391,T!$Y378:$Y391),IF(AND(G51="4J1",OR(G53=7,G53=10),G55="AC"),LOOKUP(G80,T!$AC378:$AC391,T!$Z378:$Z391),IF(AND(G51="4J1",G53=9,G55="AC"),LOOKUP(G80,T!$AC378:$AC391,T!$AA378:$AA391),IF(AND(G51="4J1",OR(G53=11,G53=12),G55="AC",G57=3),LOOKUP(G80,T!$AC378:$AC391,T!$AB378:$AB391),IF(AND(G51="4J2",OR(G53=2,G53=4,G53=6,G53=8),G55="DC"),LOOKUP(G80,T!$X397:$X407,T!$U397:$U407),IF(AND(G51="4J2",OR(G53=2,G53=4,G53=6,G53=8),G55="AC"),LOOKUP(G80,T!$X397:$X407,T!$V397:$V407),IF(AND(G51="4J2",OR(G53=3,G53=5,G53=7,G53=9),G55="AC"),LOOKUP(G80,T!$X397:$X407,T!$W397:$W407),IF(AND(G51="4J3",OR(G53=2,G53=4,G53=7,G53=8),G55="DC"),LOOKUP(G80,T!$AA413:$AA426,T!$U413:$U426),IF(AND(G51="4J3",OR(G53=2,G53=4),G55="AC"),LOOKUP(G80,T!$AA413:$AA426,T!$V413:$V426),IF(AND(G51="4J3",OR(G53=9,G53=10),G55="AC"),LOOKUP(G80,T!$AA413:$AA426,T!$W413:$W426),IF(AND(G51="4J3",G53=6,G55="AC"),LOOKUP(G80,T!$AA413:$AA426,T!$X413:$X426),IF(AND(G51="4J3",OR(G53=3,G53=5),G55="AC"),LOOKUP(G80,T!$AA413:$AA426,T!$Y413:$Y426),IF(AND(G51="4J3",OR(G53=11,G53=12),G55="AC"),LOOKUP(G80,T!$AA413:$AA426,T!$Z413:$Z426),IF(AND(G51="4J4",OR(G53=2,G53=4,G53=6),G55="DC"),LOOKUP(G80,T!$X432:$X442,T!$U432:$U442),IF(AND(G51="4J4",OR(G53=2,G53=4,G53=6),G55="AC"),LOOKUP(G80,T!$X432:$X442,T!$V432:$V442),IF(AND(G51="4J4",OR(G53=3,G53=5,G53=7),G55="AC"),LOOKUP(G80,T!$X432:$X442,T!$W432:$W442),0)))))))))))))))))))),0)))*G23*G69)/1000))</f>
        <v>0</v>
      </c>
      <c r="H98" s="163">
        <f ca="1">IF(H29="","",IF(OR(COUNT(H19:H21)=3,COUNT(H19:H21)=1),(IF(H29="",0,IF(ISNUMBER(SEARCH("4H",H51)),IF(AND(H51="4H1",OR(H53=2,H53=4,H53=6,H53=8,H53=11),H55="DC"),LOOKUP(H80,T!$AC308:$AC321,T!$U308:$U321),IF(AND(H51="4H1",OR(H53=2,H53=4),H55="AC"),LOOKUP(H80,T!$AC308:$AC321,T!$V308:$V321),IF(AND(H51="4H1",OR(H53=6,H53=8),H55="AC"),LOOKUP(H80,T!$AC308:$AC321,T!$W308:$W321),IF(AND(H51="4H1",OR(H53=11,H53=12),H55="AC",H57=1),LOOKUP(H80,T!$AC308:$AC321,T!$X308:$X321),IF(AND(H51="4H1",OR(H53=3,H53=5),H55="AC"),LOOKUP(H80,T!$AC308:$AC321,T!$Y308:$Y321),IF(AND(H51="4H1",OR(H53=7,H53=10),H55="AC"),LOOKUP(H80,T!$AC308:$AC321,T!$Z308:$Z321),IF(AND(H51="4H1",H53=9,H55="AC"),LOOKUP(H80,T!$AC308:$AC321,T!$AA308:$AA321),IF(AND(H51="4H1",OR(H53=11,H53=12),H55="AC",H57=3),LOOKUP(H80,T!$AC308:$AC321,T!$AB308:$AB321),IF(AND(H51="4H2",OR(H53=2,H53=4,H53=6,H53=8),H55="DC"),LOOKUP(H80,T!$X327:$X337,T!$U327:$U337),IF(AND(H51="4H2",OR(H53=2,H53=4,H53=6,H53=8),H55="AC"),LOOKUP(H80,T!$X327:$X337,T!$V327:$V337),IF(AND(H51="4H2",OR(H53=3,H53=5,H53=7,H53=9),H55="AC"),LOOKUP(H80,T!$X327:$X337,T!$W327:$W337),IF(AND(H51="4H3",OR(H53=2,H53=4,H53=7,H53=8),H55="DC"),LOOKUP(H80,T!$AA343:$AA356,T!$U343:$U356),IF(AND(H51="4H3",OR(H53=2,H53=4),H55="AC"),LOOKUP(H80,T!$AA343:$AA356,T!$V343:$V356),IF(AND(H51="4H3",OR(H53=9,H53=10),H55="AC"),LOOKUP(H80,T!$AA343:$AA$356,T!$W343:$W356),IF(AND(H51="4H3",H53=6,H55="AC"),LOOKUP(H80,T!$AA343:$AA356,T!$X343:$X356),IF(AND(H51="4H3",OR(H53=3,H53=5),H55="AC"),LOOKUP(H80,T!$AA343:$AA356,T!$Y343:$Y356),IF(AND(H51="4H3",OR(H53=11,H53=12),H55="AC"),LOOKUP(H80,T!$AA343:$AA356,T!$Z343:$Z356),IF(AND(H51="4H4",OR(H53=2,H53=4,H53=6),H55="DC"),LOOKUP(H80,T!$X362:$X372,T!$U362:$U372),IF(AND(H51="4H4",OR(H53=2,H53=4,H53=6),H55="AC"),LOOKUP(H80,T!$X362:$X372,T!$V362:$V372),IF(AND(H51="4H4",OR(H53=3,H53=5,H53=7),H55="AC"),LOOKUP(H80,T!$X362:$X372,T!$W362:$W372),0)))))))))))))))))))),IF(ISNUMBER(SEARCH("4J",H51)),IF(AND(H51="4J1",OR(H53=2,H53=4,H53=6,H53=8,H53=11),H55="DC"),LOOKUP(H80,T!$AC378:$AC391,T!$U378:$U391),IF(AND(H51="4J1",OR(H53=2,H53=4),H55="AC"),LOOKUP(H80,T!$AC378:$AC391,T!$V378:$V391),IF(AND(H51="4J1",OR(H53=6,H53=8),H55="AC"),LOOKUP(H80,T!$AC378:$AC391,T!$W378:$W391),IF(AND(H51="4J1",OR(H53=11,H53=12),H55="AC",H57=1),LOOKUP(H80,T!$AC378:$AC391,T!$X378:$X391),IF(AND(H51="4J1",OR(H53=3,H53=5),H55="AC"),LOOKUP(H80,T!$AC378:$AC391,T!$Y378:$Y391),IF(AND(H51="4J1",OR(H53=7,H53=10),H55="AC"),LOOKUP(H80,T!$AC378:$AC391,T!$Z378:$Z391),IF(AND(H51="4J1",H53=9,H55="AC"),LOOKUP(H80,T!$AC378:$AC391,T!$AA378:$AA391),IF(AND(H51="4J1",OR(H53=11,H53=12),H55="AC",H57=3),LOOKUP(H80,T!$AC378:$AC391,T!$AB378:$AB391),IF(AND(H51="4J2",OR(H53=2,H53=4,H53=6,H53=8),H55="DC"),LOOKUP(H80,T!$X397:$X407,T!$U397:$U407),IF(AND(H51="4J2",OR(H53=2,H53=4,H53=6,H53=8),H55="AC"),LOOKUP(H80,T!$X397:$X407,T!$V397:$V407),IF(AND(H51="4J2",OR(H53=3,H53=5,H53=7,H53=9),H55="AC"),LOOKUP(H80,T!$X397:$X407,T!$W397:$W407),IF(AND(H51="4J3",OR(H53=2,H53=4,H53=7,H53=8),H55="DC"),LOOKUP(H80,T!$AA413:$AA426,T!$U413:$U426),IF(AND(H51="4J3",OR(H53=2,H53=4),H55="AC"),LOOKUP(H80,T!$AA413:$AA426,T!$V413:$V426),IF(AND(H51="4J3",OR(H53=9,H53=10),H55="AC"),LOOKUP(H80,T!$AA413:$AA426,T!$W413:$W426),IF(AND(H51="4J3",H53=6,H55="AC"),LOOKUP(H80,T!$AA413:$AA426,T!$X413:$X426),IF(AND(H51="4J3",OR(H53=3,H53=5),H55="AC"),LOOKUP(H80,T!$AA413:$AA426,T!$Y413:$Y426),IF(AND(H51="4J3",OR(H53=11,H53=12),H55="AC"),LOOKUP(H80,T!$AA413:$AA426,T!$Z413:$Z426),IF(AND(H51="4J4",OR(H53=2,H53=4,H53=6),H55="DC"),LOOKUP(H80,T!$X432:$X442,T!$U432:$U442),IF(AND(H51="4J4",OR(H53=2,H53=4,H53=6),H55="AC"),LOOKUP(H80,T!$X432:$X442,T!$V432:$V442),IF(AND(H51="4J4",OR(H53=3,H53=5,H53=7),H55="AC"),LOOKUP(H80,T!$X432:$X442,T!$W432:$W442),0)))))))))))))))))))),0)))*H23*H69)/1000))</f>
        <v>0</v>
      </c>
      <c r="I98" s="163">
        <f>IF(I29="","",IF(OR(COUNT(I19:I21)=3,COUNT(I19:I21)=1),(IF(I29="",0,IF(ISNUMBER(SEARCH("4H",I51)),IF(AND(I51="4H1",OR(I53=2,I53=4,I53=6,I53=8,I53=11),I55="DC"),LOOKUP(I80,T!$AC308:$AC321,T!$U308:$U321),IF(AND(I51="4H1",OR(I53=2,I53=4),I55="AC"),LOOKUP(I80,T!$AC308:$AC321,T!$V308:$V321),IF(AND(I51="4H1",OR(I53=6,I53=8),I55="AC"),LOOKUP(I80,T!$AC308:$AC321,T!$W308:$W321),IF(AND(I51="4H1",OR(I53=11,I53=12),I55="AC",I57=1),LOOKUP(I80,T!$AC308:$AC321,T!$X308:$X321),IF(AND(I51="4H1",OR(I53=3,I53=5),I55="AC"),LOOKUP(I80,T!$AC308:$AC321,T!$Y308:$Y321),IF(AND(I51="4H1",OR(I53=7,I53=10),I55="AC"),LOOKUP(I80,T!$AC308:$AC321,T!$Z308:$Z321),IF(AND(I51="4H1",I53=9,I55="AC"),LOOKUP(I80,T!$AC308:$AC321,T!$AA308:$AA321),IF(AND(I51="4H1",OR(I53=11,I53=12),I55="AC",I57=3),LOOKUP(I80,T!$AC308:$AC321,T!$AB308:$AB321),IF(AND(I51="4H2",OR(I53=2,I53=4,I53=6,I53=8),I55="DC"),LOOKUP(I80,T!$X327:$X337,T!$U327:$U337),IF(AND(I51="4H2",OR(I53=2,I53=4,I53=6,I53=8),I55="AC"),LOOKUP(I80,T!$X327:$X337,T!$V327:$V337),IF(AND(I51="4H2",OR(I53=3,I53=5,I53=7,I53=9),I55="AC"),LOOKUP(I80,T!$X327:$X337,T!$W327:$W337),IF(AND(I51="4H3",OR(I53=2,I53=4,I53=7,I53=8),I55="DC"),LOOKUP(I80,T!$AA343:$AA356,T!$U343:$U356),IF(AND(I51="4H3",OR(I53=2,I53=4),I55="AC"),LOOKUP(I80,T!$AA343:$AA356,T!$V343:$V356),IF(AND(I51="4H3",OR(I53=9,I53=10),I55="AC"),LOOKUP(I80,T!$AA343:$AA$356,T!$W343:$W356),IF(AND(I51="4H3",I53=6,I55="AC"),LOOKUP(I80,T!$AA343:$AA356,T!$X343:$X356),IF(AND(I51="4H3",OR(I53=3,I53=5),I55="AC"),LOOKUP(I80,T!$AA343:$AA356,T!$Y343:$Y356),IF(AND(I51="4H3",OR(I53=11,I53=12),I55="AC"),LOOKUP(I80,T!$AA343:$AA356,T!$Z343:$Z356),IF(AND(I51="4H4",OR(I53=2,I53=4,I53=6),I55="DC"),LOOKUP(I80,T!$X362:$X372,T!$U362:$U372),IF(AND(I51="4H4",OR(I53=2,I53=4,I53=6),I55="AC"),LOOKUP(I80,T!$X362:$X372,T!$V362:$V372),IF(AND(I51="4H4",OR(I53=3,I53=5,I53=7),I55="AC"),LOOKUP(I80,T!$X362:$X372,T!$W362:$W372),0)))))))))))))))))))),IF(ISNUMBER(SEARCH("4J",I51)),IF(AND(I51="4J1",OR(I53=2,I53=4,I53=6,I53=8,I53=11),I55="DC"),LOOKUP(I80,T!$AC378:$AC391,T!$U378:$U391),IF(AND(I51="4J1",OR(I53=2,I53=4),I55="AC"),LOOKUP(I80,T!$AC378:$AC391,T!$V378:$V391),IF(AND(I51="4J1",OR(I53=6,I53=8),I55="AC"),LOOKUP(I80,T!$AC378:$AC391,T!$W378:$W391),IF(AND(I51="4J1",OR(I53=11,I53=12),I55="AC",I57=1),LOOKUP(I80,T!$AC378:$AC391,T!$X378:$X391),IF(AND(I51="4J1",OR(I53=3,I53=5),I55="AC"),LOOKUP(I80,T!$AC378:$AC391,T!$Y378:$Y391),IF(AND(I51="4J1",OR(I53=7,I53=10),I55="AC"),LOOKUP(I80,T!$AC378:$AC391,T!$Z378:$Z391),IF(AND(I51="4J1",I53=9,I55="AC"),LOOKUP(I80,T!$AC378:$AC391,T!$AA378:$AA391),IF(AND(I51="4J1",OR(I53=11,I53=12),I55="AC",I57=3),LOOKUP(I80,T!$AC378:$AC391,T!$AB378:$AB391),IF(AND(I51="4J2",OR(I53=2,I53=4,I53=6,I53=8),I55="DC"),LOOKUP(I80,T!$X397:$X407,T!$U397:$U407),IF(AND(I51="4J2",OR(I53=2,I53=4,I53=6,I53=8),I55="AC"),LOOKUP(I80,T!$X397:$X407,T!$V397:$V407),IF(AND(I51="4J2",OR(I53=3,I53=5,I53=7,I53=9),I55="AC"),LOOKUP(I80,T!$X397:$X407,T!$W397:$W407),IF(AND(I51="4J3",OR(I53=2,I53=4,I53=7,I53=8),I55="DC"),LOOKUP(I80,T!$AA413:$AA426,T!$U413:$U426),IF(AND(I51="4J3",OR(I53=2,I53=4),I55="AC"),LOOKUP(I80,T!$AA413:$AA426,T!$V413:$V426),IF(AND(I51="4J3",OR(I53=9,I53=10),I55="AC"),LOOKUP(I80,T!$AA413:$AA426,T!$W413:$W426),IF(AND(I51="4J3",I53=6,I55="AC"),LOOKUP(I80,T!$AA413:$AA426,T!$X413:$X426),IF(AND(I51="4J3",OR(I53=3,I53=5),I55="AC"),LOOKUP(I80,T!$AA413:$AA426,T!$Y413:$Y426),IF(AND(I51="4J3",OR(I53=11,I53=12),I55="AC"),LOOKUP(I80,T!$AA413:$AA426,T!$Z413:$Z426),IF(AND(I51="4J4",OR(I53=2,I53=4,I53=6),I55="DC"),LOOKUP(I80,T!$X432:$X442,T!$U432:$U442),IF(AND(I51="4J4",OR(I53=2,I53=4,I53=6),I55="AC"),LOOKUP(I80,T!$X432:$X442,T!$V432:$V442),IF(AND(I51="4J4",OR(I53=3,I53=5,I53=7),I55="AC"),LOOKUP(I80,T!$X432:$X442,T!$W432:$W442),0)))))))))))))))))))),0)))*I23*I69)/1000))</f>
        <v>0</v>
      </c>
      <c r="J98" s="163">
        <f>IF(J29="","",IF(OR(COUNT(J19:J21)=3,COUNT(J19:J21)=1),(IF(J29="",0,IF(ISNUMBER(SEARCH("4H",J51)),IF(AND(J51="4H1",OR(J53=2,J53=4,J53=6,J53=8,J53=11),J55="DC"),LOOKUP(J80,T!$AC308:$AC321,T!$U308:$U321),IF(AND(J51="4H1",OR(J53=2,J53=4),J55="AC"),LOOKUP(J80,T!$AC308:$AC321,T!$V308:$V321),IF(AND(J51="4H1",OR(J53=6,J53=8),J55="AC"),LOOKUP(J80,T!$AC308:$AC321,T!$W308:$W321),IF(AND(J51="4H1",OR(J53=11,J53=12),J55="AC",J57=1),LOOKUP(J80,T!$AC308:$AC321,T!$X308:$X321),IF(AND(J51="4H1",OR(J53=3,J53=5),J55="AC"),LOOKUP(J80,T!$AC308:$AC321,T!$Y308:$Y321),IF(AND(J51="4H1",OR(J53=7,J53=10),J55="AC"),LOOKUP(J80,T!$AC308:$AC321,T!$Z308:$Z321),IF(AND(J51="4H1",J53=9,J55="AC"),LOOKUP(J80,T!$AC308:$AC321,T!$AA308:$AA321),IF(AND(J51="4H1",OR(J53=11,J53=12),J55="AC",J57=3),LOOKUP(J80,T!$AC308:$AC321,T!$AB308:$AB321),IF(AND(J51="4H2",OR(J53=2,J53=4,J53=6,J53=8),J55="DC"),LOOKUP(J80,T!$X327:$X337,T!$U327:$U337),IF(AND(J51="4H2",OR(J53=2,J53=4,J53=6,J53=8),J55="AC"),LOOKUP(J80,T!$X327:$X337,T!$V327:$V337),IF(AND(J51="4H2",OR(J53=3,J53=5,J53=7,J53=9),J55="AC"),LOOKUP(J80,T!$X327:$X337,T!$W327:$W337),IF(AND(J51="4H3",OR(J53=2,J53=4,J53=7,J53=8),J55="DC"),LOOKUP(J80,T!$AA343:$AA356,T!$U343:$U356),IF(AND(J51="4H3",OR(J53=2,J53=4),J55="AC"),LOOKUP(J80,T!$AA343:$AA356,T!$V343:$V356),IF(AND(J51="4H3",OR(J53=9,J53=10),J55="AC"),LOOKUP(J80,T!$AA343:$AA$356,T!$W343:$W356),IF(AND(J51="4H3",J53=6,J55="AC"),LOOKUP(J80,T!$AA343:$AA356,T!$X343:$X356),IF(AND(J51="4H3",OR(J53=3,J53=5),J55="AC"),LOOKUP(J80,T!$AA343:$AA356,T!$Y343:$Y356),IF(AND(J51="4H3",OR(J53=11,J53=12),J55="AC"),LOOKUP(J80,T!$AA343:$AA356,T!$Z343:$Z356),IF(AND(J51="4H4",OR(J53=2,J53=4,J53=6),J55="DC"),LOOKUP(J80,T!$X362:$X372,T!$U362:$U372),IF(AND(J51="4H4",OR(J53=2,J53=4,J53=6),J55="AC"),LOOKUP(J80,T!$X362:$X372,T!$V362:$V372),IF(AND(J51="4H4",OR(J53=3,J53=5,J53=7),J55="AC"),LOOKUP(J80,T!$X362:$X372,T!$W362:$W372),0)))))))))))))))))))),IF(ISNUMBER(SEARCH("4J",J51)),IF(AND(J51="4J1",OR(J53=2,J53=4,J53=6,J53=8,J53=11),J55="DC"),LOOKUP(J80,T!$AC378:$AC391,T!$U378:$U391),IF(AND(J51="4J1",OR(J53=2,J53=4),J55="AC"),LOOKUP(J80,T!$AC378:$AC391,T!$V378:$V391),IF(AND(J51="4J1",OR(J53=6,J53=8),J55="AC"),LOOKUP(J80,T!$AC378:$AC391,T!$W378:$W391),IF(AND(J51="4J1",OR(J53=11,J53=12),J55="AC",J57=1),LOOKUP(J80,T!$AC378:$AC391,T!$X378:$X391),IF(AND(J51="4J1",OR(J53=3,J53=5),J55="AC"),LOOKUP(J80,T!$AC378:$AC391,T!$Y378:$Y391),IF(AND(J51="4J1",OR(J53=7,J53=10),J55="AC"),LOOKUP(J80,T!$AC378:$AC391,T!$Z378:$Z391),IF(AND(J51="4J1",J53=9,J55="AC"),LOOKUP(J80,T!$AC378:$AC391,T!$AA378:$AA391),IF(AND(J51="4J1",OR(J53=11,J53=12),J55="AC",J57=3),LOOKUP(J80,T!$AC378:$AC391,T!$AB378:$AB391),IF(AND(J51="4J2",OR(J53=2,J53=4,J53=6,J53=8),J55="DC"),LOOKUP(J80,T!$X397:$X407,T!$U397:$U407),IF(AND(J51="4J2",OR(J53=2,J53=4,J53=6,J53=8),J55="AC"),LOOKUP(J80,T!$X397:$X407,T!$V397:$V407),IF(AND(J51="4J2",OR(J53=3,J53=5,J53=7,J53=9),J55="AC"),LOOKUP(J80,T!$X397:$X407,T!$W397:$W407),IF(AND(J51="4J3",OR(J53=2,J53=4,J53=7,J53=8),J55="DC"),LOOKUP(J80,T!$AA413:$AA426,T!$U413:$U426),IF(AND(J51="4J3",OR(J53=2,J53=4),J55="AC"),LOOKUP(J80,T!$AA413:$AA426,T!$V413:$V426),IF(AND(J51="4J3",OR(J53=9,J53=10),J55="AC"),LOOKUP(J80,T!$AA413:$AA426,T!$W413:$W426),IF(AND(J51="4J3",J53=6,J55="AC"),LOOKUP(J80,T!$AA413:$AA426,T!$X413:$X426),IF(AND(J51="4J3",OR(J53=3,J53=5),J55="AC"),LOOKUP(J80,T!$AA413:$AA426,T!$Y413:$Y426),IF(AND(J51="4J3",OR(J53=11,J53=12),J55="AC"),LOOKUP(J80,T!$AA413:$AA426,T!$Z413:$Z426),IF(AND(J51="4J4",OR(J53=2,J53=4,J53=6),J55="DC"),LOOKUP(J80,T!$X432:$X442,T!$U432:$U442),IF(AND(J51="4J4",OR(J53=2,J53=4,J53=6),J55="AC"),LOOKUP(J80,T!$X432:$X442,T!$V432:$V442),IF(AND(J51="4J4",OR(J53=3,J53=5,J53=7),J55="AC"),LOOKUP(J80,T!$X432:$X442,T!$W432:$W442),0)))))))))))))))))))),0)))*J23*J69)/1000))</f>
        <v>0</v>
      </c>
      <c r="K98" s="163">
        <f>IF(K29="","",IF(OR(COUNT(K19:K21)=3,COUNT(K19:K21)=1),(IF(K29="",0,IF(ISNUMBER(SEARCH("4H",K51)),IF(AND(K51="4H1",OR(K53=2,K53=4,K53=6,K53=8,K53=11),K55="DC"),LOOKUP(K80,T!$AC308:$AC321,T!$U308:$U321),IF(AND(K51="4H1",OR(K53=2,K53=4),K55="AC"),LOOKUP(K80,T!$AC308:$AC321,T!$V308:$V321),IF(AND(K51="4H1",OR(K53=6,K53=8),K55="AC"),LOOKUP(K80,T!$AC308:$AC321,T!$W308:$W321),IF(AND(K51="4H1",OR(K53=11,K53=12),K55="AC",K57=1),LOOKUP(K80,T!$AC308:$AC321,T!$X308:$X321),IF(AND(K51="4H1",OR(K53=3,K53=5),K55="AC"),LOOKUP(K80,T!$AC308:$AC321,T!$Y308:$Y321),IF(AND(K51="4H1",OR(K53=7,K53=10),K55="AC"),LOOKUP(K80,T!$AC308:$AC321,T!$Z308:$Z321),IF(AND(K51="4H1",K53=9,K55="AC"),LOOKUP(K80,T!$AC308:$AC321,T!$AA308:$AA321),IF(AND(K51="4H1",OR(K53=11,K53=12),K55="AC",K57=3),LOOKUP(K80,T!$AC308:$AC321,T!$AB308:$AB321),IF(AND(K51="4H2",OR(K53=2,K53=4,K53=6,K53=8),K55="DC"),LOOKUP(K80,T!$X327:$X337,T!$U327:$U337),IF(AND(K51="4H2",OR(K53=2,K53=4,K53=6,K53=8),K55="AC"),LOOKUP(K80,T!$X327:$X337,T!$V327:$V337),IF(AND(K51="4H2",OR(K53=3,K53=5,K53=7,K53=9),K55="AC"),LOOKUP(K80,T!$X327:$X337,T!$W327:$W337),IF(AND(K51="4H3",OR(K53=2,K53=4,K53=7,K53=8),K55="DC"),LOOKUP(K80,T!$AA343:$AA356,T!$U343:$U356),IF(AND(K51="4H3",OR(K53=2,K53=4),K55="AC"),LOOKUP(K80,T!$AA343:$AA356,T!$V343:$V356),IF(AND(K51="4H3",OR(K53=9,K53=10),K55="AC"),LOOKUP(K80,T!$AA343:$AA$356,T!$W343:$W356),IF(AND(K51="4H3",K53=6,K55="AC"),LOOKUP(K80,T!$AA343:$AA356,T!$X343:$X356),IF(AND(K51="4H3",OR(K53=3,K53=5),K55="AC"),LOOKUP(K80,T!$AA343:$AA356,T!$Y343:$Y356),IF(AND(K51="4H3",OR(K53=11,K53=12),K55="AC"),LOOKUP(K80,T!$AA343:$AA356,T!$Z343:$Z356),IF(AND(K51="4H4",OR(K53=2,K53=4,K53=6),K55="DC"),LOOKUP(K80,T!$X362:$X372,T!$U362:$U372),IF(AND(K51="4H4",OR(K53=2,K53=4,K53=6),K55="AC"),LOOKUP(K80,T!$X362:$X372,T!$V362:$V372),IF(AND(K51="4H4",OR(K53=3,K53=5,K53=7),K55="AC"),LOOKUP(K80,T!$X362:$X372,T!$W362:$W372),0)))))))))))))))))))),IF(ISNUMBER(SEARCH("4J",K51)),IF(AND(K51="4J1",OR(K53=2,K53=4,K53=6,K53=8,K53=11),K55="DC"),LOOKUP(K80,T!$AC378:$AC391,T!$U378:$U391),IF(AND(K51="4J1",OR(K53=2,K53=4),K55="AC"),LOOKUP(K80,T!$AC378:$AC391,T!$V378:$V391),IF(AND(K51="4J1",OR(K53=6,K53=8),K55="AC"),LOOKUP(K80,T!$AC378:$AC391,T!$W378:$W391),IF(AND(K51="4J1",OR(K53=11,K53=12),K55="AC",K57=1),LOOKUP(K80,T!$AC378:$AC391,T!$X378:$X391),IF(AND(K51="4J1",OR(K53=3,K53=5),K55="AC"),LOOKUP(K80,T!$AC378:$AC391,T!$Y378:$Y391),IF(AND(K51="4J1",OR(K53=7,K53=10),K55="AC"),LOOKUP(K80,T!$AC378:$AC391,T!$Z378:$Z391),IF(AND(K51="4J1",K53=9,K55="AC"),LOOKUP(K80,T!$AC378:$AC391,T!$AA378:$AA391),IF(AND(K51="4J1",OR(K53=11,K53=12),K55="AC",K57=3),LOOKUP(K80,T!$AC378:$AC391,T!$AB378:$AB391),IF(AND(K51="4J2",OR(K53=2,K53=4,K53=6,K53=8),K55="DC"),LOOKUP(K80,T!$X397:$X407,T!$U397:$U407),IF(AND(K51="4J2",OR(K53=2,K53=4,K53=6,K53=8),K55="AC"),LOOKUP(K80,T!$X397:$X407,T!$V397:$V407),IF(AND(K51="4J2",OR(K53=3,K53=5,K53=7,K53=9),K55="AC"),LOOKUP(K80,T!$X397:$X407,T!$W397:$W407),IF(AND(K51="4J3",OR(K53=2,K53=4,K53=7,K53=8),K55="DC"),LOOKUP(K80,T!$AA413:$AA426,T!$U413:$U426),IF(AND(K51="4J3",OR(K53=2,K53=4),K55="AC"),LOOKUP(K80,T!$AA413:$AA426,T!$V413:$V426),IF(AND(K51="4J3",OR(K53=9,K53=10),K55="AC"),LOOKUP(K80,T!$AA413:$AA426,T!$W413:$W426),IF(AND(K51="4J3",K53=6,K55="AC"),LOOKUP(K80,T!$AA413:$AA426,T!$X413:$X426),IF(AND(K51="4J3",OR(K53=3,K53=5),K55="AC"),LOOKUP(K80,T!$AA413:$AA426,T!$Y413:$Y426),IF(AND(K51="4J3",OR(K53=11,K53=12),K55="AC"),LOOKUP(K80,T!$AA413:$AA426,T!$Z413:$Z426),IF(AND(K51="4J4",OR(K53=2,K53=4,K53=6),K55="DC"),LOOKUP(K80,T!$X432:$X442,T!$U432:$U442),IF(AND(K51="4J4",OR(K53=2,K53=4,K53=6),K55="AC"),LOOKUP(K80,T!$X432:$X442,T!$V432:$V442),IF(AND(K51="4J4",OR(K53=3,K53=5,K53=7),K55="AC"),LOOKUP(K80,T!$X432:$X442,T!$W432:$W442),0)))))))))))))))))))),0)))*K23*K69)/1000))</f>
        <v>0</v>
      </c>
      <c r="L98" s="163">
        <f>IF(L29="","",IF(OR(COUNT(L19:L21)=3,COUNT(L19:L21)=1),(IF(L29="",0,IF(ISNUMBER(SEARCH("4H",L51)),IF(AND(L51="4H1",OR(L53=2,L53=4,L53=6,L53=8,L53=11),L55="DC"),LOOKUP(L80,T!$AC308:$AC321,T!$U308:$U321),IF(AND(L51="4H1",OR(L53=2,L53=4),L55="AC"),LOOKUP(L80,T!$AC308:$AC321,T!$V308:$V321),IF(AND(L51="4H1",OR(L53=6,L53=8),L55="AC"),LOOKUP(L80,T!$AC308:$AC321,T!$W308:$W321),IF(AND(L51="4H1",OR(L53=11,L53=12),L55="AC",L57=1),LOOKUP(L80,T!$AC308:$AC321,T!$X308:$X321),IF(AND(L51="4H1",OR(L53=3,L53=5),L55="AC"),LOOKUP(L80,T!$AC308:$AC321,T!$Y308:$Y321),IF(AND(L51="4H1",OR(L53=7,L53=10),L55="AC"),LOOKUP(L80,T!$AC308:$AC321,T!$Z308:$Z321),IF(AND(L51="4H1",L53=9,L55="AC"),LOOKUP(L80,T!$AC308:$AC321,T!$AA308:$AA321),IF(AND(L51="4H1",OR(L53=11,L53=12),L55="AC",L57=3),LOOKUP(L80,T!$AC308:$AC321,T!$AB308:$AB321),IF(AND(L51="4H2",OR(L53=2,L53=4,L53=6,L53=8),L55="DC"),LOOKUP(L80,T!$X327:$X337,T!$U327:$U337),IF(AND(L51="4H2",OR(L53=2,L53=4,L53=6,L53=8),L55="AC"),LOOKUP(L80,T!$X327:$X337,T!$V327:$V337),IF(AND(L51="4H2",OR(L53=3,L53=5,L53=7,L53=9),L55="AC"),LOOKUP(L80,T!$X327:$X337,T!$W327:$W337),IF(AND(L51="4H3",OR(L53=2,L53=4,L53=7,L53=8),L55="DC"),LOOKUP(L80,T!$AA343:$AA356,T!$U343:$U356),IF(AND(L51="4H3",OR(L53=2,L53=4),L55="AC"),LOOKUP(L80,T!$AA343:$AA356,T!$V343:$V356),IF(AND(L51="4H3",OR(L53=9,L53=10),L55="AC"),LOOKUP(L80,T!$AA343:$AA$356,T!$W343:$W356),IF(AND(L51="4H3",L53=6,L55="AC"),LOOKUP(L80,T!$AA343:$AA356,T!$X343:$X356),IF(AND(L51="4H3",OR(L53=3,L53=5),L55="AC"),LOOKUP(L80,T!$AA343:$AA356,T!$Y343:$Y356),IF(AND(L51="4H3",OR(L53=11,L53=12),L55="AC"),LOOKUP(L80,T!$AA343:$AA356,T!$Z343:$Z356),IF(AND(L51="4H4",OR(L53=2,L53=4,L53=6),L55="DC"),LOOKUP(L80,T!$X362:$X372,T!$U362:$U372),IF(AND(L51="4H4",OR(L53=2,L53=4,L53=6),L55="AC"),LOOKUP(L80,T!$X362:$X372,T!$V362:$V372),IF(AND(L51="4H4",OR(L53=3,L53=5,L53=7),L55="AC"),LOOKUP(L80,T!$X362:$X372,T!$W362:$W372),0)))))))))))))))))))),IF(ISNUMBER(SEARCH("4J",L51)),IF(AND(L51="4J1",OR(L53=2,L53=4,L53=6,L53=8,L53=11),L55="DC"),LOOKUP(L80,T!$AC378:$AC391,T!$U378:$U391),IF(AND(L51="4J1",OR(L53=2,L53=4),L55="AC"),LOOKUP(L80,T!$AC378:$AC391,T!$V378:$V391),IF(AND(L51="4J1",OR(L53=6,L53=8),L55="AC"),LOOKUP(L80,T!$AC378:$AC391,T!$W378:$W391),IF(AND(L51="4J1",OR(L53=11,L53=12),L55="AC",L57=1),LOOKUP(L80,T!$AC378:$AC391,T!$X378:$X391),IF(AND(L51="4J1",OR(L53=3,L53=5),L55="AC"),LOOKUP(L80,T!$AC378:$AC391,T!$Y378:$Y391),IF(AND(L51="4J1",OR(L53=7,L53=10),L55="AC"),LOOKUP(L80,T!$AC378:$AC391,T!$Z378:$Z391),IF(AND(L51="4J1",L53=9,L55="AC"),LOOKUP(L80,T!$AC378:$AC391,T!$AA378:$AA391),IF(AND(L51="4J1",OR(L53=11,L53=12),L55="AC",L57=3),LOOKUP(L80,T!$AC378:$AC391,T!$AB378:$AB391),IF(AND(L51="4J2",OR(L53=2,L53=4,L53=6,L53=8),L55="DC"),LOOKUP(L80,T!$X397:$X407,T!$U397:$U407),IF(AND(L51="4J2",OR(L53=2,L53=4,L53=6,L53=8),L55="AC"),LOOKUP(L80,T!$X397:$X407,T!$V397:$V407),IF(AND(L51="4J2",OR(L53=3,L53=5,L53=7,L53=9),L55="AC"),LOOKUP(L80,T!$X397:$X407,T!$W397:$W407),IF(AND(L51="4J3",OR(L53=2,L53=4,L53=7,L53=8),L55="DC"),LOOKUP(L80,T!$AA413:$AA426,T!$U413:$U426),IF(AND(L51="4J3",OR(L53=2,L53=4),L55="AC"),LOOKUP(L80,T!$AA413:$AA426,T!$V413:$V426),IF(AND(L51="4J3",OR(L53=9,L53=10),L55="AC"),LOOKUP(L80,T!$AA413:$AA426,T!$W413:$W426),IF(AND(L51="4J3",L53=6,L55="AC"),LOOKUP(L80,T!$AA413:$AA426,T!$X413:$X426),IF(AND(L51="4J3",OR(L53=3,L53=5),L55="AC"),LOOKUP(L80,T!$AA413:$AA426,T!$Y413:$Y426),IF(AND(L51="4J3",OR(L53=11,L53=12),L55="AC"),LOOKUP(L80,T!$AA413:$AA426,T!$Z413:$Z426),IF(AND(L51="4J4",OR(L53=2,L53=4,L53=6),L55="DC"),LOOKUP(L80,T!$X432:$X442,T!$U432:$U442),IF(AND(L51="4J4",OR(L53=2,L53=4,L53=6),L55="AC"),LOOKUP(L80,T!$X432:$X442,T!$V432:$V442),IF(AND(L51="4J4",OR(L53=3,L53=5,L53=7),L55="AC"),LOOKUP(L80,T!$X432:$X442,T!$W432:$W442),0)))))))))))))))))))),0)))*L23*L69)/1000))</f>
        <v>0</v>
      </c>
      <c r="M98" s="163" t="str">
        <f>IF(M29="","",IF(OR(COUNT(M19:M21)=3,COUNT(M19:M21)=1),(IF(M29="",0,IF(ISNUMBER(SEARCH("4H",M51)),IF(AND(M51="4H1",OR(M53=2,M53=4,M53=6,M53=8,M53=11),M55="DC"),LOOKUP(M80,T!$AC308:$AC321,T!$U308:$U321),IF(AND(M51="4H1",OR(M53=2,M53=4),M55="AC"),LOOKUP(M80,T!$AC308:$AC321,T!$V308:$V321),IF(AND(M51="4H1",OR(M53=6,M53=8),M55="AC"),LOOKUP(M80,T!$AC308:$AC321,T!$W308:$W321),IF(AND(M51="4H1",OR(M53=11,M53=12),M55="AC",M57=1),LOOKUP(M80,T!$AC308:$AC321,T!$X308:$X321),IF(AND(M51="4H1",OR(M53=3,M53=5),M55="AC"),LOOKUP(M80,T!$AC308:$AC321,T!$Y308:$Y321),IF(AND(M51="4H1",OR(M53=7,M53=10),M55="AC"),LOOKUP(M80,T!$AC308:$AC321,T!$Z308:$Z321),IF(AND(M51="4H1",M53=9,M55="AC"),LOOKUP(M80,T!$AC308:$AC321,T!$AA308:$AA321),IF(AND(M51="4H1",OR(M53=11,M53=12),M55="AC",M57=3),LOOKUP(M80,T!$AC308:$AC321,T!$AB308:$AB321),IF(AND(M51="4H2",OR(M53=2,M53=4,M53=6,M53=8),M55="DC"),LOOKUP(M80,T!$X327:$X337,T!$U327:$U337),IF(AND(M51="4H2",OR(M53=2,M53=4,M53=6,M53=8),M55="AC"),LOOKUP(M80,T!$X327:$X337,T!$V327:$V337),IF(AND(M51="4H2",OR(M53=3,M53=5,M53=7,M53=9),M55="AC"),LOOKUP(M80,T!$X327:$X337,T!$W327:$W337),IF(AND(M51="4H3",OR(M53=2,M53=4,M53=7,M53=8),M55="DC"),LOOKUP(M80,T!$AA343:$AA356,T!$U343:$U356),IF(AND(M51="4H3",OR(M53=2,M53=4),M55="AC"),LOOKUP(M80,T!$AA343:$AA356,T!$V343:$V356),IF(AND(M51="4H3",OR(M53=9,M53=10),M55="AC"),LOOKUP(M80,T!$AA343:$AA$356,T!$W343:$W356),IF(AND(M51="4H3",M53=6,M55="AC"),LOOKUP(M80,T!$AA343:$AA356,T!$X343:$X356),IF(AND(M51="4H3",OR(M53=3,M53=5),M55="AC"),LOOKUP(M80,T!$AA343:$AA356,T!$Y343:$Y356),IF(AND(M51="4H3",OR(M53=11,M53=12),M55="AC"),LOOKUP(M80,T!$AA343:$AA356,T!$Z343:$Z356),IF(AND(M51="4H4",OR(M53=2,M53=4,M53=6),M55="DC"),LOOKUP(M80,T!$X362:$X372,T!$U362:$U372),IF(AND(M51="4H4",OR(M53=2,M53=4,M53=6),M55="AC"),LOOKUP(M80,T!$X362:$X372,T!$V362:$V372),IF(AND(M51="4H4",OR(M53=3,M53=5,M53=7),M55="AC"),LOOKUP(M80,T!$X362:$X372,T!$W362:$W372),0)))))))))))))))))))),IF(ISNUMBER(SEARCH("4J",M51)),IF(AND(M51="4J1",OR(M53=2,M53=4,M53=6,M53=8,M53=11),M55="DC"),LOOKUP(M80,T!$AC378:$AC391,T!$U378:$U391),IF(AND(M51="4J1",OR(M53=2,M53=4),M55="AC"),LOOKUP(M80,T!$AC378:$AC391,T!$V378:$V391),IF(AND(M51="4J1",OR(M53=6,M53=8),M55="AC"),LOOKUP(M80,T!$AC378:$AC391,T!$W378:$W391),IF(AND(M51="4J1",OR(M53=11,M53=12),M55="AC",M57=1),LOOKUP(M80,T!$AC378:$AC391,T!$X378:$X391),IF(AND(M51="4J1",OR(M53=3,M53=5),M55="AC"),LOOKUP(M80,T!$AC378:$AC391,T!$Y378:$Y391),IF(AND(M51="4J1",OR(M53=7,M53=10),M55="AC"),LOOKUP(M80,T!$AC378:$AC391,T!$Z378:$Z391),IF(AND(M51="4J1",M53=9,M55="AC"),LOOKUP(M80,T!$AC378:$AC391,T!$AA378:$AA391),IF(AND(M51="4J1",OR(M53=11,M53=12),M55="AC",M57=3),LOOKUP(M80,T!$AC378:$AC391,T!$AB378:$AB391),IF(AND(M51="4J2",OR(M53=2,M53=4,M53=6,M53=8),M55="DC"),LOOKUP(M80,T!$X397:$X407,T!$U397:$U407),IF(AND(M51="4J2",OR(M53=2,M53=4,M53=6,M53=8),M55="AC"),LOOKUP(M80,T!$X397:$X407,T!$V397:$V407),IF(AND(M51="4J2",OR(M53=3,M53=5,M53=7,M53=9),M55="AC"),LOOKUP(M80,T!$X397:$X407,T!$W397:$W407),IF(AND(M51="4J3",OR(M53=2,M53=4,M53=7,M53=8),M55="DC"),LOOKUP(M80,T!$AA413:$AA426,T!$U413:$U426),IF(AND(M51="4J3",OR(M53=2,M53=4),M55="AC"),LOOKUP(M80,T!$AA413:$AA426,T!$V413:$V426),IF(AND(M51="4J3",OR(M53=9,M53=10),M55="AC"),LOOKUP(M80,T!$AA413:$AA426,T!$W413:$W426),IF(AND(M51="4J3",M53=6,M55="AC"),LOOKUP(M80,T!$AA413:$AA426,T!$X413:$X426),IF(AND(M51="4J3",OR(M53=3,M53=5),M55="AC"),LOOKUP(M80,T!$AA413:$AA426,T!$Y413:$Y426),IF(AND(M51="4J3",OR(M53=11,M53=12),M55="AC"),LOOKUP(M80,T!$AA413:$AA426,T!$Z413:$Z426),IF(AND(M51="4J4",OR(M53=2,M53=4,M53=6),M55="DC"),LOOKUP(M80,T!$X432:$X442,T!$U432:$U442),IF(AND(M51="4J4",OR(M53=2,M53=4,M53=6),M55="AC"),LOOKUP(M80,T!$X432:$X442,T!$V432:$V442),IF(AND(M51="4J4",OR(M53=3,M53=5,M53=7),M55="AC"),LOOKUP(M80,T!$X432:$X442,T!$W432:$W442),0)))))))))))))))))))),0)))*M23*M69)/1000))</f>
        <v/>
      </c>
      <c r="N98" s="163">
        <f>IF(N29="","",IF(OR(COUNT(N19:N21)=3,COUNT(N19:N21)=1),(IF(N29="",0,IF(ISNUMBER(SEARCH("4H",N51)),IF(AND(N51="4H1",OR(N53=2,N53=4,N53=6,N53=8,N53=11),N55="DC"),LOOKUP(N80,T!$AC308:$AC321,T!$U308:$U321),IF(AND(N51="4H1",OR(N53=2,N53=4),N55="AC"),LOOKUP(N80,T!$AC308:$AC321,T!$V308:$V321),IF(AND(N51="4H1",OR(N53=6,N53=8),N55="AC"),LOOKUP(N80,T!$AC308:$AC321,T!$W308:$W321),IF(AND(N51="4H1",OR(N53=11,N53=12),N55="AC",N57=1),LOOKUP(N80,T!$AC308:$AC321,T!$X308:$X321),IF(AND(N51="4H1",OR(N53=3,N53=5),N55="AC"),LOOKUP(N80,T!$AC308:$AC321,T!$Y308:$Y321),IF(AND(N51="4H1",OR(N53=7,N53=10),N55="AC"),LOOKUP(N80,T!$AC308:$AC321,T!$Z308:$Z321),IF(AND(N51="4H1",N53=9,N55="AC"),LOOKUP(N80,T!$AC308:$AC321,T!$AA308:$AA321),IF(AND(N51="4H1",OR(N53=11,N53=12),N55="AC",N57=3),LOOKUP(N80,T!$AC308:$AC321,T!$AB308:$AB321),IF(AND(N51="4H2",OR(N53=2,N53=4,N53=6,N53=8),N55="DC"),LOOKUP(N80,T!$X327:$X337,T!$U327:$U337),IF(AND(N51="4H2",OR(N53=2,N53=4,N53=6,N53=8),N55="AC"),LOOKUP(N80,T!$X327:$X337,T!$V327:$V337),IF(AND(N51="4H2",OR(N53=3,N53=5,N53=7,N53=9),N55="AC"),LOOKUP(N80,T!$X327:$X337,T!$W327:$W337),IF(AND(N51="4H3",OR(N53=2,N53=4,N53=7,N53=8),N55="DC"),LOOKUP(N80,T!$AA343:$AA356,T!$U343:$U356),IF(AND(N51="4H3",OR(N53=2,N53=4),N55="AC"),LOOKUP(N80,T!$AA343:$AA356,T!$V343:$V356),IF(AND(N51="4H3",OR(N53=9,N53=10),N55="AC"),LOOKUP(N80,T!$AA343:$AA$356,T!$W343:$W356),IF(AND(N51="4H3",N53=6,N55="AC"),LOOKUP(N80,T!$AA343:$AA356,T!$X343:$X356),IF(AND(N51="4H3",OR(N53=3,N53=5),N55="AC"),LOOKUP(N80,T!$AA343:$AA356,T!$Y343:$Y356),IF(AND(N51="4H3",OR(N53=11,N53=12),N55="AC"),LOOKUP(N80,T!$AA343:$AA356,T!$Z343:$Z356),IF(AND(N51="4H4",OR(N53=2,N53=4,N53=6),N55="DC"),LOOKUP(N80,T!$X362:$X372,T!$U362:$U372),IF(AND(N51="4H4",OR(N53=2,N53=4,N53=6),N55="AC"),LOOKUP(N80,T!$X362:$X372,T!$V362:$V372),IF(AND(N51="4H4",OR(N53=3,N53=5,N53=7),N55="AC"),LOOKUP(N80,T!$X362:$X372,T!$W362:$W372),0)))))))))))))))))))),IF(ISNUMBER(SEARCH("4J",N51)),IF(AND(N51="4J1",OR(N53=2,N53=4,N53=6,N53=8,N53=11),N55="DC"),LOOKUP(N80,T!$AC378:$AC391,T!$U378:$U391),IF(AND(N51="4J1",OR(N53=2,N53=4),N55="AC"),LOOKUP(N80,T!$AC378:$AC391,T!$V378:$V391),IF(AND(N51="4J1",OR(N53=6,N53=8),N55="AC"),LOOKUP(N80,T!$AC378:$AC391,T!$W378:$W391),IF(AND(N51="4J1",OR(N53=11,N53=12),N55="AC",N57=1),LOOKUP(N80,T!$AC378:$AC391,T!$X378:$X391),IF(AND(N51="4J1",OR(N53=3,N53=5),N55="AC"),LOOKUP(N80,T!$AC378:$AC391,T!$Y378:$Y391),IF(AND(N51="4J1",OR(N53=7,N53=10),N55="AC"),LOOKUP(N80,T!$AC378:$AC391,T!$Z378:$Z391),IF(AND(N51="4J1",N53=9,N55="AC"),LOOKUP(N80,T!$AC378:$AC391,T!$AA378:$AA391),IF(AND(N51="4J1",OR(N53=11,N53=12),N55="AC",N57=3),LOOKUP(N80,T!$AC378:$AC391,T!$AB378:$AB391),IF(AND(N51="4J2",OR(N53=2,N53=4,N53=6,N53=8),N55="DC"),LOOKUP(N80,T!$X397:$X407,T!$U397:$U407),IF(AND(N51="4J2",OR(N53=2,N53=4,N53=6,N53=8),N55="AC"),LOOKUP(N80,T!$X397:$X407,T!$V397:$V407),IF(AND(N51="4J2",OR(N53=3,N53=5,N53=7,N53=9),N55="AC"),LOOKUP(N80,T!$X397:$X407,T!$W397:$W407),IF(AND(N51="4J3",OR(N53=2,N53=4,N53=7,N53=8),N55="DC"),LOOKUP(N80,T!$AA413:$AA426,T!$U413:$U426),IF(AND(N51="4J3",OR(N53=2,N53=4),N55="AC"),LOOKUP(N80,T!$AA413:$AA426,T!$V413:$V426),IF(AND(N51="4J3",OR(N53=9,N53=10),N55="AC"),LOOKUP(N80,T!$AA413:$AA426,T!$W413:$W426),IF(AND(N51="4J3",N53=6,N55="AC"),LOOKUP(N80,T!$AA413:$AA426,T!$X413:$X426),IF(AND(N51="4J3",OR(N53=3,N53=5),N55="AC"),LOOKUP(N80,T!$AA413:$AA426,T!$Y413:$Y426),IF(AND(N51="4J3",OR(N53=11,N53=12),N55="AC"),LOOKUP(N80,T!$AA413:$AA426,T!$Z413:$Z426),IF(AND(N51="4J4",OR(N53=2,N53=4,N53=6),N55="DC"),LOOKUP(N80,T!$X432:$X442,T!$U432:$U442),IF(AND(N51="4J4",OR(N53=2,N53=4,N53=6),N55="AC"),LOOKUP(N80,T!$X432:$X442,T!$V432:$V442),IF(AND(N51="4J4",OR(N53=3,N53=5,N53=7),N55="AC"),LOOKUP(N80,T!$X432:$X442,T!$W432:$W442),0)))))))))))))))))))),0)))*N23*N69)/1000))</f>
        <v>0</v>
      </c>
      <c r="O98" s="133" t="str">
        <f t="shared" si="23"/>
        <v/>
      </c>
    </row>
    <row r="99" spans="1:58" s="173" customFormat="1" ht="17">
      <c r="A99" s="193"/>
      <c r="B99" s="399"/>
      <c r="C99" s="396"/>
      <c r="D99" s="163">
        <f>IF(D29="","",IF(OR(COUNT(D19:D21)=3,COUNT(D19:D21)=1),(IF(D29="",0,IF(ISNUMBER(SEARCH("4H",D51)),IF(AND(D51="4H1",OR(D53=2,D53=4,D53=6,D53=8,D53=11),D55="DC"),LOOKUP(D81,T!$AC308:$AC321,T!$U308:$U321),IF(AND(D51="4H1",OR(D53=2,D53=4),D55="AC"),LOOKUP(D81,T!$AC308:$AC321,T!$V308:$V321),IF(AND(D51="4H1",OR(D53=6,D53=8),D55="AC"),LOOKUP(D81,T!$AC308:$AC321,T!$W308:$W321),IF(AND(D51="4H1",OR(D53=11,D53=12),D55="AC",D57=1),LOOKUP(D81,T!$AC308:$AC321,T!$X308:$X321),IF(AND(D51="4H1",OR(D53=3,D53=5),D55="AC"),LOOKUP(D81,T!$AC308:$AC321,T!$Y308:$Y321),IF(AND(D51="4H1",OR(D53=7,D53=10),D55="AC"),LOOKUP(D81,T!$AC308:$AC321,T!$Z308:$Z321),IF(AND(D51="4H1",D53=9,D55="AC"),LOOKUP(D81,T!$AC308:$AC321,T!$AA308:$AA321),IF(AND(D51="4H1",OR(D53=11,D53=12),D55="AC",D57=3),LOOKUP(D81,T!$AC308:$AC321,T!$AB308:$AB321),IF(AND(D51="4H2",OR(D53=2,D53=4,D53=6,D53=8),D55="DC"),LOOKUP(D81,T!$X327:$X337,T!$U327:$U337),IF(AND(D51="4H2",OR(D53=2,D53=4,D53=6,D53=8),D55="AC"),LOOKUP(D81,T!$X327:$X337,T!$V327:$V337),IF(AND(D51="4H2",OR(D53=3,D53=5,D53=7,D53=9),D55="AC"),LOOKUP(D81,T!$X327:$X337,T!$W327:$W337),IF(AND(D51="4H3",OR(D53=2,D53=4,D53=7,D53=8),D55="DC"),LOOKUP(D81,T!$AA343:$AA356,T!$U343:$U356),IF(AND(D51="4H3",OR(D53=2,D53=4),D55="AC"),LOOKUP(D81,T!$AA343:$AA356,T!$V343:$V356),IF(AND(D51="4H3",OR(D53=9,D53=10),D55="AC"),LOOKUP(D81,T!$AA343:$AA$356,T!$W343:$W356),IF(AND(D51="4H3",D53=6,D55="AC"),LOOKUP(D81,T!$AA343:$AA356,T!$X343:$X356),IF(AND(D51="4H3",OR(D53=3,D53=5),D55="AC"),LOOKUP(D81,T!$AA343:$AA356,T!$Y343:$Y356),IF(AND(D51="4H3",OR(D53=11,D53=12),D55="AC"),LOOKUP(D81,T!$AA343:$AA356,T!$Z343:$Z356),IF(AND(D51="4H4",OR(D53=2,D53=4,D53=6),D55="DC"),LOOKUP(D81,T!$X362:$X372,T!$U362:$U372),IF(AND(D51="4H4",OR(D53=2,D53=4,D53=6),D55="AC"),LOOKUP(D81,T!$X362:$X372,T!$V362:$V372),IF(AND(D51="4H4",OR(D53=3,D53=5,D53=7),D55="AC"),LOOKUP(D81,T!$X362:$X372,T!$W362:$W372),0)))))))))))))))))))),IF(ISNUMBER(SEARCH("4J",D51)),IF(AND(D51="4J1",OR(D53=2,D53=4,D53=6,D53=8,D53=11),D55="DC"),LOOKUP(D81,T!$AC378:$AC391,T!$U378:$U391),IF(AND(D51="4J1",OR(D53=2,D53=4),D55="AC"),LOOKUP(D81,T!$AC378:$AC391,T!$V378:$V391),IF(AND(D51="4J1",OR(D53=6,D53=8),D55="AC"),LOOKUP(D81,T!$AC378:$AC391,T!$W378:$W391),IF(AND(D51="4J1",OR(D53=11,D53=12),D55="AC",D57=1),LOOKUP(D81,T!$AC378:$AC391,T!$X378:$X391),IF(AND(D51="4J1",OR(D53=3,D53=5),D55="AC"),LOOKUP(D81,T!$AC378:$AC391,T!$Y378:$Y391),IF(AND(D51="4J1",OR(D53=7,D53=10),D55="AC"),LOOKUP(D81,T!$AC378:$AC391,T!$Z378:$Z391),IF(AND(D51="4J1",D53=9,D55="AC"),LOOKUP(D81,T!$AC378:$AC391,T!$AA378:$AA391),IF(AND(D51="4J1",OR(D53=11,D53=12),D55="AC",D57=3),LOOKUP(D81,T!$AC378:$AC391,T!$AB378:$AB391),IF(AND(D51="4J2",OR(D53=2,D53=4,D53=6,D53=8),D55="DC"),LOOKUP(D81,T!$X397:$X407,T!$U397:$U407),IF(AND(D51="4J2",OR(D53=2,D53=4,D53=6,D53=8),D55="AC"),LOOKUP(D81,T!$X397:$X407,T!$V397:$V407),IF(AND(D51="4J2",OR(D53=3,D53=5,D53=7,D53=9),D55="AC"),LOOKUP(D81,T!$X397:$X407,T!$W397:$W407),IF(AND(D51="4J3",OR(D53=2,D53=4,D53=7,D53=8),D55="DC"),LOOKUP(D81,T!$AA413:$AA426,T!$U413:$U426),IF(AND(D51="4J3",OR(D53=2,D53=4),D55="AC"),LOOKUP(D81,T!$AA413:$AA426,T!$V413:$V426),IF(AND(D51="4J3",OR(D53=9,D53=10),D55="AC"),LOOKUP(D81,T!$AA413:$AA426,T!$W413:$W426),IF(AND(D51="4J3",D53=6,D55="AC"),LOOKUP(D81,T!$AA413:$AA426,T!$X413:$X426),IF(AND(D51="4J3",OR(D53=3,D53=5),D55="AC"),LOOKUP(D81,T!$AA413:$AA426,T!$Y413:$Y426),IF(AND(D51="4J3",OR(D53=11,D53=12),D55="AC"),LOOKUP(D81,T!$AA413:$AA426,T!$Z413:$Z426),IF(AND(D51="4J4",OR(D53=2,D53=4,D53=6),D55="DC"),LOOKUP(D81,T!$X432:$X442,T!$U432:$U442),IF(AND(D51="4J4",OR(D53=2,D53=4,D53=6),D55="AC"),LOOKUP(D81,T!$X432:$X442,T!$V432:$V442),IF(AND(D51="4J4",OR(D53=3,D53=5,D53=7),D55="AC"),LOOKUP(D81,T!$X432:$X442,T!$W432:$W442),0)))))))))))))))))))),0)))*D23*D69)/1000))</f>
        <v>0</v>
      </c>
      <c r="E99" s="163">
        <f ca="1">IF(E29="","",IF(OR(COUNT(E19:E21)=3,COUNT(E19:E21)=1),(IF(E29="",0,IF(ISNUMBER(SEARCH("4H",E51)),IF(AND(E51="4H1",OR(E53=2,E53=4,E53=6,E53=8,E53=11),E55="DC"),LOOKUP(E81,T!$AC308:$AC321,T!$U308:$U321),IF(AND(E51="4H1",OR(E53=2,E53=4),E55="AC"),LOOKUP(E81,T!$AC308:$AC321,T!$V308:$V321),IF(AND(E51="4H1",OR(E53=6,E53=8),E55="AC"),LOOKUP(E81,T!$AC308:$AC321,T!$W308:$W321),IF(AND(E51="4H1",OR(E53=11,E53=12),E55="AC",E57=1),LOOKUP(E81,T!$AC308:$AC321,T!$X308:$X321),IF(AND(E51="4H1",OR(E53=3,E53=5),E55="AC"),LOOKUP(E81,T!$AC308:$AC321,T!$Y308:$Y321),IF(AND(E51="4H1",OR(E53=7,E53=10),E55="AC"),LOOKUP(E81,T!$AC308:$AC321,T!$Z308:$Z321),IF(AND(E51="4H1",E53=9,E55="AC"),LOOKUP(E81,T!$AC308:$AC321,T!$AA308:$AA321),IF(AND(E51="4H1",OR(E53=11,E53=12),E55="AC",E57=3),LOOKUP(E81,T!$AC308:$AC321,T!$AB308:$AB321),IF(AND(E51="4H2",OR(E53=2,E53=4,E53=6,E53=8),E55="DC"),LOOKUP(E81,T!$X327:$X337,T!$U327:$U337),IF(AND(E51="4H2",OR(E53=2,E53=4,E53=6,E53=8),E55="AC"),LOOKUP(E81,T!$X327:$X337,T!$V327:$V337),IF(AND(E51="4H2",OR(E53=3,E53=5,E53=7,E53=9),E55="AC"),LOOKUP(E81,T!$X327:$X337,T!$W327:$W337),IF(AND(E51="4H3",OR(E53=2,E53=4,E53=7,E53=8),E55="DC"),LOOKUP(E81,T!$AA343:$AA356,T!$U343:$U356),IF(AND(E51="4H3",OR(E53=2,E53=4),E55="AC"),LOOKUP(E81,T!$AA343:$AA356,T!$V343:$V356),IF(AND(E51="4H3",OR(E53=9,E53=10),E55="AC"),LOOKUP(E81,T!$AA343:$AA$356,T!$W343:$W356),IF(AND(E51="4H3",E53=6,E55="AC"),LOOKUP(E81,T!$AA343:$AA356,T!$X343:$X356),IF(AND(E51="4H3",OR(E53=3,E53=5),E55="AC"),LOOKUP(E81,T!$AA343:$AA356,T!$Y343:$Y356),IF(AND(E51="4H3",OR(E53=11,E53=12),E55="AC"),LOOKUP(E81,T!$AA343:$AA356,T!$Z343:$Z356),IF(AND(E51="4H4",OR(E53=2,E53=4,E53=6),E55="DC"),LOOKUP(E81,T!$X362:$X372,T!$U362:$U372),IF(AND(E51="4H4",OR(E53=2,E53=4,E53=6),E55="AC"),LOOKUP(E81,T!$X362:$X372,T!$V362:$V372),IF(AND(E51="4H4",OR(E53=3,E53=5,E53=7),E55="AC"),LOOKUP(E81,T!$X362:$X372,T!$W362:$W372),0)))))))))))))))))))),IF(ISNUMBER(SEARCH("4J",E51)),IF(AND(E51="4J1",OR(E53=2,E53=4,E53=6,E53=8,E53=11),E55="DC"),LOOKUP(E81,T!$AC378:$AC391,T!$U378:$U391),IF(AND(E51="4J1",OR(E53=2,E53=4),E55="AC"),LOOKUP(E81,T!$AC378:$AC391,T!$V378:$V391),IF(AND(E51="4J1",OR(E53=6,E53=8),E55="AC"),LOOKUP(E81,T!$AC378:$AC391,T!$W378:$W391),IF(AND(E51="4J1",OR(E53=11,E53=12),E55="AC",E57=1),LOOKUP(E81,T!$AC378:$AC391,T!$X378:$X391),IF(AND(E51="4J1",OR(E53=3,E53=5),E55="AC"),LOOKUP(E81,T!$AC378:$AC391,T!$Y378:$Y391),IF(AND(E51="4J1",OR(E53=7,E53=10),E55="AC"),LOOKUP(E81,T!$AC378:$AC391,T!$Z378:$Z391),IF(AND(E51="4J1",E53=9,E55="AC"),LOOKUP(E81,T!$AC378:$AC391,T!$AA378:$AA391),IF(AND(E51="4J1",OR(E53=11,E53=12),E55="AC",E57=3),LOOKUP(E81,T!$AC378:$AC391,T!$AB378:$AB391),IF(AND(E51="4J2",OR(E53=2,E53=4,E53=6,E53=8),E55="DC"),LOOKUP(E81,T!$X397:$X407,T!$U397:$U407),IF(AND(E51="4J2",OR(E53=2,E53=4,E53=6,E53=8),E55="AC"),LOOKUP(E81,T!$X397:$X407,T!$V397:$V407),IF(AND(E51="4J2",OR(E53=3,E53=5,E53=7,E53=9),E55="AC"),LOOKUP(E81,T!$X397:$X407,T!$W397:$W407),IF(AND(E51="4J3",OR(E53=2,E53=4,E53=7,E53=8),E55="DC"),LOOKUP(E81,T!$AA413:$AA426,T!$U413:$U426),IF(AND(E51="4J3",OR(E53=2,E53=4),E55="AC"),LOOKUP(E81,T!$AA413:$AA426,T!$V413:$V426),IF(AND(E51="4J3",OR(E53=9,E53=10),E55="AC"),LOOKUP(E81,T!$AA413:$AA426,T!$W413:$W426),IF(AND(E51="4J3",E53=6,E55="AC"),LOOKUP(E81,T!$AA413:$AA426,T!$X413:$X426),IF(AND(E51="4J3",OR(E53=3,E53=5),E55="AC"),LOOKUP(E81,T!$AA413:$AA426,T!$Y413:$Y426),IF(AND(E51="4J3",OR(E53=11,E53=12),E55="AC"),LOOKUP(E81,T!$AA413:$AA426,T!$Z413:$Z426),IF(AND(E51="4J4",OR(E53=2,E53=4,E53=6),E55="DC"),LOOKUP(E81,T!$X432:$X442,T!$U432:$U442),IF(AND(E51="4J4",OR(E53=2,E53=4,E53=6),E55="AC"),LOOKUP(E81,T!$X432:$X442,T!$V432:$V442),IF(AND(E51="4J4",OR(E53=3,E53=5,E53=7),E55="AC"),LOOKUP(E81,T!$X432:$X442,T!$W432:$W442),0)))))))))))))))))))),0)))*E23*E69)/1000))</f>
        <v>0</v>
      </c>
      <c r="F99" s="163">
        <f ca="1">IF(F29="","",IF(OR(COUNT(F19:F21)=3,COUNT(F19:F21)=1),(IF(F29="",0,IF(ISNUMBER(SEARCH("4H",F51)),IF(AND(F51="4H1",OR(F53=2,F53=4,F53=6,F53=8,F53=11),F55="DC"),LOOKUP(F81,T!$AC308:$AC321,T!$U308:$U321),IF(AND(F51="4H1",OR(F53=2,F53=4),F55="AC"),LOOKUP(F81,T!$AC308:$AC321,T!$V308:$V321),IF(AND(F51="4H1",OR(F53=6,F53=8),F55="AC"),LOOKUP(F81,T!$AC308:$AC321,T!$W308:$W321),IF(AND(F51="4H1",OR(F53=11,F53=12),F55="AC",F57=1),LOOKUP(F81,T!$AC308:$AC321,T!$X308:$X321),IF(AND(F51="4H1",OR(F53=3,F53=5),F55="AC"),LOOKUP(F81,T!$AC308:$AC321,T!$Y308:$Y321),IF(AND(F51="4H1",OR(F53=7,F53=10),F55="AC"),LOOKUP(F81,T!$AC308:$AC321,T!$Z308:$Z321),IF(AND(F51="4H1",F53=9,F55="AC"),LOOKUP(F81,T!$AC308:$AC321,T!$AA308:$AA321),IF(AND(F51="4H1",OR(F53=11,F53=12),F55="AC",F57=3),LOOKUP(F81,T!$AC308:$AC321,T!$AB308:$AB321),IF(AND(F51="4H2",OR(F53=2,F53=4,F53=6,F53=8),F55="DC"),LOOKUP(F81,T!$X327:$X337,T!$U327:$U337),IF(AND(F51="4H2",OR(F53=2,F53=4,F53=6,F53=8),F55="AC"),LOOKUP(F81,T!$X327:$X337,T!$V327:$V337),IF(AND(F51="4H2",OR(F53=3,F53=5,F53=7,F53=9),F55="AC"),LOOKUP(F81,T!$X327:$X337,T!$W327:$W337),IF(AND(F51="4H3",OR(F53=2,F53=4,F53=7,F53=8),F55="DC"),LOOKUP(F81,T!$AA343:$AA356,T!$U343:$U356),IF(AND(F51="4H3",OR(F53=2,F53=4),F55="AC"),LOOKUP(F81,T!$AA343:$AA356,T!$V343:$V356),IF(AND(F51="4H3",OR(F53=9,F53=10),F55="AC"),LOOKUP(F81,T!$AA343:$AA$356,T!$W343:$W356),IF(AND(F51="4H3",F53=6,F55="AC"),LOOKUP(F81,T!$AA343:$AA356,T!$X343:$X356),IF(AND(F51="4H3",OR(F53=3,F53=5),F55="AC"),LOOKUP(F81,T!$AA343:$AA356,T!$Y343:$Y356),IF(AND(F51="4H3",OR(F53=11,F53=12),F55="AC"),LOOKUP(F81,T!$AA343:$AA356,T!$Z343:$Z356),IF(AND(F51="4H4",OR(F53=2,F53=4,F53=6),F55="DC"),LOOKUP(F81,T!$X362:$X372,T!$U362:$U372),IF(AND(F51="4H4",OR(F53=2,F53=4,F53=6),F55="AC"),LOOKUP(F81,T!$X362:$X372,T!$V362:$V372),IF(AND(F51="4H4",OR(F53=3,F53=5,F53=7),F55="AC"),LOOKUP(F81,T!$X362:$X372,T!$W362:$W372),0)))))))))))))))))))),IF(ISNUMBER(SEARCH("4J",F51)),IF(AND(F51="4J1",OR(F53=2,F53=4,F53=6,F53=8,F53=11),F55="DC"),LOOKUP(F81,T!$AC378:$AC391,T!$U378:$U391),IF(AND(F51="4J1",OR(F53=2,F53=4),F55="AC"),LOOKUP(F81,T!$AC378:$AC391,T!$V378:$V391),IF(AND(F51="4J1",OR(F53=6,F53=8),F55="AC"),LOOKUP(F81,T!$AC378:$AC391,T!$W378:$W391),IF(AND(F51="4J1",OR(F53=11,F53=12),F55="AC",F57=1),LOOKUP(F81,T!$AC378:$AC391,T!$X378:$X391),IF(AND(F51="4J1",OR(F53=3,F53=5),F55="AC"),LOOKUP(F81,T!$AC378:$AC391,T!$Y378:$Y391),IF(AND(F51="4J1",OR(F53=7,F53=10),F55="AC"),LOOKUP(F81,T!$AC378:$AC391,T!$Z378:$Z391),IF(AND(F51="4J1",F53=9,F55="AC"),LOOKUP(F81,T!$AC378:$AC391,T!$AA378:$AA391),IF(AND(F51="4J1",OR(F53=11,F53=12),F55="AC",F57=3),LOOKUP(F81,T!$AC378:$AC391,T!$AB378:$AB391),IF(AND(F51="4J2",OR(F53=2,F53=4,F53=6,F53=8),F55="DC"),LOOKUP(F81,T!$X397:$X407,T!$U397:$U407),IF(AND(F51="4J2",OR(F53=2,F53=4,F53=6,F53=8),F55="AC"),LOOKUP(F81,T!$X397:$X407,T!$V397:$V407),IF(AND(F51="4J2",OR(F53=3,F53=5,F53=7,F53=9),F55="AC"),LOOKUP(F81,T!$X397:$X407,T!$W397:$W407),IF(AND(F51="4J3",OR(F53=2,F53=4,F53=7,F53=8),F55="DC"),LOOKUP(F81,T!$AA413:$AA426,T!$U413:$U426),IF(AND(F51="4J3",OR(F53=2,F53=4),F55="AC"),LOOKUP(F81,T!$AA413:$AA426,T!$V413:$V426),IF(AND(F51="4J3",OR(F53=9,F53=10),F55="AC"),LOOKUP(F81,T!$AA413:$AA426,T!$W413:$W426),IF(AND(F51="4J3",F53=6,F55="AC"),LOOKUP(F81,T!$AA413:$AA426,T!$X413:$X426),IF(AND(F51="4J3",OR(F53=3,F53=5),F55="AC"),LOOKUP(F81,T!$AA413:$AA426,T!$Y413:$Y426),IF(AND(F51="4J3",OR(F53=11,F53=12),F55="AC"),LOOKUP(F81,T!$AA413:$AA426,T!$Z413:$Z426),IF(AND(F51="4J4",OR(F53=2,F53=4,F53=6),F55="DC"),LOOKUP(F81,T!$X432:$X442,T!$U432:$U442),IF(AND(F51="4J4",OR(F53=2,F53=4,F53=6),F55="AC"),LOOKUP(F81,T!$X432:$X442,T!$V432:$V442),IF(AND(F51="4J4",OR(F53=3,F53=5,F53=7),F55="AC"),LOOKUP(F81,T!$X432:$X442,T!$W432:$W442),0)))))))))))))))))))),0)))*F23*F69)/1000))</f>
        <v>0</v>
      </c>
      <c r="G99" s="163">
        <f ca="1">IF(G29="","",IF(OR(COUNT(G19:G21)=3,COUNT(G19:G21)=1),(IF(G29="",0,IF(ISNUMBER(SEARCH("4H",G51)),IF(AND(G51="4H1",OR(G53=2,G53=4,G53=6,G53=8,G53=11),G55="DC"),LOOKUP(G81,T!$AC308:$AC321,T!$U308:$U321),IF(AND(G51="4H1",OR(G53=2,G53=4),G55="AC"),LOOKUP(G81,T!$AC308:$AC321,T!$V308:$V321),IF(AND(G51="4H1",OR(G53=6,G53=8),G55="AC"),LOOKUP(G81,T!$AC308:$AC321,T!$W308:$W321),IF(AND(G51="4H1",OR(G53=11,G53=12),G55="AC",G57=1),LOOKUP(G81,T!$AC308:$AC321,T!$X308:$X321),IF(AND(G51="4H1",OR(G53=3,G53=5),G55="AC"),LOOKUP(G81,T!$AC308:$AC321,T!$Y308:$Y321),IF(AND(G51="4H1",OR(G53=7,G53=10),G55="AC"),LOOKUP(G81,T!$AC308:$AC321,T!$Z308:$Z321),IF(AND(G51="4H1",G53=9,G55="AC"),LOOKUP(G81,T!$AC308:$AC321,T!$AA308:$AA321),IF(AND(G51="4H1",OR(G53=11,G53=12),G55="AC",G57=3),LOOKUP(G81,T!$AC308:$AC321,T!$AB308:$AB321),IF(AND(G51="4H2",OR(G53=2,G53=4,G53=6,G53=8),G55="DC"),LOOKUP(G81,T!$X327:$X337,T!$U327:$U337),IF(AND(G51="4H2",OR(G53=2,G53=4,G53=6,G53=8),G55="AC"),LOOKUP(G81,T!$X327:$X337,T!$V327:$V337),IF(AND(G51="4H2",OR(G53=3,G53=5,G53=7,G53=9),G55="AC"),LOOKUP(G81,T!$X327:$X337,T!$W327:$W337),IF(AND(G51="4H3",OR(G53=2,G53=4,G53=7,G53=8),G55="DC"),LOOKUP(G81,T!$AA343:$AA356,T!$U343:$U356),IF(AND(G51="4H3",OR(G53=2,G53=4),G55="AC"),LOOKUP(G81,T!$AA343:$AA356,T!$V343:$V356),IF(AND(G51="4H3",OR(G53=9,G53=10),G55="AC"),LOOKUP(G81,T!$AA343:$AA$356,T!$W343:$W356),IF(AND(G51="4H3",G53=6,G55="AC"),LOOKUP(G81,T!$AA343:$AA356,T!$X343:$X356),IF(AND(G51="4H3",OR(G53=3,G53=5),G55="AC"),LOOKUP(G81,T!$AA343:$AA356,T!$Y343:$Y356),IF(AND(G51="4H3",OR(G53=11,G53=12),G55="AC"),LOOKUP(G81,T!$AA343:$AA356,T!$Z343:$Z356),IF(AND(G51="4H4",OR(G53=2,G53=4,G53=6),G55="DC"),LOOKUP(G81,T!$X362:$X372,T!$U362:$U372),IF(AND(G51="4H4",OR(G53=2,G53=4,G53=6),G55="AC"),LOOKUP(G81,T!$X362:$X372,T!$V362:$V372),IF(AND(G51="4H4",OR(G53=3,G53=5,G53=7),G55="AC"),LOOKUP(G81,T!$X362:$X372,T!$W362:$W372),0)))))))))))))))))))),IF(ISNUMBER(SEARCH("4J",G51)),IF(AND(G51="4J1",OR(G53=2,G53=4,G53=6,G53=8,G53=11),G55="DC"),LOOKUP(G81,T!$AC378:$AC391,T!$U378:$U391),IF(AND(G51="4J1",OR(G53=2,G53=4),G55="AC"),LOOKUP(G81,T!$AC378:$AC391,T!$V378:$V391),IF(AND(G51="4J1",OR(G53=6,G53=8),G55="AC"),LOOKUP(G81,T!$AC378:$AC391,T!$W378:$W391),IF(AND(G51="4J1",OR(G53=11,G53=12),G55="AC",G57=1),LOOKUP(G81,T!$AC378:$AC391,T!$X378:$X391),IF(AND(G51="4J1",OR(G53=3,G53=5),G55="AC"),LOOKUP(G81,T!$AC378:$AC391,T!$Y378:$Y391),IF(AND(G51="4J1",OR(G53=7,G53=10),G55="AC"),LOOKUP(G81,T!$AC378:$AC391,T!$Z378:$Z391),IF(AND(G51="4J1",G53=9,G55="AC"),LOOKUP(G81,T!$AC378:$AC391,T!$AA378:$AA391),IF(AND(G51="4J1",OR(G53=11,G53=12),G55="AC",G57=3),LOOKUP(G81,T!$AC378:$AC391,T!$AB378:$AB391),IF(AND(G51="4J2",OR(G53=2,G53=4,G53=6,G53=8),G55="DC"),LOOKUP(G81,T!$X397:$X407,T!$U397:$U407),IF(AND(G51="4J2",OR(G53=2,G53=4,G53=6,G53=8),G55="AC"),LOOKUP(G81,T!$X397:$X407,T!$V397:$V407),IF(AND(G51="4J2",OR(G53=3,G53=5,G53=7,G53=9),G55="AC"),LOOKUP(G81,T!$X397:$X407,T!$W397:$W407),IF(AND(G51="4J3",OR(G53=2,G53=4,G53=7,G53=8),G55="DC"),LOOKUP(G81,T!$AA413:$AA426,T!$U413:$U426),IF(AND(G51="4J3",OR(G53=2,G53=4),G55="AC"),LOOKUP(G81,T!$AA413:$AA426,T!$V413:$V426),IF(AND(G51="4J3",OR(G53=9,G53=10),G55="AC"),LOOKUP(G81,T!$AA413:$AA426,T!$W413:$W426),IF(AND(G51="4J3",G53=6,G55="AC"),LOOKUP(G81,T!$AA413:$AA426,T!$X413:$X426),IF(AND(G51="4J3",OR(G53=3,G53=5),G55="AC"),LOOKUP(G81,T!$AA413:$AA426,T!$Y413:$Y426),IF(AND(G51="4J3",OR(G53=11,G53=12),G55="AC"),LOOKUP(G81,T!$AA413:$AA426,T!$Z413:$Z426),IF(AND(G51="4J4",OR(G53=2,G53=4,G53=6),G55="DC"),LOOKUP(G81,T!$X432:$X442,T!$U432:$U442),IF(AND(G51="4J4",OR(G53=2,G53=4,G53=6),G55="AC"),LOOKUP(G81,T!$X432:$X442,T!$V432:$V442),IF(AND(G51="4J4",OR(G53=3,G53=5,G53=7),G55="AC"),LOOKUP(G81,T!$X432:$X442,T!$W432:$W442),0)))))))))))))))))))),0)))*G23*G69)/1000))</f>
        <v>0</v>
      </c>
      <c r="H99" s="163">
        <f ca="1">IF(H29="","",IF(OR(COUNT(H19:H21)=3,COUNT(H19:H21)=1),(IF(H29="",0,IF(ISNUMBER(SEARCH("4H",H51)),IF(AND(H51="4H1",OR(H53=2,H53=4,H53=6,H53=8,H53=11),H55="DC"),LOOKUP(H81,T!$AC308:$AC321,T!$U308:$U321),IF(AND(H51="4H1",OR(H53=2,H53=4),H55="AC"),LOOKUP(H81,T!$AC308:$AC321,T!$V308:$V321),IF(AND(H51="4H1",OR(H53=6,H53=8),H55="AC"),LOOKUP(H81,T!$AC308:$AC321,T!$W308:$W321),IF(AND(H51="4H1",OR(H53=11,H53=12),H55="AC",H57=1),LOOKUP(H81,T!$AC308:$AC321,T!$X308:$X321),IF(AND(H51="4H1",OR(H53=3,H53=5),H55="AC"),LOOKUP(H81,T!$AC308:$AC321,T!$Y308:$Y321),IF(AND(H51="4H1",OR(H53=7,H53=10),H55="AC"),LOOKUP(H81,T!$AC308:$AC321,T!$Z308:$Z321),IF(AND(H51="4H1",H53=9,H55="AC"),LOOKUP(H81,T!$AC308:$AC321,T!$AA308:$AA321),IF(AND(H51="4H1",OR(H53=11,H53=12),H55="AC",H57=3),LOOKUP(H81,T!$AC308:$AC321,T!$AB308:$AB321),IF(AND(H51="4H2",OR(H53=2,H53=4,H53=6,H53=8),H55="DC"),LOOKUP(H81,T!$X327:$X337,T!$U327:$U337),IF(AND(H51="4H2",OR(H53=2,H53=4,H53=6,H53=8),H55="AC"),LOOKUP(H81,T!$X327:$X337,T!$V327:$V337),IF(AND(H51="4H2",OR(H53=3,H53=5,H53=7,H53=9),H55="AC"),LOOKUP(H81,T!$X327:$X337,T!$W327:$W337),IF(AND(H51="4H3",OR(H53=2,H53=4,H53=7,H53=8),H55="DC"),LOOKUP(H81,T!$AA343:$AA356,T!$U343:$U356),IF(AND(H51="4H3",OR(H53=2,H53=4),H55="AC"),LOOKUP(H81,T!$AA343:$AA356,T!$V343:$V356),IF(AND(H51="4H3",OR(H53=9,H53=10),H55="AC"),LOOKUP(H81,T!$AA343:$AA$356,T!$W343:$W356),IF(AND(H51="4H3",H53=6,H55="AC"),LOOKUP(H81,T!$AA343:$AA356,T!$X343:$X356),IF(AND(H51="4H3",OR(H53=3,H53=5),H55="AC"),LOOKUP(H81,T!$AA343:$AA356,T!$Y343:$Y356),IF(AND(H51="4H3",OR(H53=11,H53=12),H55="AC"),LOOKUP(H81,T!$AA343:$AA356,T!$Z343:$Z356),IF(AND(H51="4H4",OR(H53=2,H53=4,H53=6),H55="DC"),LOOKUP(H81,T!$X362:$X372,T!$U362:$U372),IF(AND(H51="4H4",OR(H53=2,H53=4,H53=6),H55="AC"),LOOKUP(H81,T!$X362:$X372,T!$V362:$V372),IF(AND(H51="4H4",OR(H53=3,H53=5,H53=7),H55="AC"),LOOKUP(H81,T!$X362:$X372,T!$W362:$W372),0)))))))))))))))))))),IF(ISNUMBER(SEARCH("4J",H51)),IF(AND(H51="4J1",OR(H53=2,H53=4,H53=6,H53=8,H53=11),H55="DC"),LOOKUP(H81,T!$AC378:$AC391,T!$U378:$U391),IF(AND(H51="4J1",OR(H53=2,H53=4),H55="AC"),LOOKUP(H81,T!$AC378:$AC391,T!$V378:$V391),IF(AND(H51="4J1",OR(H53=6,H53=8),H55="AC"),LOOKUP(H81,T!$AC378:$AC391,T!$W378:$W391),IF(AND(H51="4J1",OR(H53=11,H53=12),H55="AC",H57=1),LOOKUP(H81,T!$AC378:$AC391,T!$X378:$X391),IF(AND(H51="4J1",OR(H53=3,H53=5),H55="AC"),LOOKUP(H81,T!$AC378:$AC391,T!$Y378:$Y391),IF(AND(H51="4J1",OR(H53=7,H53=10),H55="AC"),LOOKUP(H81,T!$AC378:$AC391,T!$Z378:$Z391),IF(AND(H51="4J1",H53=9,H55="AC"),LOOKUP(H81,T!$AC378:$AC391,T!$AA378:$AA391),IF(AND(H51="4J1",OR(H53=11,H53=12),H55="AC",H57=3),LOOKUP(H81,T!$AC378:$AC391,T!$AB378:$AB391),IF(AND(H51="4J2",OR(H53=2,H53=4,H53=6,H53=8),H55="DC"),LOOKUP(H81,T!$X397:$X407,T!$U397:$U407),IF(AND(H51="4J2",OR(H53=2,H53=4,H53=6,H53=8),H55="AC"),LOOKUP(H81,T!$X397:$X407,T!$V397:$V407),IF(AND(H51="4J2",OR(H53=3,H53=5,H53=7,H53=9),H55="AC"),LOOKUP(H81,T!$X397:$X407,T!$W397:$W407),IF(AND(H51="4J3",OR(H53=2,H53=4,H53=7,H53=8),H55="DC"),LOOKUP(H81,T!$AA413:$AA426,T!$U413:$U426),IF(AND(H51="4J3",OR(H53=2,H53=4),H55="AC"),LOOKUP(H81,T!$AA413:$AA426,T!$V413:$V426),IF(AND(H51="4J3",OR(H53=9,H53=10),H55="AC"),LOOKUP(H81,T!$AA413:$AA426,T!$W413:$W426),IF(AND(H51="4J3",H53=6,H55="AC"),LOOKUP(H81,T!$AA413:$AA426,T!$X413:$X426),IF(AND(H51="4J3",OR(H53=3,H53=5),H55="AC"),LOOKUP(H81,T!$AA413:$AA426,T!$Y413:$Y426),IF(AND(H51="4J3",OR(H53=11,H53=12),H55="AC"),LOOKUP(H81,T!$AA413:$AA426,T!$Z413:$Z426),IF(AND(H51="4J4",OR(H53=2,H53=4,H53=6),H55="DC"),LOOKUP(H81,T!$X432:$X442,T!$U432:$U442),IF(AND(H51="4J4",OR(H53=2,H53=4,H53=6),H55="AC"),LOOKUP(H81,T!$X432:$X442,T!$V432:$V442),IF(AND(H51="4J4",OR(H53=3,H53=5,H53=7),H55="AC"),LOOKUP(H81,T!$X432:$X442,T!$W432:$W442),0)))))))))))))))))))),0)))*H23*H69)/1000))</f>
        <v>0</v>
      </c>
      <c r="I99" s="163">
        <f>IF(I29="","",IF(OR(COUNT(I19:I21)=3,COUNT(I19:I21)=1),(IF(I29="",0,IF(ISNUMBER(SEARCH("4H",I51)),IF(AND(I51="4H1",OR(I53=2,I53=4,I53=6,I53=8,I53=11),I55="DC"),LOOKUP(I81,T!$AC308:$AC321,T!$U308:$U321),IF(AND(I51="4H1",OR(I53=2,I53=4),I55="AC"),LOOKUP(I81,T!$AC308:$AC321,T!$V308:$V321),IF(AND(I51="4H1",OR(I53=6,I53=8),I55="AC"),LOOKUP(I81,T!$AC308:$AC321,T!$W308:$W321),IF(AND(I51="4H1",OR(I53=11,I53=12),I55="AC",I57=1),LOOKUP(I81,T!$AC308:$AC321,T!$X308:$X321),IF(AND(I51="4H1",OR(I53=3,I53=5),I55="AC"),LOOKUP(I81,T!$AC308:$AC321,T!$Y308:$Y321),IF(AND(I51="4H1",OR(I53=7,I53=10),I55="AC"),LOOKUP(I81,T!$AC308:$AC321,T!$Z308:$Z321),IF(AND(I51="4H1",I53=9,I55="AC"),LOOKUP(I81,T!$AC308:$AC321,T!$AA308:$AA321),IF(AND(I51="4H1",OR(I53=11,I53=12),I55="AC",I57=3),LOOKUP(I81,T!$AC308:$AC321,T!$AB308:$AB321),IF(AND(I51="4H2",OR(I53=2,I53=4,I53=6,I53=8),I55="DC"),LOOKUP(I81,T!$X327:$X337,T!$U327:$U337),IF(AND(I51="4H2",OR(I53=2,I53=4,I53=6,I53=8),I55="AC"),LOOKUP(I81,T!$X327:$X337,T!$V327:$V337),IF(AND(I51="4H2",OR(I53=3,I53=5,I53=7,I53=9),I55="AC"),LOOKUP(I81,T!$X327:$X337,T!$W327:$W337),IF(AND(I51="4H3",OR(I53=2,I53=4,I53=7,I53=8),I55="DC"),LOOKUP(I81,T!$AA343:$AA356,T!$U343:$U356),IF(AND(I51="4H3",OR(I53=2,I53=4),I55="AC"),LOOKUP(I81,T!$AA343:$AA356,T!$V343:$V356),IF(AND(I51="4H3",OR(I53=9,I53=10),I55="AC"),LOOKUP(I81,T!$AA343:$AA$356,T!$W343:$W356),IF(AND(I51="4H3",I53=6,I55="AC"),LOOKUP(I81,T!$AA343:$AA356,T!$X343:$X356),IF(AND(I51="4H3",OR(I53=3,I53=5),I55="AC"),LOOKUP(I81,T!$AA343:$AA356,T!$Y343:$Y356),IF(AND(I51="4H3",OR(I53=11,I53=12),I55="AC"),LOOKUP(I81,T!$AA343:$AA356,T!$Z343:$Z356),IF(AND(I51="4H4",OR(I53=2,I53=4,I53=6),I55="DC"),LOOKUP(I81,T!$X362:$X372,T!$U362:$U372),IF(AND(I51="4H4",OR(I53=2,I53=4,I53=6),I55="AC"),LOOKUP(I81,T!$X362:$X372,T!$V362:$V372),IF(AND(I51="4H4",OR(I53=3,I53=5,I53=7),I55="AC"),LOOKUP(I81,T!$X362:$X372,T!$W362:$W372),0)))))))))))))))))))),IF(ISNUMBER(SEARCH("4J",I51)),IF(AND(I51="4J1",OR(I53=2,I53=4,I53=6,I53=8,I53=11),I55="DC"),LOOKUP(I81,T!$AC378:$AC391,T!$U378:$U391),IF(AND(I51="4J1",OR(I53=2,I53=4),I55="AC"),LOOKUP(I81,T!$AC378:$AC391,T!$V378:$V391),IF(AND(I51="4J1",OR(I53=6,I53=8),I55="AC"),LOOKUP(I81,T!$AC378:$AC391,T!$W378:$W391),IF(AND(I51="4J1",OR(I53=11,I53=12),I55="AC",I57=1),LOOKUP(I81,T!$AC378:$AC391,T!$X378:$X391),IF(AND(I51="4J1",OR(I53=3,I53=5),I55="AC"),LOOKUP(I81,T!$AC378:$AC391,T!$Y378:$Y391),IF(AND(I51="4J1",OR(I53=7,I53=10),I55="AC"),LOOKUP(I81,T!$AC378:$AC391,T!$Z378:$Z391),IF(AND(I51="4J1",I53=9,I55="AC"),LOOKUP(I81,T!$AC378:$AC391,T!$AA378:$AA391),IF(AND(I51="4J1",OR(I53=11,I53=12),I55="AC",I57=3),LOOKUP(I81,T!$AC378:$AC391,T!$AB378:$AB391),IF(AND(I51="4J2",OR(I53=2,I53=4,I53=6,I53=8),I55="DC"),LOOKUP(I81,T!$X397:$X407,T!$U397:$U407),IF(AND(I51="4J2",OR(I53=2,I53=4,I53=6,I53=8),I55="AC"),LOOKUP(I81,T!$X397:$X407,T!$V397:$V407),IF(AND(I51="4J2",OR(I53=3,I53=5,I53=7,I53=9),I55="AC"),LOOKUP(I81,T!$X397:$X407,T!$W397:$W407),IF(AND(I51="4J3",OR(I53=2,I53=4,I53=7,I53=8),I55="DC"),LOOKUP(I81,T!$AA413:$AA426,T!$U413:$U426),IF(AND(I51="4J3",OR(I53=2,I53=4),I55="AC"),LOOKUP(I81,T!$AA413:$AA426,T!$V413:$V426),IF(AND(I51="4J3",OR(I53=9,I53=10),I55="AC"),LOOKUP(I81,T!$AA413:$AA426,T!$W413:$W426),IF(AND(I51="4J3",I53=6,I55="AC"),LOOKUP(I81,T!$AA413:$AA426,T!$X413:$X426),IF(AND(I51="4J3",OR(I53=3,I53=5),I55="AC"),LOOKUP(I81,T!$AA413:$AA426,T!$Y413:$Y426),IF(AND(I51="4J3",OR(I53=11,I53=12),I55="AC"),LOOKUP(I81,T!$AA413:$AA426,T!$Z413:$Z426),IF(AND(I51="4J4",OR(I53=2,I53=4,I53=6),I55="DC"),LOOKUP(I81,T!$X432:$X442,T!$U432:$U442),IF(AND(I51="4J4",OR(I53=2,I53=4,I53=6),I55="AC"),LOOKUP(I81,T!$X432:$X442,T!$V432:$V442),IF(AND(I51="4J4",OR(I53=3,I53=5,I53=7),I55="AC"),LOOKUP(I81,T!$X432:$X442,T!$W432:$W442),0)))))))))))))))))))),0)))*I23*I69)/1000))</f>
        <v>0</v>
      </c>
      <c r="J99" s="163">
        <f>IF(J29="","",IF(OR(COUNT(J19:J21)=3,COUNT(J19:J21)=1),(IF(J29="",0,IF(ISNUMBER(SEARCH("4H",J51)),IF(AND(J51="4H1",OR(J53=2,J53=4,J53=6,J53=8,J53=11),J55="DC"),LOOKUP(J81,T!$AC308:$AC321,T!$U308:$U321),IF(AND(J51="4H1",OR(J53=2,J53=4),J55="AC"),LOOKUP(J81,T!$AC308:$AC321,T!$V308:$V321),IF(AND(J51="4H1",OR(J53=6,J53=8),J55="AC"),LOOKUP(J81,T!$AC308:$AC321,T!$W308:$W321),IF(AND(J51="4H1",OR(J53=11,J53=12),J55="AC",J57=1),LOOKUP(J81,T!$AC308:$AC321,T!$X308:$X321),IF(AND(J51="4H1",OR(J53=3,J53=5),J55="AC"),LOOKUP(J81,T!$AC308:$AC321,T!$Y308:$Y321),IF(AND(J51="4H1",OR(J53=7,J53=10),J55="AC"),LOOKUP(J81,T!$AC308:$AC321,T!$Z308:$Z321),IF(AND(J51="4H1",J53=9,J55="AC"),LOOKUP(J81,T!$AC308:$AC321,T!$AA308:$AA321),IF(AND(J51="4H1",OR(J53=11,J53=12),J55="AC",J57=3),LOOKUP(J81,T!$AC308:$AC321,T!$AB308:$AB321),IF(AND(J51="4H2",OR(J53=2,J53=4,J53=6,J53=8),J55="DC"),LOOKUP(J81,T!$X327:$X337,T!$U327:$U337),IF(AND(J51="4H2",OR(J53=2,J53=4,J53=6,J53=8),J55="AC"),LOOKUP(J81,T!$X327:$X337,T!$V327:$V337),IF(AND(J51="4H2",OR(J53=3,J53=5,J53=7,J53=9),J55="AC"),LOOKUP(J81,T!$X327:$X337,T!$W327:$W337),IF(AND(J51="4H3",OR(J53=2,J53=4,J53=7,J53=8),J55="DC"),LOOKUP(J81,T!$AA343:$AA356,T!$U343:$U356),IF(AND(J51="4H3",OR(J53=2,J53=4),J55="AC"),LOOKUP(J81,T!$AA343:$AA356,T!$V343:$V356),IF(AND(J51="4H3",OR(J53=9,J53=10),J55="AC"),LOOKUP(J81,T!$AA343:$AA$356,T!$W343:$W356),IF(AND(J51="4H3",J53=6,J55="AC"),LOOKUP(J81,T!$AA343:$AA356,T!$X343:$X356),IF(AND(J51="4H3",OR(J53=3,J53=5),J55="AC"),LOOKUP(J81,T!$AA343:$AA356,T!$Y343:$Y356),IF(AND(J51="4H3",OR(J53=11,J53=12),J55="AC"),LOOKUP(J81,T!$AA343:$AA356,T!$Z343:$Z356),IF(AND(J51="4H4",OR(J53=2,J53=4,J53=6),J55="DC"),LOOKUP(J81,T!$X362:$X372,T!$U362:$U372),IF(AND(J51="4H4",OR(J53=2,J53=4,J53=6),J55="AC"),LOOKUP(J81,T!$X362:$X372,T!$V362:$V372),IF(AND(J51="4H4",OR(J53=3,J53=5,J53=7),J55="AC"),LOOKUP(J81,T!$X362:$X372,T!$W362:$W372),0)))))))))))))))))))),IF(ISNUMBER(SEARCH("4J",J51)),IF(AND(J51="4J1",OR(J53=2,J53=4,J53=6,J53=8,J53=11),J55="DC"),LOOKUP(J81,T!$AC378:$AC391,T!$U378:$U391),IF(AND(J51="4J1",OR(J53=2,J53=4),J55="AC"),LOOKUP(J81,T!$AC378:$AC391,T!$V378:$V391),IF(AND(J51="4J1",OR(J53=6,J53=8),J55="AC"),LOOKUP(J81,T!$AC378:$AC391,T!$W378:$W391),IF(AND(J51="4J1",OR(J53=11,J53=12),J55="AC",J57=1),LOOKUP(J81,T!$AC378:$AC391,T!$X378:$X391),IF(AND(J51="4J1",OR(J53=3,J53=5),J55="AC"),LOOKUP(J81,T!$AC378:$AC391,T!$Y378:$Y391),IF(AND(J51="4J1",OR(J53=7,J53=10),J55="AC"),LOOKUP(J81,T!$AC378:$AC391,T!$Z378:$Z391),IF(AND(J51="4J1",J53=9,J55="AC"),LOOKUP(J81,T!$AC378:$AC391,T!$AA378:$AA391),IF(AND(J51="4J1",OR(J53=11,J53=12),J55="AC",J57=3),LOOKUP(J81,T!$AC378:$AC391,T!$AB378:$AB391),IF(AND(J51="4J2",OR(J53=2,J53=4,J53=6,J53=8),J55="DC"),LOOKUP(J81,T!$X397:$X407,T!$U397:$U407),IF(AND(J51="4J2",OR(J53=2,J53=4,J53=6,J53=8),J55="AC"),LOOKUP(J81,T!$X397:$X407,T!$V397:$V407),IF(AND(J51="4J2",OR(J53=3,J53=5,J53=7,J53=9),J55="AC"),LOOKUP(J81,T!$X397:$X407,T!$W397:$W407),IF(AND(J51="4J3",OR(J53=2,J53=4,J53=7,J53=8),J55="DC"),LOOKUP(J81,T!$AA413:$AA426,T!$U413:$U426),IF(AND(J51="4J3",OR(J53=2,J53=4),J55="AC"),LOOKUP(J81,T!$AA413:$AA426,T!$V413:$V426),IF(AND(J51="4J3",OR(J53=9,J53=10),J55="AC"),LOOKUP(J81,T!$AA413:$AA426,T!$W413:$W426),IF(AND(J51="4J3",J53=6,J55="AC"),LOOKUP(J81,T!$AA413:$AA426,T!$X413:$X426),IF(AND(J51="4J3",OR(J53=3,J53=5),J55="AC"),LOOKUP(J81,T!$AA413:$AA426,T!$Y413:$Y426),IF(AND(J51="4J3",OR(J53=11,J53=12),J55="AC"),LOOKUP(J81,T!$AA413:$AA426,T!$Z413:$Z426),IF(AND(J51="4J4",OR(J53=2,J53=4,J53=6),J55="DC"),LOOKUP(J81,T!$X432:$X442,T!$U432:$U442),IF(AND(J51="4J4",OR(J53=2,J53=4,J53=6),J55="AC"),LOOKUP(J81,T!$X432:$X442,T!$V432:$V442),IF(AND(J51="4J4",OR(J53=3,J53=5,J53=7),J55="AC"),LOOKUP(J81,T!$X432:$X442,T!$W432:$W442),0)))))))))))))))))))),0)))*J23*J69)/1000))</f>
        <v>0</v>
      </c>
      <c r="K99" s="163">
        <f>IF(K29="","",IF(OR(COUNT(K19:K21)=3,COUNT(K19:K21)=1),(IF(K29="",0,IF(ISNUMBER(SEARCH("4H",K51)),IF(AND(K51="4H1",OR(K53=2,K53=4,K53=6,K53=8,K53=11),K55="DC"),LOOKUP(K81,T!$AC308:$AC321,T!$U308:$U321),IF(AND(K51="4H1",OR(K53=2,K53=4),K55="AC"),LOOKUP(K81,T!$AC308:$AC321,T!$V308:$V321),IF(AND(K51="4H1",OR(K53=6,K53=8),K55="AC"),LOOKUP(K81,T!$AC308:$AC321,T!$W308:$W321),IF(AND(K51="4H1",OR(K53=11,K53=12),K55="AC",K57=1),LOOKUP(K81,T!$AC308:$AC321,T!$X308:$X321),IF(AND(K51="4H1",OR(K53=3,K53=5),K55="AC"),LOOKUP(K81,T!$AC308:$AC321,T!$Y308:$Y321),IF(AND(K51="4H1",OR(K53=7,K53=10),K55="AC"),LOOKUP(K81,T!$AC308:$AC321,T!$Z308:$Z321),IF(AND(K51="4H1",K53=9,K55="AC"),LOOKUP(K81,T!$AC308:$AC321,T!$AA308:$AA321),IF(AND(K51="4H1",OR(K53=11,K53=12),K55="AC",K57=3),LOOKUP(K81,T!$AC308:$AC321,T!$AB308:$AB321),IF(AND(K51="4H2",OR(K53=2,K53=4,K53=6,K53=8),K55="DC"),LOOKUP(K81,T!$X327:$X337,T!$U327:$U337),IF(AND(K51="4H2",OR(K53=2,K53=4,K53=6,K53=8),K55="AC"),LOOKUP(K81,T!$X327:$X337,T!$V327:$V337),IF(AND(K51="4H2",OR(K53=3,K53=5,K53=7,K53=9),K55="AC"),LOOKUP(K81,T!$X327:$X337,T!$W327:$W337),IF(AND(K51="4H3",OR(K53=2,K53=4,K53=7,K53=8),K55="DC"),LOOKUP(K81,T!$AA343:$AA356,T!$U343:$U356),IF(AND(K51="4H3",OR(K53=2,K53=4),K55="AC"),LOOKUP(K81,T!$AA343:$AA356,T!$V343:$V356),IF(AND(K51="4H3",OR(K53=9,K53=10),K55="AC"),LOOKUP(K81,T!$AA343:$AA$356,T!$W343:$W356),IF(AND(K51="4H3",K53=6,K55="AC"),LOOKUP(K81,T!$AA343:$AA356,T!$X343:$X356),IF(AND(K51="4H3",OR(K53=3,K53=5),K55="AC"),LOOKUP(K81,T!$AA343:$AA356,T!$Y343:$Y356),IF(AND(K51="4H3",OR(K53=11,K53=12),K55="AC"),LOOKUP(K81,T!$AA343:$AA356,T!$Z343:$Z356),IF(AND(K51="4H4",OR(K53=2,K53=4,K53=6),K55="DC"),LOOKUP(K81,T!$X362:$X372,T!$U362:$U372),IF(AND(K51="4H4",OR(K53=2,K53=4,K53=6),K55="AC"),LOOKUP(K81,T!$X362:$X372,T!$V362:$V372),IF(AND(K51="4H4",OR(K53=3,K53=5,K53=7),K55="AC"),LOOKUP(K81,T!$X362:$X372,T!$W362:$W372),0)))))))))))))))))))),IF(ISNUMBER(SEARCH("4J",K51)),IF(AND(K51="4J1",OR(K53=2,K53=4,K53=6,K53=8,K53=11),K55="DC"),LOOKUP(K81,T!$AC378:$AC391,T!$U378:$U391),IF(AND(K51="4J1",OR(K53=2,K53=4),K55="AC"),LOOKUP(K81,T!$AC378:$AC391,T!$V378:$V391),IF(AND(K51="4J1",OR(K53=6,K53=8),K55="AC"),LOOKUP(K81,T!$AC378:$AC391,T!$W378:$W391),IF(AND(K51="4J1",OR(K53=11,K53=12),K55="AC",K57=1),LOOKUP(K81,T!$AC378:$AC391,T!$X378:$X391),IF(AND(K51="4J1",OR(K53=3,K53=5),K55="AC"),LOOKUP(K81,T!$AC378:$AC391,T!$Y378:$Y391),IF(AND(K51="4J1",OR(K53=7,K53=10),K55="AC"),LOOKUP(K81,T!$AC378:$AC391,T!$Z378:$Z391),IF(AND(K51="4J1",K53=9,K55="AC"),LOOKUP(K81,T!$AC378:$AC391,T!$AA378:$AA391),IF(AND(K51="4J1",OR(K53=11,K53=12),K55="AC",K57=3),LOOKUP(K81,T!$AC378:$AC391,T!$AB378:$AB391),IF(AND(K51="4J2",OR(K53=2,K53=4,K53=6,K53=8),K55="DC"),LOOKUP(K81,T!$X397:$X407,T!$U397:$U407),IF(AND(K51="4J2",OR(K53=2,K53=4,K53=6,K53=8),K55="AC"),LOOKUP(K81,T!$X397:$X407,T!$V397:$V407),IF(AND(K51="4J2",OR(K53=3,K53=5,K53=7,K53=9),K55="AC"),LOOKUP(K81,T!$X397:$X407,T!$W397:$W407),IF(AND(K51="4J3",OR(K53=2,K53=4,K53=7,K53=8),K55="DC"),LOOKUP(K81,T!$AA413:$AA426,T!$U413:$U426),IF(AND(K51="4J3",OR(K53=2,K53=4),K55="AC"),LOOKUP(K81,T!$AA413:$AA426,T!$V413:$V426),IF(AND(K51="4J3",OR(K53=9,K53=10),K55="AC"),LOOKUP(K81,T!$AA413:$AA426,T!$W413:$W426),IF(AND(K51="4J3",K53=6,K55="AC"),LOOKUP(K81,T!$AA413:$AA426,T!$X413:$X426),IF(AND(K51="4J3",OR(K53=3,K53=5),K55="AC"),LOOKUP(K81,T!$AA413:$AA426,T!$Y413:$Y426),IF(AND(K51="4J3",OR(K53=11,K53=12),K55="AC"),LOOKUP(K81,T!$AA413:$AA426,T!$Z413:$Z426),IF(AND(K51="4J4",OR(K53=2,K53=4,K53=6),K55="DC"),LOOKUP(K81,T!$X432:$X442,T!$U432:$U442),IF(AND(K51="4J4",OR(K53=2,K53=4,K53=6),K55="AC"),LOOKUP(K81,T!$X432:$X442,T!$V432:$V442),IF(AND(K51="4J4",OR(K53=3,K53=5,K53=7),K55="AC"),LOOKUP(K81,T!$X432:$X442,T!$W432:$W442),0)))))))))))))))))))),0)))*K23*K69)/1000))</f>
        <v>0</v>
      </c>
      <c r="L99" s="163">
        <f>IF(L29="","",IF(OR(COUNT(L19:L21)=3,COUNT(L19:L21)=1),(IF(L29="",0,IF(ISNUMBER(SEARCH("4H",L51)),IF(AND(L51="4H1",OR(L53=2,L53=4,L53=6,L53=8,L53=11),L55="DC"),LOOKUP(L81,T!$AC308:$AC321,T!$U308:$U321),IF(AND(L51="4H1",OR(L53=2,L53=4),L55="AC"),LOOKUP(L81,T!$AC308:$AC321,T!$V308:$V321),IF(AND(L51="4H1",OR(L53=6,L53=8),L55="AC"),LOOKUP(L81,T!$AC308:$AC321,T!$W308:$W321),IF(AND(L51="4H1",OR(L53=11,L53=12),L55="AC",L57=1),LOOKUP(L81,T!$AC308:$AC321,T!$X308:$X321),IF(AND(L51="4H1",OR(L53=3,L53=5),L55="AC"),LOOKUP(L81,T!$AC308:$AC321,T!$Y308:$Y321),IF(AND(L51="4H1",OR(L53=7,L53=10),L55="AC"),LOOKUP(L81,T!$AC308:$AC321,T!$Z308:$Z321),IF(AND(L51="4H1",L53=9,L55="AC"),LOOKUP(L81,T!$AC308:$AC321,T!$AA308:$AA321),IF(AND(L51="4H1",OR(L53=11,L53=12),L55="AC",L57=3),LOOKUP(L81,T!$AC308:$AC321,T!$AB308:$AB321),IF(AND(L51="4H2",OR(L53=2,L53=4,L53=6,L53=8),L55="DC"),LOOKUP(L81,T!$X327:$X337,T!$U327:$U337),IF(AND(L51="4H2",OR(L53=2,L53=4,L53=6,L53=8),L55="AC"),LOOKUP(L81,T!$X327:$X337,T!$V327:$V337),IF(AND(L51="4H2",OR(L53=3,L53=5,L53=7,L53=9),L55="AC"),LOOKUP(L81,T!$X327:$X337,T!$W327:$W337),IF(AND(L51="4H3",OR(L53=2,L53=4,L53=7,L53=8),L55="DC"),LOOKUP(L81,T!$AA343:$AA356,T!$U343:$U356),IF(AND(L51="4H3",OR(L53=2,L53=4),L55="AC"),LOOKUP(L81,T!$AA343:$AA356,T!$V343:$V356),IF(AND(L51="4H3",OR(L53=9,L53=10),L55="AC"),LOOKUP(L81,T!$AA343:$AA$356,T!$W343:$W356),IF(AND(L51="4H3",L53=6,L55="AC"),LOOKUP(L81,T!$AA343:$AA356,T!$X343:$X356),IF(AND(L51="4H3",OR(L53=3,L53=5),L55="AC"),LOOKUP(L81,T!$AA343:$AA356,T!$Y343:$Y356),IF(AND(L51="4H3",OR(L53=11,L53=12),L55="AC"),LOOKUP(L81,T!$AA343:$AA356,T!$Z343:$Z356),IF(AND(L51="4H4",OR(L53=2,L53=4,L53=6),L55="DC"),LOOKUP(L81,T!$X362:$X372,T!$U362:$U372),IF(AND(L51="4H4",OR(L53=2,L53=4,L53=6),L55="AC"),LOOKUP(L81,T!$X362:$X372,T!$V362:$V372),IF(AND(L51="4H4",OR(L53=3,L53=5,L53=7),L55="AC"),LOOKUP(L81,T!$X362:$X372,T!$W362:$W372),0)))))))))))))))))))),IF(ISNUMBER(SEARCH("4J",L51)),IF(AND(L51="4J1",OR(L53=2,L53=4,L53=6,L53=8,L53=11),L55="DC"),LOOKUP(L81,T!$AC378:$AC391,T!$U378:$U391),IF(AND(L51="4J1",OR(L53=2,L53=4),L55="AC"),LOOKUP(L81,T!$AC378:$AC391,T!$V378:$V391),IF(AND(L51="4J1",OR(L53=6,L53=8),L55="AC"),LOOKUP(L81,T!$AC378:$AC391,T!$W378:$W391),IF(AND(L51="4J1",OR(L53=11,L53=12),L55="AC",L57=1),LOOKUP(L81,T!$AC378:$AC391,T!$X378:$X391),IF(AND(L51="4J1",OR(L53=3,L53=5),L55="AC"),LOOKUP(L81,T!$AC378:$AC391,T!$Y378:$Y391),IF(AND(L51="4J1",OR(L53=7,L53=10),L55="AC"),LOOKUP(L81,T!$AC378:$AC391,T!$Z378:$Z391),IF(AND(L51="4J1",L53=9,L55="AC"),LOOKUP(L81,T!$AC378:$AC391,T!$AA378:$AA391),IF(AND(L51="4J1",OR(L53=11,L53=12),L55="AC",L57=3),LOOKUP(L81,T!$AC378:$AC391,T!$AB378:$AB391),IF(AND(L51="4J2",OR(L53=2,L53=4,L53=6,L53=8),L55="DC"),LOOKUP(L81,T!$X397:$X407,T!$U397:$U407),IF(AND(L51="4J2",OR(L53=2,L53=4,L53=6,L53=8),L55="AC"),LOOKUP(L81,T!$X397:$X407,T!$V397:$V407),IF(AND(L51="4J2",OR(L53=3,L53=5,L53=7,L53=9),L55="AC"),LOOKUP(L81,T!$X397:$X407,T!$W397:$W407),IF(AND(L51="4J3",OR(L53=2,L53=4,L53=7,L53=8),L55="DC"),LOOKUP(L81,T!$AA413:$AA426,T!$U413:$U426),IF(AND(L51="4J3",OR(L53=2,L53=4),L55="AC"),LOOKUP(L81,T!$AA413:$AA426,T!$V413:$V426),IF(AND(L51="4J3",OR(L53=9,L53=10),L55="AC"),LOOKUP(L81,T!$AA413:$AA426,T!$W413:$W426),IF(AND(L51="4J3",L53=6,L55="AC"),LOOKUP(L81,T!$AA413:$AA426,T!$X413:$X426),IF(AND(L51="4J3",OR(L53=3,L53=5),L55="AC"),LOOKUP(L81,T!$AA413:$AA426,T!$Y413:$Y426),IF(AND(L51="4J3",OR(L53=11,L53=12),L55="AC"),LOOKUP(L81,T!$AA413:$AA426,T!$Z413:$Z426),IF(AND(L51="4J4",OR(L53=2,L53=4,L53=6),L55="DC"),LOOKUP(L81,T!$X432:$X442,T!$U432:$U442),IF(AND(L51="4J4",OR(L53=2,L53=4,L53=6),L55="AC"),LOOKUP(L81,T!$X432:$X442,T!$V432:$V442),IF(AND(L51="4J4",OR(L53=3,L53=5,L53=7),L55="AC"),LOOKUP(L81,T!$X432:$X442,T!$W432:$W442),0)))))))))))))))))))),0)))*L23*L69)/1000))</f>
        <v>0</v>
      </c>
      <c r="M99" s="163" t="str">
        <f>IF(M29="","",IF(OR(COUNT(M19:M21)=3,COUNT(M19:M21)=1),(IF(M29="",0,IF(ISNUMBER(SEARCH("4H",M51)),IF(AND(M51="4H1",OR(M53=2,M53=4,M53=6,M53=8,M53=11),M55="DC"),LOOKUP(M81,T!$AC308:$AC321,T!$U308:$U321),IF(AND(M51="4H1",OR(M53=2,M53=4),M55="AC"),LOOKUP(M81,T!$AC308:$AC321,T!$V308:$V321),IF(AND(M51="4H1",OR(M53=6,M53=8),M55="AC"),LOOKUP(M81,T!$AC308:$AC321,T!$W308:$W321),IF(AND(M51="4H1",OR(M53=11,M53=12),M55="AC",M57=1),LOOKUP(M81,T!$AC308:$AC321,T!$X308:$X321),IF(AND(M51="4H1",OR(M53=3,M53=5),M55="AC"),LOOKUP(M81,T!$AC308:$AC321,T!$Y308:$Y321),IF(AND(M51="4H1",OR(M53=7,M53=10),M55="AC"),LOOKUP(M81,T!$AC308:$AC321,T!$Z308:$Z321),IF(AND(M51="4H1",M53=9,M55="AC"),LOOKUP(M81,T!$AC308:$AC321,T!$AA308:$AA321),IF(AND(M51="4H1",OR(M53=11,M53=12),M55="AC",M57=3),LOOKUP(M81,T!$AC308:$AC321,T!$AB308:$AB321),IF(AND(M51="4H2",OR(M53=2,M53=4,M53=6,M53=8),M55="DC"),LOOKUP(M81,T!$X327:$X337,T!$U327:$U337),IF(AND(M51="4H2",OR(M53=2,M53=4,M53=6,M53=8),M55="AC"),LOOKUP(M81,T!$X327:$X337,T!$V327:$V337),IF(AND(M51="4H2",OR(M53=3,M53=5,M53=7,M53=9),M55="AC"),LOOKUP(M81,T!$X327:$X337,T!$W327:$W337),IF(AND(M51="4H3",OR(M53=2,M53=4,M53=7,M53=8),M55="DC"),LOOKUP(M81,T!$AA343:$AA356,T!$U343:$U356),IF(AND(M51="4H3",OR(M53=2,M53=4),M55="AC"),LOOKUP(M81,T!$AA343:$AA356,T!$V343:$V356),IF(AND(M51="4H3",OR(M53=9,M53=10),M55="AC"),LOOKUP(M81,T!$AA343:$AA$356,T!$W343:$W356),IF(AND(M51="4H3",M53=6,M55="AC"),LOOKUP(M81,T!$AA343:$AA356,T!$X343:$X356),IF(AND(M51="4H3",OR(M53=3,M53=5),M55="AC"),LOOKUP(M81,T!$AA343:$AA356,T!$Y343:$Y356),IF(AND(M51="4H3",OR(M53=11,M53=12),M55="AC"),LOOKUP(M81,T!$AA343:$AA356,T!$Z343:$Z356),IF(AND(M51="4H4",OR(M53=2,M53=4,M53=6),M55="DC"),LOOKUP(M81,T!$X362:$X372,T!$U362:$U372),IF(AND(M51="4H4",OR(M53=2,M53=4,M53=6),M55="AC"),LOOKUP(M81,T!$X362:$X372,T!$V362:$V372),IF(AND(M51="4H4",OR(M53=3,M53=5,M53=7),M55="AC"),LOOKUP(M81,T!$X362:$X372,T!$W362:$W372),0)))))))))))))))))))),IF(ISNUMBER(SEARCH("4J",M51)),IF(AND(M51="4J1",OR(M53=2,M53=4,M53=6,M53=8,M53=11),M55="DC"),LOOKUP(M81,T!$AC378:$AC391,T!$U378:$U391),IF(AND(M51="4J1",OR(M53=2,M53=4),M55="AC"),LOOKUP(M81,T!$AC378:$AC391,T!$V378:$V391),IF(AND(M51="4J1",OR(M53=6,M53=8),M55="AC"),LOOKUP(M81,T!$AC378:$AC391,T!$W378:$W391),IF(AND(M51="4J1",OR(M53=11,M53=12),M55="AC",M57=1),LOOKUP(M81,T!$AC378:$AC391,T!$X378:$X391),IF(AND(M51="4J1",OR(M53=3,M53=5),M55="AC"),LOOKUP(M81,T!$AC378:$AC391,T!$Y378:$Y391),IF(AND(M51="4J1",OR(M53=7,M53=10),M55="AC"),LOOKUP(M81,T!$AC378:$AC391,T!$Z378:$Z391),IF(AND(M51="4J1",M53=9,M55="AC"),LOOKUP(M81,T!$AC378:$AC391,T!$AA378:$AA391),IF(AND(M51="4J1",OR(M53=11,M53=12),M55="AC",M57=3),LOOKUP(M81,T!$AC378:$AC391,T!$AB378:$AB391),IF(AND(M51="4J2",OR(M53=2,M53=4,M53=6,M53=8),M55="DC"),LOOKUP(M81,T!$X397:$X407,T!$U397:$U407),IF(AND(M51="4J2",OR(M53=2,M53=4,M53=6,M53=8),M55="AC"),LOOKUP(M81,T!$X397:$X407,T!$V397:$V407),IF(AND(M51="4J2",OR(M53=3,M53=5,M53=7,M53=9),M55="AC"),LOOKUP(M81,T!$X397:$X407,T!$W397:$W407),IF(AND(M51="4J3",OR(M53=2,M53=4,M53=7,M53=8),M55="DC"),LOOKUP(M81,T!$AA413:$AA426,T!$U413:$U426),IF(AND(M51="4J3",OR(M53=2,M53=4),M55="AC"),LOOKUP(M81,T!$AA413:$AA426,T!$V413:$V426),IF(AND(M51="4J3",OR(M53=9,M53=10),M55="AC"),LOOKUP(M81,T!$AA413:$AA426,T!$W413:$W426),IF(AND(M51="4J3",M53=6,M55="AC"),LOOKUP(M81,T!$AA413:$AA426,T!$X413:$X426),IF(AND(M51="4J3",OR(M53=3,M53=5),M55="AC"),LOOKUP(M81,T!$AA413:$AA426,T!$Y413:$Y426),IF(AND(M51="4J3",OR(M53=11,M53=12),M55="AC"),LOOKUP(M81,T!$AA413:$AA426,T!$Z413:$Z426),IF(AND(M51="4J4",OR(M53=2,M53=4,M53=6),M55="DC"),LOOKUP(M81,T!$X432:$X442,T!$U432:$U442),IF(AND(M51="4J4",OR(M53=2,M53=4,M53=6),M55="AC"),LOOKUP(M81,T!$X432:$X442,T!$V432:$V442),IF(AND(M51="4J4",OR(M53=3,M53=5,M53=7),M55="AC"),LOOKUP(M81,T!$X432:$X442,T!$W432:$W442),0)))))))))))))))))))),0)))*M23*M69)/1000))</f>
        <v/>
      </c>
      <c r="N99" s="163">
        <f>IF(N29="","",IF(OR(COUNT(N19:N21)=3,COUNT(N19:N21)=1),(IF(N29="",0,IF(ISNUMBER(SEARCH("4H",N51)),IF(AND(N51="4H1",OR(N53=2,N53=4,N53=6,N53=8,N53=11),N55="DC"),LOOKUP(N81,T!$AC308:$AC321,T!$U308:$U321),IF(AND(N51="4H1",OR(N53=2,N53=4),N55="AC"),LOOKUP(N81,T!$AC308:$AC321,T!$V308:$V321),IF(AND(N51="4H1",OR(N53=6,N53=8),N55="AC"),LOOKUP(N81,T!$AC308:$AC321,T!$W308:$W321),IF(AND(N51="4H1",OR(N53=11,N53=12),N55="AC",N57=1),LOOKUP(N81,T!$AC308:$AC321,T!$X308:$X321),IF(AND(N51="4H1",OR(N53=3,N53=5),N55="AC"),LOOKUP(N81,T!$AC308:$AC321,T!$Y308:$Y321),IF(AND(N51="4H1",OR(N53=7,N53=10),N55="AC"),LOOKUP(N81,T!$AC308:$AC321,T!$Z308:$Z321),IF(AND(N51="4H1",N53=9,N55="AC"),LOOKUP(N81,T!$AC308:$AC321,T!$AA308:$AA321),IF(AND(N51="4H1",OR(N53=11,N53=12),N55="AC",N57=3),LOOKUP(N81,T!$AC308:$AC321,T!$AB308:$AB321),IF(AND(N51="4H2",OR(N53=2,N53=4,N53=6,N53=8),N55="DC"),LOOKUP(N81,T!$X327:$X337,T!$U327:$U337),IF(AND(N51="4H2",OR(N53=2,N53=4,N53=6,N53=8),N55="AC"),LOOKUP(N81,T!$X327:$X337,T!$V327:$V337),IF(AND(N51="4H2",OR(N53=3,N53=5,N53=7,N53=9),N55="AC"),LOOKUP(N81,T!$X327:$X337,T!$W327:$W337),IF(AND(N51="4H3",OR(N53=2,N53=4,N53=7,N53=8),N55="DC"),LOOKUP(N81,T!$AA343:$AA356,T!$U343:$U356),IF(AND(N51="4H3",OR(N53=2,N53=4),N55="AC"),LOOKUP(N81,T!$AA343:$AA356,T!$V343:$V356),IF(AND(N51="4H3",OR(N53=9,N53=10),N55="AC"),LOOKUP(N81,T!$AA343:$AA$356,T!$W343:$W356),IF(AND(N51="4H3",N53=6,N55="AC"),LOOKUP(N81,T!$AA343:$AA356,T!$X343:$X356),IF(AND(N51="4H3",OR(N53=3,N53=5),N55="AC"),LOOKUP(N81,T!$AA343:$AA356,T!$Y343:$Y356),IF(AND(N51="4H3",OR(N53=11,N53=12),N55="AC"),LOOKUP(N81,T!$AA343:$AA356,T!$Z343:$Z356),IF(AND(N51="4H4",OR(N53=2,N53=4,N53=6),N55="DC"),LOOKUP(N81,T!$X362:$X372,T!$U362:$U372),IF(AND(N51="4H4",OR(N53=2,N53=4,N53=6),N55="AC"),LOOKUP(N81,T!$X362:$X372,T!$V362:$V372),IF(AND(N51="4H4",OR(N53=3,N53=5,N53=7),N55="AC"),LOOKUP(N81,T!$X362:$X372,T!$W362:$W372),0)))))))))))))))))))),IF(ISNUMBER(SEARCH("4J",N51)),IF(AND(N51="4J1",OR(N53=2,N53=4,N53=6,N53=8,N53=11),N55="DC"),LOOKUP(N81,T!$AC378:$AC391,T!$U378:$U391),IF(AND(N51="4J1",OR(N53=2,N53=4),N55="AC"),LOOKUP(N81,T!$AC378:$AC391,T!$V378:$V391),IF(AND(N51="4J1",OR(N53=6,N53=8),N55="AC"),LOOKUP(N81,T!$AC378:$AC391,T!$W378:$W391),IF(AND(N51="4J1",OR(N53=11,N53=12),N55="AC",N57=1),LOOKUP(N81,T!$AC378:$AC391,T!$X378:$X391),IF(AND(N51="4J1",OR(N53=3,N53=5),N55="AC"),LOOKUP(N81,T!$AC378:$AC391,T!$Y378:$Y391),IF(AND(N51="4J1",OR(N53=7,N53=10),N55="AC"),LOOKUP(N81,T!$AC378:$AC391,T!$Z378:$Z391),IF(AND(N51="4J1",N53=9,N55="AC"),LOOKUP(N81,T!$AC378:$AC391,T!$AA378:$AA391),IF(AND(N51="4J1",OR(N53=11,N53=12),N55="AC",N57=3),LOOKUP(N81,T!$AC378:$AC391,T!$AB378:$AB391),IF(AND(N51="4J2",OR(N53=2,N53=4,N53=6,N53=8),N55="DC"),LOOKUP(N81,T!$X397:$X407,T!$U397:$U407),IF(AND(N51="4J2",OR(N53=2,N53=4,N53=6,N53=8),N55="AC"),LOOKUP(N81,T!$X397:$X407,T!$V397:$V407),IF(AND(N51="4J2",OR(N53=3,N53=5,N53=7,N53=9),N55="AC"),LOOKUP(N81,T!$X397:$X407,T!$W397:$W407),IF(AND(N51="4J3",OR(N53=2,N53=4,N53=7,N53=8),N55="DC"),LOOKUP(N81,T!$AA413:$AA426,T!$U413:$U426),IF(AND(N51="4J3",OR(N53=2,N53=4),N55="AC"),LOOKUP(N81,T!$AA413:$AA426,T!$V413:$V426),IF(AND(N51="4J3",OR(N53=9,N53=10),N55="AC"),LOOKUP(N81,T!$AA413:$AA426,T!$W413:$W426),IF(AND(N51="4J3",N53=6,N55="AC"),LOOKUP(N81,T!$AA413:$AA426,T!$X413:$X426),IF(AND(N51="4J3",OR(N53=3,N53=5),N55="AC"),LOOKUP(N81,T!$AA413:$AA426,T!$Y413:$Y426),IF(AND(N51="4J3",OR(N53=11,N53=12),N55="AC"),LOOKUP(N81,T!$AA413:$AA426,T!$Z413:$Z426),IF(AND(N51="4J4",OR(N53=2,N53=4,N53=6),N55="DC"),LOOKUP(N81,T!$X432:$X442,T!$U432:$U442),IF(AND(N51="4J4",OR(N53=2,N53=4,N53=6),N55="AC"),LOOKUP(N81,T!$X432:$X442,T!$V432:$V442),IF(AND(N51="4J4",OR(N53=3,N53=5,N53=7),N55="AC"),LOOKUP(N81,T!$X432:$X442,T!$W432:$W442),0)))))))))))))))))))),0)))*N23*N69)/1000))</f>
        <v>0</v>
      </c>
      <c r="O99" s="148" t="str">
        <f t="shared" si="23"/>
        <v/>
      </c>
    </row>
    <row r="100" spans="1:58" s="173" customFormat="1" ht="17">
      <c r="A100" s="193"/>
      <c r="B100" s="399"/>
      <c r="C100" s="396"/>
      <c r="D100" s="163">
        <f>IF(D29="","",IF(OR(COUNT(D19:D21)=3,COUNT(D19:D21)=1),(IF(D29="",0,IF(ISNUMBER(SEARCH("4H",D51)),IF(AND(D51="4H1",OR(D53=2,D53=4,D53=6,D53=8,D53=11),D55="DC"),LOOKUP(D82,T!$AC308:$AC321,T!$U308:$U321),IF(AND(D51="4H1",OR(D53=2,D53=4),D55="AC"),LOOKUP(D82,T!$AC308:$AC321,T!$V308:$V321),IF(AND(D51="4H1",OR(D53=6,D53=8),D55="AC"),LOOKUP(D82,T!$AC308:$AC321,T!$W308:$W321),IF(AND(D51="4H1",OR(D53=11,D53=12),D55="AC",D57=1),LOOKUP(D82,T!$AC308:$AC321,T!$X308:$X321),IF(AND(D51="4H1",OR(D53=3,D53=5),D55="AC"),LOOKUP(D82,T!$AC308:$AC321,T!$Y308:$Y321),IF(AND(D51="4H1",OR(D53=7,D53=10),D55="AC"),LOOKUP(D82,T!$AC308:$AC321,T!$Z308:$Z321),IF(AND(D51="4H1",D53=9,D55="AC"),LOOKUP(D82,T!$AC308:$AC321,T!$AA308:$AA321),IF(AND(D51="4H1",OR(D53=11,D53=12),D55="AC",D57=3),LOOKUP(D82,T!$AC308:$AC321,T!$AB308:$AB321),IF(AND(D51="4H2",OR(D53=2,D53=4,D53=6,D53=8),D55="DC"),LOOKUP(D82,T!$X327:$X337,T!$U327:$U337),IF(AND(D51="4H2",OR(D53=2,D53=4,D53=6,D53=8),D55="AC"),LOOKUP(D82,T!$X327:$X337,T!$V327:$V337),IF(AND(D51="4H2",OR(D53=3,D53=5,D53=7,D53=9),D55="AC"),LOOKUP(D82,T!$X327:$X337,T!$W327:$W337),IF(AND(D51="4H3",OR(D53=2,D53=4,D53=7,D53=8),D55="DC"),LOOKUP(D82,T!$AA343:$AA356,T!$U343:$U356),IF(AND(D51="4H3",OR(D53=2,D53=4),D55="AC"),LOOKUP(D82,T!$AA343:$AA356,T!$V343:$V356),IF(AND(D51="4H3",OR(D53=9,D53=10),D55="AC"),LOOKUP(D82,T!$AA343:$AA$356,T!$W343:$W356),IF(AND(D51="4H3",D53=6,D55="AC"),LOOKUP(D82,T!$AA343:$AA356,T!$X343:$X356),IF(AND(D51="4H3",OR(D53=3,D53=5),D55="AC"),LOOKUP(D82,T!$AA343:$AA356,T!$Y343:$Y356),IF(AND(D51="4H3",OR(D53=11,D53=12),D55="AC"),LOOKUP(D82,T!$AA343:$AA356,T!$Z343:$Z356),IF(AND(D51="4H4",OR(D53=2,D53=4,D53=6),D55="DC"),LOOKUP(D82,T!$X362:$X372,T!$U362:$U372),IF(AND(D51="4H4",OR(D53=2,D53=4,D53=6),D55="AC"),LOOKUP(D82,T!$X362:$X372,T!$V362:$V372),IF(AND(D51="4H4",OR(D53=3,D53=5,D53=7),D55="AC"),LOOKUP(D82,T!$X362:$X372,T!$W362:$W372),0)))))))))))))))))))),IF(ISNUMBER(SEARCH("4J",D51)),IF(AND(D51="4J1",OR(D53=2,D53=4,D53=6,D53=8,D53=11),D55="DC"),LOOKUP(D82,T!$AC378:$AC391,T!$U378:$U391),IF(AND(D51="4J1",OR(D53=2,D53=4),D55="AC"),LOOKUP(D82,T!$AC378:$AC391,T!$V378:$V391),IF(AND(D51="4J1",OR(D53=6,D53=8),D55="AC"),LOOKUP(D82,T!$AC378:$AC391,T!$W378:$W391),IF(AND(D51="4J1",OR(D53=11,D53=12),D55="AC",D57=1),LOOKUP(D82,T!$AC378:$AC391,T!$X378:$X391),IF(AND(D51="4J1",OR(D53=3,D53=5),D55="AC"),LOOKUP(D82,T!$AC378:$AC391,T!$Y378:$Y391),IF(AND(D51="4J1",OR(D53=7,D53=10),D55="AC"),LOOKUP(D82,T!$AC378:$AC391,T!$Z378:$Z391),IF(AND(D51="4J1",D53=9,D55="AC"),LOOKUP(D82,T!$AC378:$AC391,T!$AA378:$AA391),IF(AND(D51="4J1",OR(D53=11,D53=12),D55="AC",D57=3),LOOKUP(D82,T!$AC378:$AC391,T!$AB378:$AB391),IF(AND(D51="4J2",OR(D53=2,D53=4,D53=6,D53=8),D55="DC"),LOOKUP(D82,T!$X397:$X407,T!$U397:$U407),IF(AND(D51="4J2",OR(D53=2,D53=4,D53=6,D53=8),D55="AC"),LOOKUP(D82,T!$X397:$X407,T!$V397:$V407),IF(AND(D51="4J2",OR(D53=3,D53=5,D53=7,D53=9),D55="AC"),LOOKUP(D82,T!$X397:$X407,T!$W397:$W407),IF(AND(D51="4J3",OR(D53=2,D53=4,D53=7,D53=8),D55="DC"),LOOKUP(D82,T!$AA413:$AA426,T!$U413:$U426),IF(AND(D51="4J3",OR(D53=2,D53=4),D55="AC"),LOOKUP(D82,T!$AA413:$AA426,T!$V413:$V426),IF(AND(D51="4J3",OR(D53=9,D53=10),D55="AC"),LOOKUP(D82,T!$AA413:$AA426,T!$W413:$W426),IF(AND(D51="4J3",D53=6,D55="AC"),LOOKUP(D82,T!$AA413:$AA426,T!$X413:$X426),IF(AND(D51="4J3",OR(D53=3,D53=5),D55="AC"),LOOKUP(D82,T!$AA413:$AA426,T!$Y413:$Y426),IF(AND(D51="4J3",OR(D53=11,D53=12),D55="AC"),LOOKUP(D82,T!$AA413:$AA426,T!$Z413:$Z426),IF(AND(D51="4J4",OR(D53=2,D53=4,D53=6),D55="DC"),LOOKUP(D82,T!$X432:$X442,T!$U432:$U442),IF(AND(D51="4J4",OR(D53=2,D53=4,D53=6),D55="AC"),LOOKUP(D82,T!$X432:$X442,T!$V432:$V442),IF(AND(D51="4J4",OR(D53=3,D53=5,D53=7),D55="AC"),LOOKUP(D82,T!$X432:$X442,T!$W432:$W442),0)))))))))))))))))))),0)))*D23*D69)/1000))</f>
        <v>0</v>
      </c>
      <c r="E100" s="163">
        <f ca="1">IF(E29="","",IF(OR(COUNT(E19:E21)=3,COUNT(E19:E21)=1),(IF(E29="",0,IF(ISNUMBER(SEARCH("4H",E51)),IF(AND(E51="4H1",OR(E53=2,E53=4,E53=6,E53=8,E53=11),E55="DC"),LOOKUP(E82,T!$AC308:$AC321,T!$U308:$U321),IF(AND(E51="4H1",OR(E53=2,E53=4),E55="AC"),LOOKUP(E82,T!$AC308:$AC321,T!$V308:$V321),IF(AND(E51="4H1",OR(E53=6,E53=8),E55="AC"),LOOKUP(E82,T!$AC308:$AC321,T!$W308:$W321),IF(AND(E51="4H1",OR(E53=11,E53=12),E55="AC",E57=1),LOOKUP(E82,T!$AC308:$AC321,T!$X308:$X321),IF(AND(E51="4H1",OR(E53=3,E53=5),E55="AC"),LOOKUP(E82,T!$AC308:$AC321,T!$Y308:$Y321),IF(AND(E51="4H1",OR(E53=7,E53=10),E55="AC"),LOOKUP(E82,T!$AC308:$AC321,T!$Z308:$Z321),IF(AND(E51="4H1",E53=9,E55="AC"),LOOKUP(E82,T!$AC308:$AC321,T!$AA308:$AA321),IF(AND(E51="4H1",OR(E53=11,E53=12),E55="AC",E57=3),LOOKUP(E82,T!$AC308:$AC321,T!$AB308:$AB321),IF(AND(E51="4H2",OR(E53=2,E53=4,E53=6,E53=8),E55="DC"),LOOKUP(E82,T!$X327:$X337,T!$U327:$U337),IF(AND(E51="4H2",OR(E53=2,E53=4,E53=6,E53=8),E55="AC"),LOOKUP(E82,T!$X327:$X337,T!$V327:$V337),IF(AND(E51="4H2",OR(E53=3,E53=5,E53=7,E53=9),E55="AC"),LOOKUP(E82,T!$X327:$X337,T!$W327:$W337),IF(AND(E51="4H3",OR(E53=2,E53=4,E53=7,E53=8),E55="DC"),LOOKUP(E82,T!$AA343:$AA356,T!$U343:$U356),IF(AND(E51="4H3",OR(E53=2,E53=4),E55="AC"),LOOKUP(E82,T!$AA343:$AA356,T!$V343:$V356),IF(AND(E51="4H3",OR(E53=9,E53=10),E55="AC"),LOOKUP(E82,T!$AA343:$AA$356,T!$W343:$W356),IF(AND(E51="4H3",E53=6,E55="AC"),LOOKUP(E82,T!$AA343:$AA356,T!$X343:$X356),IF(AND(E51="4H3",OR(E53=3,E53=5),E55="AC"),LOOKUP(E82,T!$AA343:$AA356,T!$Y343:$Y356),IF(AND(E51="4H3",OR(E53=11,E53=12),E55="AC"),LOOKUP(E82,T!$AA343:$AA356,T!$Z343:$Z356),IF(AND(E51="4H4",OR(E53=2,E53=4,E53=6),E55="DC"),LOOKUP(E82,T!$X362:$X372,T!$U362:$U372),IF(AND(E51="4H4",OR(E53=2,E53=4,E53=6),E55="AC"),LOOKUP(E82,T!$X362:$X372,T!$V362:$V372),IF(AND(E51="4H4",OR(E53=3,E53=5,E53=7),E55="AC"),LOOKUP(E82,T!$X362:$X372,T!$W362:$W372),0)))))))))))))))))))),IF(ISNUMBER(SEARCH("4J",E51)),IF(AND(E51="4J1",OR(E53=2,E53=4,E53=6,E53=8,E53=11),E55="DC"),LOOKUP(E82,T!$AC378:$AC391,T!$U378:$U391),IF(AND(E51="4J1",OR(E53=2,E53=4),E55="AC"),LOOKUP(E82,T!$AC378:$AC391,T!$V378:$V391),IF(AND(E51="4J1",OR(E53=6,E53=8),E55="AC"),LOOKUP(E82,T!$AC378:$AC391,T!$W378:$W391),IF(AND(E51="4J1",OR(E53=11,E53=12),E55="AC",E57=1),LOOKUP(E82,T!$AC378:$AC391,T!$X378:$X391),IF(AND(E51="4J1",OR(E53=3,E53=5),E55="AC"),LOOKUP(E82,T!$AC378:$AC391,T!$Y378:$Y391),IF(AND(E51="4J1",OR(E53=7,E53=10),E55="AC"),LOOKUP(E82,T!$AC378:$AC391,T!$Z378:$Z391),IF(AND(E51="4J1",E53=9,E55="AC"),LOOKUP(E82,T!$AC378:$AC391,T!$AA378:$AA391),IF(AND(E51="4J1",OR(E53=11,E53=12),E55="AC",E57=3),LOOKUP(E82,T!$AC378:$AC391,T!$AB378:$AB391),IF(AND(E51="4J2",OR(E53=2,E53=4,E53=6,E53=8),E55="DC"),LOOKUP(E82,T!$X397:$X407,T!$U397:$U407),IF(AND(E51="4J2",OR(E53=2,E53=4,E53=6,E53=8),E55="AC"),LOOKUP(E82,T!$X397:$X407,T!$V397:$V407),IF(AND(E51="4J2",OR(E53=3,E53=5,E53=7,E53=9),E55="AC"),LOOKUP(E82,T!$X397:$X407,T!$W397:$W407),IF(AND(E51="4J3",OR(E53=2,E53=4,E53=7,E53=8),E55="DC"),LOOKUP(E82,T!$AA413:$AA426,T!$U413:$U426),IF(AND(E51="4J3",OR(E53=2,E53=4),E55="AC"),LOOKUP(E82,T!$AA413:$AA426,T!$V413:$V426),IF(AND(E51="4J3",OR(E53=9,E53=10),E55="AC"),LOOKUP(E82,T!$AA413:$AA426,T!$W413:$W426),IF(AND(E51="4J3",E53=6,E55="AC"),LOOKUP(E82,T!$AA413:$AA426,T!$X413:$X426),IF(AND(E51="4J3",OR(E53=3,E53=5),E55="AC"),LOOKUP(E82,T!$AA413:$AA426,T!$Y413:$Y426),IF(AND(E51="4J3",OR(E53=11,E53=12),E55="AC"),LOOKUP(E82,T!$AA413:$AA426,T!$Z413:$Z426),IF(AND(E51="4J4",OR(E53=2,E53=4,E53=6),E55="DC"),LOOKUP(E82,T!$X432:$X442,T!$U432:$U442),IF(AND(E51="4J4",OR(E53=2,E53=4,E53=6),E55="AC"),LOOKUP(E82,T!$X432:$X442,T!$V432:$V442),IF(AND(E51="4J4",OR(E53=3,E53=5,E53=7),E55="AC"),LOOKUP(E82,T!$X432:$X442,T!$W432:$W442),0)))))))))))))))))))),0)))*E23*E69)/1000))</f>
        <v>0</v>
      </c>
      <c r="F100" s="163">
        <f ca="1">IF(F29="","",IF(OR(COUNT(F19:F21)=3,COUNT(F19:F21)=1),(IF(F29="",0,IF(ISNUMBER(SEARCH("4H",F51)),IF(AND(F51="4H1",OR(F53=2,F53=4,F53=6,F53=8,F53=11),F55="DC"),LOOKUP(F82,T!$AC308:$AC321,T!$U308:$U321),IF(AND(F51="4H1",OR(F53=2,F53=4),F55="AC"),LOOKUP(F82,T!$AC308:$AC321,T!$V308:$V321),IF(AND(F51="4H1",OR(F53=6,F53=8),F55="AC"),LOOKUP(F82,T!$AC308:$AC321,T!$W308:$W321),IF(AND(F51="4H1",OR(F53=11,F53=12),F55="AC",F57=1),LOOKUP(F82,T!$AC308:$AC321,T!$X308:$X321),IF(AND(F51="4H1",OR(F53=3,F53=5),F55="AC"),LOOKUP(F82,T!$AC308:$AC321,T!$Y308:$Y321),IF(AND(F51="4H1",OR(F53=7,F53=10),F55="AC"),LOOKUP(F82,T!$AC308:$AC321,T!$Z308:$Z321),IF(AND(F51="4H1",F53=9,F55="AC"),LOOKUP(F82,T!$AC308:$AC321,T!$AA308:$AA321),IF(AND(F51="4H1",OR(F53=11,F53=12),F55="AC",F57=3),LOOKUP(F82,T!$AC308:$AC321,T!$AB308:$AB321),IF(AND(F51="4H2",OR(F53=2,F53=4,F53=6,F53=8),F55="DC"),LOOKUP(F82,T!$X327:$X337,T!$U327:$U337),IF(AND(F51="4H2",OR(F53=2,F53=4,F53=6,F53=8),F55="AC"),LOOKUP(F82,T!$X327:$X337,T!$V327:$V337),IF(AND(F51="4H2",OR(F53=3,F53=5,F53=7,F53=9),F55="AC"),LOOKUP(F82,T!$X327:$X337,T!$W327:$W337),IF(AND(F51="4H3",OR(F53=2,F53=4,F53=7,F53=8),F55="DC"),LOOKUP(F82,T!$AA343:$AA356,T!$U343:$U356),IF(AND(F51="4H3",OR(F53=2,F53=4),F55="AC"),LOOKUP(F82,T!$AA343:$AA356,T!$V343:$V356),IF(AND(F51="4H3",OR(F53=9,F53=10),F55="AC"),LOOKUP(F82,T!$AA343:$AA$356,T!$W343:$W356),IF(AND(F51="4H3",F53=6,F55="AC"),LOOKUP(F82,T!$AA343:$AA356,T!$X343:$X356),IF(AND(F51="4H3",OR(F53=3,F53=5),F55="AC"),LOOKUP(F82,T!$AA343:$AA356,T!$Y343:$Y356),IF(AND(F51="4H3",OR(F53=11,F53=12),F55="AC"),LOOKUP(F82,T!$AA343:$AA356,T!$Z343:$Z356),IF(AND(F51="4H4",OR(F53=2,F53=4,F53=6),F55="DC"),LOOKUP(F82,T!$X362:$X372,T!$U362:$U372),IF(AND(F51="4H4",OR(F53=2,F53=4,F53=6),F55="AC"),LOOKUP(F82,T!$X362:$X372,T!$V362:$V372),IF(AND(F51="4H4",OR(F53=3,F53=5,F53=7),F55="AC"),LOOKUP(F82,T!$X362:$X372,T!$W362:$W372),0)))))))))))))))))))),IF(ISNUMBER(SEARCH("4J",F51)),IF(AND(F51="4J1",OR(F53=2,F53=4,F53=6,F53=8,F53=11),F55="DC"),LOOKUP(F82,T!$AC378:$AC391,T!$U378:$U391),IF(AND(F51="4J1",OR(F53=2,F53=4),F55="AC"),LOOKUP(F82,T!$AC378:$AC391,T!$V378:$V391),IF(AND(F51="4J1",OR(F53=6,F53=8),F55="AC"),LOOKUP(F82,T!$AC378:$AC391,T!$W378:$W391),IF(AND(F51="4J1",OR(F53=11,F53=12),F55="AC",F57=1),LOOKUP(F82,T!$AC378:$AC391,T!$X378:$X391),IF(AND(F51="4J1",OR(F53=3,F53=5),F55="AC"),LOOKUP(F82,T!$AC378:$AC391,T!$Y378:$Y391),IF(AND(F51="4J1",OR(F53=7,F53=10),F55="AC"),LOOKUP(F82,T!$AC378:$AC391,T!$Z378:$Z391),IF(AND(F51="4J1",F53=9,F55="AC"),LOOKUP(F82,T!$AC378:$AC391,T!$AA378:$AA391),IF(AND(F51="4J1",OR(F53=11,F53=12),F55="AC",F57=3),LOOKUP(F82,T!$AC378:$AC391,T!$AB378:$AB391),IF(AND(F51="4J2",OR(F53=2,F53=4,F53=6,F53=8),F55="DC"),LOOKUP(F82,T!$X397:$X407,T!$U397:$U407),IF(AND(F51="4J2",OR(F53=2,F53=4,F53=6,F53=8),F55="AC"),LOOKUP(F82,T!$X397:$X407,T!$V397:$V407),IF(AND(F51="4J2",OR(F53=3,F53=5,F53=7,F53=9),F55="AC"),LOOKUP(F82,T!$X397:$X407,T!$W397:$W407),IF(AND(F51="4J3",OR(F53=2,F53=4,F53=7,F53=8),F55="DC"),LOOKUP(F82,T!$AA413:$AA426,T!$U413:$U426),IF(AND(F51="4J3",OR(F53=2,F53=4),F55="AC"),LOOKUP(F82,T!$AA413:$AA426,T!$V413:$V426),IF(AND(F51="4J3",OR(F53=9,F53=10),F55="AC"),LOOKUP(F82,T!$AA413:$AA426,T!$W413:$W426),IF(AND(F51="4J3",F53=6,F55="AC"),LOOKUP(F82,T!$AA413:$AA426,T!$X413:$X426),IF(AND(F51="4J3",OR(F53=3,F53=5),F55="AC"),LOOKUP(F82,T!$AA413:$AA426,T!$Y413:$Y426),IF(AND(F51="4J3",OR(F53=11,F53=12),F55="AC"),LOOKUP(F82,T!$AA413:$AA426,T!$Z413:$Z426),IF(AND(F51="4J4",OR(F53=2,F53=4,F53=6),F55="DC"),LOOKUP(F82,T!$X432:$X442,T!$U432:$U442),IF(AND(F51="4J4",OR(F53=2,F53=4,F53=6),F55="AC"),LOOKUP(F82,T!$X432:$X442,T!$V432:$V442),IF(AND(F51="4J4",OR(F53=3,F53=5,F53=7),F55="AC"),LOOKUP(F82,T!$X432:$X442,T!$W432:$W442),0)))))))))))))))))))),0)))*F23*F69)/1000))</f>
        <v>0</v>
      </c>
      <c r="G100" s="163">
        <f ca="1">IF(G29="","",IF(OR(COUNT(G19:G21)=3,COUNT(G19:G21)=1),(IF(G29="",0,IF(ISNUMBER(SEARCH("4H",G51)),IF(AND(G51="4H1",OR(G53=2,G53=4,G53=6,G53=8,G53=11),G55="DC"),LOOKUP(G82,T!$AC308:$AC321,T!$U308:$U321),IF(AND(G51="4H1",OR(G53=2,G53=4),G55="AC"),LOOKUP(G82,T!$AC308:$AC321,T!$V308:$V321),IF(AND(G51="4H1",OR(G53=6,G53=8),G55="AC"),LOOKUP(G82,T!$AC308:$AC321,T!$W308:$W321),IF(AND(G51="4H1",OR(G53=11,G53=12),G55="AC",G57=1),LOOKUP(G82,T!$AC308:$AC321,T!$X308:$X321),IF(AND(G51="4H1",OR(G53=3,G53=5),G55="AC"),LOOKUP(G82,T!$AC308:$AC321,T!$Y308:$Y321),IF(AND(G51="4H1",OR(G53=7,G53=10),G55="AC"),LOOKUP(G82,T!$AC308:$AC321,T!$Z308:$Z321),IF(AND(G51="4H1",G53=9,G55="AC"),LOOKUP(G82,T!$AC308:$AC321,T!$AA308:$AA321),IF(AND(G51="4H1",OR(G53=11,G53=12),G55="AC",G57=3),LOOKUP(G82,T!$AC308:$AC321,T!$AB308:$AB321),IF(AND(G51="4H2",OR(G53=2,G53=4,G53=6,G53=8),G55="DC"),LOOKUP(G82,T!$X327:$X337,T!$U327:$U337),IF(AND(G51="4H2",OR(G53=2,G53=4,G53=6,G53=8),G55="AC"),LOOKUP(G82,T!$X327:$X337,T!$V327:$V337),IF(AND(G51="4H2",OR(G53=3,G53=5,G53=7,G53=9),G55="AC"),LOOKUP(G82,T!$X327:$X337,T!$W327:$W337),IF(AND(G51="4H3",OR(G53=2,G53=4,G53=7,G53=8),G55="DC"),LOOKUP(G82,T!$AA343:$AA356,T!$U343:$U356),IF(AND(G51="4H3",OR(G53=2,G53=4),G55="AC"),LOOKUP(G82,T!$AA343:$AA356,T!$V343:$V356),IF(AND(G51="4H3",OR(G53=9,G53=10),G55="AC"),LOOKUP(G82,T!$AA343:$AA$356,T!$W343:$W356),IF(AND(G51="4H3",G53=6,G55="AC"),LOOKUP(G82,T!$AA343:$AA356,T!$X343:$X356),IF(AND(G51="4H3",OR(G53=3,G53=5),G55="AC"),LOOKUP(G82,T!$AA343:$AA356,T!$Y343:$Y356),IF(AND(G51="4H3",OR(G53=11,G53=12),G55="AC"),LOOKUP(G82,T!$AA343:$AA356,T!$Z343:$Z356),IF(AND(G51="4H4",OR(G53=2,G53=4,G53=6),G55="DC"),LOOKUP(G82,T!$X362:$X372,T!$U362:$U372),IF(AND(G51="4H4",OR(G53=2,G53=4,G53=6),G55="AC"),LOOKUP(G82,T!$X362:$X372,T!$V362:$V372),IF(AND(G51="4H4",OR(G53=3,G53=5,G53=7),G55="AC"),LOOKUP(G82,T!$X362:$X372,T!$W362:$W372),0)))))))))))))))))))),IF(ISNUMBER(SEARCH("4J",G51)),IF(AND(G51="4J1",OR(G53=2,G53=4,G53=6,G53=8,G53=11),G55="DC"),LOOKUP(G82,T!$AC378:$AC391,T!$U378:$U391),IF(AND(G51="4J1",OR(G53=2,G53=4),G55="AC"),LOOKUP(G82,T!$AC378:$AC391,T!$V378:$V391),IF(AND(G51="4J1",OR(G53=6,G53=8),G55="AC"),LOOKUP(G82,T!$AC378:$AC391,T!$W378:$W391),IF(AND(G51="4J1",OR(G53=11,G53=12),G55="AC",G57=1),LOOKUP(G82,T!$AC378:$AC391,T!$X378:$X391),IF(AND(G51="4J1",OR(G53=3,G53=5),G55="AC"),LOOKUP(G82,T!$AC378:$AC391,T!$Y378:$Y391),IF(AND(G51="4J1",OR(G53=7,G53=10),G55="AC"),LOOKUP(G82,T!$AC378:$AC391,T!$Z378:$Z391),IF(AND(G51="4J1",G53=9,G55="AC"),LOOKUP(G82,T!$AC378:$AC391,T!$AA378:$AA391),IF(AND(G51="4J1",OR(G53=11,G53=12),G55="AC",G57=3),LOOKUP(G82,T!$AC378:$AC391,T!$AB378:$AB391),IF(AND(G51="4J2",OR(G53=2,G53=4,G53=6,G53=8),G55="DC"),LOOKUP(G82,T!$X397:$X407,T!$U397:$U407),IF(AND(G51="4J2",OR(G53=2,G53=4,G53=6,G53=8),G55="AC"),LOOKUP(G82,T!$X397:$X407,T!$V397:$V407),IF(AND(G51="4J2",OR(G53=3,G53=5,G53=7,G53=9),G55="AC"),LOOKUP(G82,T!$X397:$X407,T!$W397:$W407),IF(AND(G51="4J3",OR(G53=2,G53=4,G53=7,G53=8),G55="DC"),LOOKUP(G82,T!$AA413:$AA426,T!$U413:$U426),IF(AND(G51="4J3",OR(G53=2,G53=4),G55="AC"),LOOKUP(G82,T!$AA413:$AA426,T!$V413:$V426),IF(AND(G51="4J3",OR(G53=9,G53=10),G55="AC"),LOOKUP(G82,T!$AA413:$AA426,T!$W413:$W426),IF(AND(G51="4J3",G53=6,G55="AC"),LOOKUP(G82,T!$AA413:$AA426,T!$X413:$X426),IF(AND(G51="4J3",OR(G53=3,G53=5),G55="AC"),LOOKUP(G82,T!$AA413:$AA426,T!$Y413:$Y426),IF(AND(G51="4J3",OR(G53=11,G53=12),G55="AC"),LOOKUP(G82,T!$AA413:$AA426,T!$Z413:$Z426),IF(AND(G51="4J4",OR(G53=2,G53=4,G53=6),G55="DC"),LOOKUP(G82,T!$X432:$X442,T!$U432:$U442),IF(AND(G51="4J4",OR(G53=2,G53=4,G53=6),G55="AC"),LOOKUP(G82,T!$X432:$X442,T!$V432:$V442),IF(AND(G51="4J4",OR(G53=3,G53=5,G53=7),G55="AC"),LOOKUP(G82,T!$X432:$X442,T!$W432:$W442),0)))))))))))))))))))),0)))*G23*G69)/1000))</f>
        <v>0</v>
      </c>
      <c r="H100" s="163">
        <f ca="1">IF(H29="","",IF(OR(COUNT(H19:H21)=3,COUNT(H19:H21)=1),(IF(H29="",0,IF(ISNUMBER(SEARCH("4H",H51)),IF(AND(H51="4H1",OR(H53=2,H53=4,H53=6,H53=8,H53=11),H55="DC"),LOOKUP(H82,T!$AC308:$AC321,T!$U308:$U321),IF(AND(H51="4H1",OR(H53=2,H53=4),H55="AC"),LOOKUP(H82,T!$AC308:$AC321,T!$V308:$V321),IF(AND(H51="4H1",OR(H53=6,H53=8),H55="AC"),LOOKUP(H82,T!$AC308:$AC321,T!$W308:$W321),IF(AND(H51="4H1",OR(H53=11,H53=12),H55="AC",H57=1),LOOKUP(H82,T!$AC308:$AC321,T!$X308:$X321),IF(AND(H51="4H1",OR(H53=3,H53=5),H55="AC"),LOOKUP(H82,T!$AC308:$AC321,T!$Y308:$Y321),IF(AND(H51="4H1",OR(H53=7,H53=10),H55="AC"),LOOKUP(H82,T!$AC308:$AC321,T!$Z308:$Z321),IF(AND(H51="4H1",H53=9,H55="AC"),LOOKUP(H82,T!$AC308:$AC321,T!$AA308:$AA321),IF(AND(H51="4H1",OR(H53=11,H53=12),H55="AC",H57=3),LOOKUP(H82,T!$AC308:$AC321,T!$AB308:$AB321),IF(AND(H51="4H2",OR(H53=2,H53=4,H53=6,H53=8),H55="DC"),LOOKUP(H82,T!$X327:$X337,T!$U327:$U337),IF(AND(H51="4H2",OR(H53=2,H53=4,H53=6,H53=8),H55="AC"),LOOKUP(H82,T!$X327:$X337,T!$V327:$V337),IF(AND(H51="4H2",OR(H53=3,H53=5,H53=7,H53=9),H55="AC"),LOOKUP(H82,T!$X327:$X337,T!$W327:$W337),IF(AND(H51="4H3",OR(H53=2,H53=4,H53=7,H53=8),H55="DC"),LOOKUP(H82,T!$AA343:$AA356,T!$U343:$U356),IF(AND(H51="4H3",OR(H53=2,H53=4),H55="AC"),LOOKUP(H82,T!$AA343:$AA356,T!$V343:$V356),IF(AND(H51="4H3",OR(H53=9,H53=10),H55="AC"),LOOKUP(H82,T!$AA343:$AA$356,T!$W343:$W356),IF(AND(H51="4H3",H53=6,H55="AC"),LOOKUP(H82,T!$AA343:$AA356,T!$X343:$X356),IF(AND(H51="4H3",OR(H53=3,H53=5),H55="AC"),LOOKUP(H82,T!$AA343:$AA356,T!$Y343:$Y356),IF(AND(H51="4H3",OR(H53=11,H53=12),H55="AC"),LOOKUP(H82,T!$AA343:$AA356,T!$Z343:$Z356),IF(AND(H51="4H4",OR(H53=2,H53=4,H53=6),H55="DC"),LOOKUP(H82,T!$X362:$X372,T!$U362:$U372),IF(AND(H51="4H4",OR(H53=2,H53=4,H53=6),H55="AC"),LOOKUP(H82,T!$X362:$X372,T!$V362:$V372),IF(AND(H51="4H4",OR(H53=3,H53=5,H53=7),H55="AC"),LOOKUP(H82,T!$X362:$X372,T!$W362:$W372),0)))))))))))))))))))),IF(ISNUMBER(SEARCH("4J",H51)),IF(AND(H51="4J1",OR(H53=2,H53=4,H53=6,H53=8,H53=11),H55="DC"),LOOKUP(H82,T!$AC378:$AC391,T!$U378:$U391),IF(AND(H51="4J1",OR(H53=2,H53=4),H55="AC"),LOOKUP(H82,T!$AC378:$AC391,T!$V378:$V391),IF(AND(H51="4J1",OR(H53=6,H53=8),H55="AC"),LOOKUP(H82,T!$AC378:$AC391,T!$W378:$W391),IF(AND(H51="4J1",OR(H53=11,H53=12),H55="AC",H57=1),LOOKUP(H82,T!$AC378:$AC391,T!$X378:$X391),IF(AND(H51="4J1",OR(H53=3,H53=5),H55="AC"),LOOKUP(H82,T!$AC378:$AC391,T!$Y378:$Y391),IF(AND(H51="4J1",OR(H53=7,H53=10),H55="AC"),LOOKUP(H82,T!$AC378:$AC391,T!$Z378:$Z391),IF(AND(H51="4J1",H53=9,H55="AC"),LOOKUP(H82,T!$AC378:$AC391,T!$AA378:$AA391),IF(AND(H51="4J1",OR(H53=11,H53=12),H55="AC",H57=3),LOOKUP(H82,T!$AC378:$AC391,T!$AB378:$AB391),IF(AND(H51="4J2",OR(H53=2,H53=4,H53=6,H53=8),H55="DC"),LOOKUP(H82,T!$X397:$X407,T!$U397:$U407),IF(AND(H51="4J2",OR(H53=2,H53=4,H53=6,H53=8),H55="AC"),LOOKUP(H82,T!$X397:$X407,T!$V397:$V407),IF(AND(H51="4J2",OR(H53=3,H53=5,H53=7,H53=9),H55="AC"),LOOKUP(H82,T!$X397:$X407,T!$W397:$W407),IF(AND(H51="4J3",OR(H53=2,H53=4,H53=7,H53=8),H55="DC"),LOOKUP(H82,T!$AA413:$AA426,T!$U413:$U426),IF(AND(H51="4J3",OR(H53=2,H53=4),H55="AC"),LOOKUP(H82,T!$AA413:$AA426,T!$V413:$V426),IF(AND(H51="4J3",OR(H53=9,H53=10),H55="AC"),LOOKUP(H82,T!$AA413:$AA426,T!$W413:$W426),IF(AND(H51="4J3",H53=6,H55="AC"),LOOKUP(H82,T!$AA413:$AA426,T!$X413:$X426),IF(AND(H51="4J3",OR(H53=3,H53=5),H55="AC"),LOOKUP(H82,T!$AA413:$AA426,T!$Y413:$Y426),IF(AND(H51="4J3",OR(H53=11,H53=12),H55="AC"),LOOKUP(H82,T!$AA413:$AA426,T!$Z413:$Z426),IF(AND(H51="4J4",OR(H53=2,H53=4,H53=6),H55="DC"),LOOKUP(H82,T!$X432:$X442,T!$U432:$U442),IF(AND(H51="4J4",OR(H53=2,H53=4,H53=6),H55="AC"),LOOKUP(H82,T!$X432:$X442,T!$V432:$V442),IF(AND(H51="4J4",OR(H53=3,H53=5,H53=7),H55="AC"),LOOKUP(H82,T!$X432:$X442,T!$W432:$W442),0)))))))))))))))))))),0)))*H23*H69)/1000))</f>
        <v>0</v>
      </c>
      <c r="I100" s="163">
        <f>IF(I29="","",IF(OR(COUNT(I19:I21)=3,COUNT(I19:I21)=1),(IF(I29="",0,IF(ISNUMBER(SEARCH("4H",I51)),IF(AND(I51="4H1",OR(I53=2,I53=4,I53=6,I53=8,I53=11),I55="DC"),LOOKUP(I82,T!$AC308:$AC321,T!$U308:$U321),IF(AND(I51="4H1",OR(I53=2,I53=4),I55="AC"),LOOKUP(I82,T!$AC308:$AC321,T!$V308:$V321),IF(AND(I51="4H1",OR(I53=6,I53=8),I55="AC"),LOOKUP(I82,T!$AC308:$AC321,T!$W308:$W321),IF(AND(I51="4H1",OR(I53=11,I53=12),I55="AC",I57=1),LOOKUP(I82,T!$AC308:$AC321,T!$X308:$X321),IF(AND(I51="4H1",OR(I53=3,I53=5),I55="AC"),LOOKUP(I82,T!$AC308:$AC321,T!$Y308:$Y321),IF(AND(I51="4H1",OR(I53=7,I53=10),I55="AC"),LOOKUP(I82,T!$AC308:$AC321,T!$Z308:$Z321),IF(AND(I51="4H1",I53=9,I55="AC"),LOOKUP(I82,T!$AC308:$AC321,T!$AA308:$AA321),IF(AND(I51="4H1",OR(I53=11,I53=12),I55="AC",I57=3),LOOKUP(I82,T!$AC308:$AC321,T!$AB308:$AB321),IF(AND(I51="4H2",OR(I53=2,I53=4,I53=6,I53=8),I55="DC"),LOOKUP(I82,T!$X327:$X337,T!$U327:$U337),IF(AND(I51="4H2",OR(I53=2,I53=4,I53=6,I53=8),I55="AC"),LOOKUP(I82,T!$X327:$X337,T!$V327:$V337),IF(AND(I51="4H2",OR(I53=3,I53=5,I53=7,I53=9),I55="AC"),LOOKUP(I82,T!$X327:$X337,T!$W327:$W337),IF(AND(I51="4H3",OR(I53=2,I53=4,I53=7,I53=8),I55="DC"),LOOKUP(I82,T!$AA343:$AA356,T!$U343:$U356),IF(AND(I51="4H3",OR(I53=2,I53=4),I55="AC"),LOOKUP(I82,T!$AA343:$AA356,T!$V343:$V356),IF(AND(I51="4H3",OR(I53=9,I53=10),I55="AC"),LOOKUP(I82,T!$AA343:$AA$356,T!$W343:$W356),IF(AND(I51="4H3",I53=6,I55="AC"),LOOKUP(I82,T!$AA343:$AA356,T!$X343:$X356),IF(AND(I51="4H3",OR(I53=3,I53=5),I55="AC"),LOOKUP(I82,T!$AA343:$AA356,T!$Y343:$Y356),IF(AND(I51="4H3",OR(I53=11,I53=12),I55="AC"),LOOKUP(I82,T!$AA343:$AA356,T!$Z343:$Z356),IF(AND(I51="4H4",OR(I53=2,I53=4,I53=6),I55="DC"),LOOKUP(I82,T!$X362:$X372,T!$U362:$U372),IF(AND(I51="4H4",OR(I53=2,I53=4,I53=6),I55="AC"),LOOKUP(I82,T!$X362:$X372,T!$V362:$V372),IF(AND(I51="4H4",OR(I53=3,I53=5,I53=7),I55="AC"),LOOKUP(I82,T!$X362:$X372,T!$W362:$W372),0)))))))))))))))))))),IF(ISNUMBER(SEARCH("4J",I51)),IF(AND(I51="4J1",OR(I53=2,I53=4,I53=6,I53=8,I53=11),I55="DC"),LOOKUP(I82,T!$AC378:$AC391,T!$U378:$U391),IF(AND(I51="4J1",OR(I53=2,I53=4),I55="AC"),LOOKUP(I82,T!$AC378:$AC391,T!$V378:$V391),IF(AND(I51="4J1",OR(I53=6,I53=8),I55="AC"),LOOKUP(I82,T!$AC378:$AC391,T!$W378:$W391),IF(AND(I51="4J1",OR(I53=11,I53=12),I55="AC",I57=1),LOOKUP(I82,T!$AC378:$AC391,T!$X378:$X391),IF(AND(I51="4J1",OR(I53=3,I53=5),I55="AC"),LOOKUP(I82,T!$AC378:$AC391,T!$Y378:$Y391),IF(AND(I51="4J1",OR(I53=7,I53=10),I55="AC"),LOOKUP(I82,T!$AC378:$AC391,T!$Z378:$Z391),IF(AND(I51="4J1",I53=9,I55="AC"),LOOKUP(I82,T!$AC378:$AC391,T!$AA378:$AA391),IF(AND(I51="4J1",OR(I53=11,I53=12),I55="AC",I57=3),LOOKUP(I82,T!$AC378:$AC391,T!$AB378:$AB391),IF(AND(I51="4J2",OR(I53=2,I53=4,I53=6,I53=8),I55="DC"),LOOKUP(I82,T!$X397:$X407,T!$U397:$U407),IF(AND(I51="4J2",OR(I53=2,I53=4,I53=6,I53=8),I55="AC"),LOOKUP(I82,T!$X397:$X407,T!$V397:$V407),IF(AND(I51="4J2",OR(I53=3,I53=5,I53=7,I53=9),I55="AC"),LOOKUP(I82,T!$X397:$X407,T!$W397:$W407),IF(AND(I51="4J3",OR(I53=2,I53=4,I53=7,I53=8),I55="DC"),LOOKUP(I82,T!$AA413:$AA426,T!$U413:$U426),IF(AND(I51="4J3",OR(I53=2,I53=4),I55="AC"),LOOKUP(I82,T!$AA413:$AA426,T!$V413:$V426),IF(AND(I51="4J3",OR(I53=9,I53=10),I55="AC"),LOOKUP(I82,T!$AA413:$AA426,T!$W413:$W426),IF(AND(I51="4J3",I53=6,I55="AC"),LOOKUP(I82,T!$AA413:$AA426,T!$X413:$X426),IF(AND(I51="4J3",OR(I53=3,I53=5),I55="AC"),LOOKUP(I82,T!$AA413:$AA426,T!$Y413:$Y426),IF(AND(I51="4J3",OR(I53=11,I53=12),I55="AC"),LOOKUP(I82,T!$AA413:$AA426,T!$Z413:$Z426),IF(AND(I51="4J4",OR(I53=2,I53=4,I53=6),I55="DC"),LOOKUP(I82,T!$X432:$X442,T!$U432:$U442),IF(AND(I51="4J4",OR(I53=2,I53=4,I53=6),I55="AC"),LOOKUP(I82,T!$X432:$X442,T!$V432:$V442),IF(AND(I51="4J4",OR(I53=3,I53=5,I53=7),I55="AC"),LOOKUP(I82,T!$X432:$X442,T!$W432:$W442),0)))))))))))))))))))),0)))*I23*I69)/1000))</f>
        <v>0</v>
      </c>
      <c r="J100" s="163">
        <f>IF(J29="","",IF(OR(COUNT(J19:J21)=3,COUNT(J19:J21)=1),(IF(J29="",0,IF(ISNUMBER(SEARCH("4H",J51)),IF(AND(J51="4H1",OR(J53=2,J53=4,J53=6,J53=8,J53=11),J55="DC"),LOOKUP(J82,T!$AC308:$AC321,T!$U308:$U321),IF(AND(J51="4H1",OR(J53=2,J53=4),J55="AC"),LOOKUP(J82,T!$AC308:$AC321,T!$V308:$V321),IF(AND(J51="4H1",OR(J53=6,J53=8),J55="AC"),LOOKUP(J82,T!$AC308:$AC321,T!$W308:$W321),IF(AND(J51="4H1",OR(J53=11,J53=12),J55="AC",J57=1),LOOKUP(J82,T!$AC308:$AC321,T!$X308:$X321),IF(AND(J51="4H1",OR(J53=3,J53=5),J55="AC"),LOOKUP(J82,T!$AC308:$AC321,T!$Y308:$Y321),IF(AND(J51="4H1",OR(J53=7,J53=10),J55="AC"),LOOKUP(J82,T!$AC308:$AC321,T!$Z308:$Z321),IF(AND(J51="4H1",J53=9,J55="AC"),LOOKUP(J82,T!$AC308:$AC321,T!$AA308:$AA321),IF(AND(J51="4H1",OR(J53=11,J53=12),J55="AC",J57=3),LOOKUP(J82,T!$AC308:$AC321,T!$AB308:$AB321),IF(AND(J51="4H2",OR(J53=2,J53=4,J53=6,J53=8),J55="DC"),LOOKUP(J82,T!$X327:$X337,T!$U327:$U337),IF(AND(J51="4H2",OR(J53=2,J53=4,J53=6,J53=8),J55="AC"),LOOKUP(J82,T!$X327:$X337,T!$V327:$V337),IF(AND(J51="4H2",OR(J53=3,J53=5,J53=7,J53=9),J55="AC"),LOOKUP(J82,T!$X327:$X337,T!$W327:$W337),IF(AND(J51="4H3",OR(J53=2,J53=4,J53=7,J53=8),J55="DC"),LOOKUP(J82,T!$AA343:$AA356,T!$U343:$U356),IF(AND(J51="4H3",OR(J53=2,J53=4),J55="AC"),LOOKUP(J82,T!$AA343:$AA356,T!$V343:$V356),IF(AND(J51="4H3",OR(J53=9,J53=10),J55="AC"),LOOKUP(J82,T!$AA343:$AA$356,T!$W343:$W356),IF(AND(J51="4H3",J53=6,J55="AC"),LOOKUP(J82,T!$AA343:$AA356,T!$X343:$X356),IF(AND(J51="4H3",OR(J53=3,J53=5),J55="AC"),LOOKUP(J82,T!$AA343:$AA356,T!$Y343:$Y356),IF(AND(J51="4H3",OR(J53=11,J53=12),J55="AC"),LOOKUP(J82,T!$AA343:$AA356,T!$Z343:$Z356),IF(AND(J51="4H4",OR(J53=2,J53=4,J53=6),J55="DC"),LOOKUP(J82,T!$X362:$X372,T!$U362:$U372),IF(AND(J51="4H4",OR(J53=2,J53=4,J53=6),J55="AC"),LOOKUP(J82,T!$X362:$X372,T!$V362:$V372),IF(AND(J51="4H4",OR(J53=3,J53=5,J53=7),J55="AC"),LOOKUP(J82,T!$X362:$X372,T!$W362:$W372),0)))))))))))))))))))),IF(ISNUMBER(SEARCH("4J",J51)),IF(AND(J51="4J1",OR(J53=2,J53=4,J53=6,J53=8,J53=11),J55="DC"),LOOKUP(J82,T!$AC378:$AC391,T!$U378:$U391),IF(AND(J51="4J1",OR(J53=2,J53=4),J55="AC"),LOOKUP(J82,T!$AC378:$AC391,T!$V378:$V391),IF(AND(J51="4J1",OR(J53=6,J53=8),J55="AC"),LOOKUP(J82,T!$AC378:$AC391,T!$W378:$W391),IF(AND(J51="4J1",OR(J53=11,J53=12),J55="AC",J57=1),LOOKUP(J82,T!$AC378:$AC391,T!$X378:$X391),IF(AND(J51="4J1",OR(J53=3,J53=5),J55="AC"),LOOKUP(J82,T!$AC378:$AC391,T!$Y378:$Y391),IF(AND(J51="4J1",OR(J53=7,J53=10),J55="AC"),LOOKUP(J82,T!$AC378:$AC391,T!$Z378:$Z391),IF(AND(J51="4J1",J53=9,J55="AC"),LOOKUP(J82,T!$AC378:$AC391,T!$AA378:$AA391),IF(AND(J51="4J1",OR(J53=11,J53=12),J55="AC",J57=3),LOOKUP(J82,T!$AC378:$AC391,T!$AB378:$AB391),IF(AND(J51="4J2",OR(J53=2,J53=4,J53=6,J53=8),J55="DC"),LOOKUP(J82,T!$X397:$X407,T!$U397:$U407),IF(AND(J51="4J2",OR(J53=2,J53=4,J53=6,J53=8),J55="AC"),LOOKUP(J82,T!$X397:$X407,T!$V397:$V407),IF(AND(J51="4J2",OR(J53=3,J53=5,J53=7,J53=9),J55="AC"),LOOKUP(J82,T!$X397:$X407,T!$W397:$W407),IF(AND(J51="4J3",OR(J53=2,J53=4,J53=7,J53=8),J55="DC"),LOOKUP(J82,T!$AA413:$AA426,T!$U413:$U426),IF(AND(J51="4J3",OR(J53=2,J53=4),J55="AC"),LOOKUP(J82,T!$AA413:$AA426,T!$V413:$V426),IF(AND(J51="4J3",OR(J53=9,J53=10),J55="AC"),LOOKUP(J82,T!$AA413:$AA426,T!$W413:$W426),IF(AND(J51="4J3",J53=6,J55="AC"),LOOKUP(J82,T!$AA413:$AA426,T!$X413:$X426),IF(AND(J51="4J3",OR(J53=3,J53=5),J55="AC"),LOOKUP(J82,T!$AA413:$AA426,T!$Y413:$Y426),IF(AND(J51="4J3",OR(J53=11,J53=12),J55="AC"),LOOKUP(J82,T!$AA413:$AA426,T!$Z413:$Z426),IF(AND(J51="4J4",OR(J53=2,J53=4,J53=6),J55="DC"),LOOKUP(J82,T!$X432:$X442,T!$U432:$U442),IF(AND(J51="4J4",OR(J53=2,J53=4,J53=6),J55="AC"),LOOKUP(J82,T!$X432:$X442,T!$V432:$V442),IF(AND(J51="4J4",OR(J53=3,J53=5,J53=7),J55="AC"),LOOKUP(J82,T!$X432:$X442,T!$W432:$W442),0)))))))))))))))))))),0)))*J23*J69)/1000))</f>
        <v>0</v>
      </c>
      <c r="K100" s="163">
        <f>IF(K29="","",IF(OR(COUNT(K19:K21)=3,COUNT(K19:K21)=1),(IF(K29="",0,IF(ISNUMBER(SEARCH("4H",K51)),IF(AND(K51="4H1",OR(K53=2,K53=4,K53=6,K53=8,K53=11),K55="DC"),LOOKUP(K82,T!$AC308:$AC321,T!$U308:$U321),IF(AND(K51="4H1",OR(K53=2,K53=4),K55="AC"),LOOKUP(K82,T!$AC308:$AC321,T!$V308:$V321),IF(AND(K51="4H1",OR(K53=6,K53=8),K55="AC"),LOOKUP(K82,T!$AC308:$AC321,T!$W308:$W321),IF(AND(K51="4H1",OR(K53=11,K53=12),K55="AC",K57=1),LOOKUP(K82,T!$AC308:$AC321,T!$X308:$X321),IF(AND(K51="4H1",OR(K53=3,K53=5),K55="AC"),LOOKUP(K82,T!$AC308:$AC321,T!$Y308:$Y321),IF(AND(K51="4H1",OR(K53=7,K53=10),K55="AC"),LOOKUP(K82,T!$AC308:$AC321,T!$Z308:$Z321),IF(AND(K51="4H1",K53=9,K55="AC"),LOOKUP(K82,T!$AC308:$AC321,T!$AA308:$AA321),IF(AND(K51="4H1",OR(K53=11,K53=12),K55="AC",K57=3),LOOKUP(K82,T!$AC308:$AC321,T!$AB308:$AB321),IF(AND(K51="4H2",OR(K53=2,K53=4,K53=6,K53=8),K55="DC"),LOOKUP(K82,T!$X327:$X337,T!$U327:$U337),IF(AND(K51="4H2",OR(K53=2,K53=4,K53=6,K53=8),K55="AC"),LOOKUP(K82,T!$X327:$X337,T!$V327:$V337),IF(AND(K51="4H2",OR(K53=3,K53=5,K53=7,K53=9),K55="AC"),LOOKUP(K82,T!$X327:$X337,T!$W327:$W337),IF(AND(K51="4H3",OR(K53=2,K53=4,K53=7,K53=8),K55="DC"),LOOKUP(K82,T!$AA343:$AA356,T!$U343:$U356),IF(AND(K51="4H3",OR(K53=2,K53=4),K55="AC"),LOOKUP(K82,T!$AA343:$AA356,T!$V343:$V356),IF(AND(K51="4H3",OR(K53=9,K53=10),K55="AC"),LOOKUP(K82,T!$AA343:$AA$356,T!$W343:$W356),IF(AND(K51="4H3",K53=6,K55="AC"),LOOKUP(K82,T!$AA343:$AA356,T!$X343:$X356),IF(AND(K51="4H3",OR(K53=3,K53=5),K55="AC"),LOOKUP(K82,T!$AA343:$AA356,T!$Y343:$Y356),IF(AND(K51="4H3",OR(K53=11,K53=12),K55="AC"),LOOKUP(K82,T!$AA343:$AA356,T!$Z343:$Z356),IF(AND(K51="4H4",OR(K53=2,K53=4,K53=6),K55="DC"),LOOKUP(K82,T!$X362:$X372,T!$U362:$U372),IF(AND(K51="4H4",OR(K53=2,K53=4,K53=6),K55="AC"),LOOKUP(K82,T!$X362:$X372,T!$V362:$V372),IF(AND(K51="4H4",OR(K53=3,K53=5,K53=7),K55="AC"),LOOKUP(K82,T!$X362:$X372,T!$W362:$W372),0)))))))))))))))))))),IF(ISNUMBER(SEARCH("4J",K51)),IF(AND(K51="4J1",OR(K53=2,K53=4,K53=6,K53=8,K53=11),K55="DC"),LOOKUP(K82,T!$AC378:$AC391,T!$U378:$U391),IF(AND(K51="4J1",OR(K53=2,K53=4),K55="AC"),LOOKUP(K82,T!$AC378:$AC391,T!$V378:$V391),IF(AND(K51="4J1",OR(K53=6,K53=8),K55="AC"),LOOKUP(K82,T!$AC378:$AC391,T!$W378:$W391),IF(AND(K51="4J1",OR(K53=11,K53=12),K55="AC",K57=1),LOOKUP(K82,T!$AC378:$AC391,T!$X378:$X391),IF(AND(K51="4J1",OR(K53=3,K53=5),K55="AC"),LOOKUP(K82,T!$AC378:$AC391,T!$Y378:$Y391),IF(AND(K51="4J1",OR(K53=7,K53=10),K55="AC"),LOOKUP(K82,T!$AC378:$AC391,T!$Z378:$Z391),IF(AND(K51="4J1",K53=9,K55="AC"),LOOKUP(K82,T!$AC378:$AC391,T!$AA378:$AA391),IF(AND(K51="4J1",OR(K53=11,K53=12),K55="AC",K57=3),LOOKUP(K82,T!$AC378:$AC391,T!$AB378:$AB391),IF(AND(K51="4J2",OR(K53=2,K53=4,K53=6,K53=8),K55="DC"),LOOKUP(K82,T!$X397:$X407,T!$U397:$U407),IF(AND(K51="4J2",OR(K53=2,K53=4,K53=6,K53=8),K55="AC"),LOOKUP(K82,T!$X397:$X407,T!$V397:$V407),IF(AND(K51="4J2",OR(K53=3,K53=5,K53=7,K53=9),K55="AC"),LOOKUP(K82,T!$X397:$X407,T!$W397:$W407),IF(AND(K51="4J3",OR(K53=2,K53=4,K53=7,K53=8),K55="DC"),LOOKUP(K82,T!$AA413:$AA426,T!$U413:$U426),IF(AND(K51="4J3",OR(K53=2,K53=4),K55="AC"),LOOKUP(K82,T!$AA413:$AA426,T!$V413:$V426),IF(AND(K51="4J3",OR(K53=9,K53=10),K55="AC"),LOOKUP(K82,T!$AA413:$AA426,T!$W413:$W426),IF(AND(K51="4J3",K53=6,K55="AC"),LOOKUP(K82,T!$AA413:$AA426,T!$X413:$X426),IF(AND(K51="4J3",OR(K53=3,K53=5),K55="AC"),LOOKUP(K82,T!$AA413:$AA426,T!$Y413:$Y426),IF(AND(K51="4J3",OR(K53=11,K53=12),K55="AC"),LOOKUP(K82,T!$AA413:$AA426,T!$Z413:$Z426),IF(AND(K51="4J4",OR(K53=2,K53=4,K53=6),K55="DC"),LOOKUP(K82,T!$X432:$X442,T!$U432:$U442),IF(AND(K51="4J4",OR(K53=2,K53=4,K53=6),K55="AC"),LOOKUP(K82,T!$X432:$X442,T!$V432:$V442),IF(AND(K51="4J4",OR(K53=3,K53=5,K53=7),K55="AC"),LOOKUP(K82,T!$X432:$X442,T!$W432:$W442),0)))))))))))))))))))),0)))*K23*K69)/1000))</f>
        <v>0</v>
      </c>
      <c r="L100" s="163">
        <f>IF(L29="","",IF(OR(COUNT(L19:L21)=3,COUNT(L19:L21)=1),(IF(L29="",0,IF(ISNUMBER(SEARCH("4H",L51)),IF(AND(L51="4H1",OR(L53=2,L53=4,L53=6,L53=8,L53=11),L55="DC"),LOOKUP(L82,T!$AC308:$AC321,T!$U308:$U321),IF(AND(L51="4H1",OR(L53=2,L53=4),L55="AC"),LOOKUP(L82,T!$AC308:$AC321,T!$V308:$V321),IF(AND(L51="4H1",OR(L53=6,L53=8),L55="AC"),LOOKUP(L82,T!$AC308:$AC321,T!$W308:$W321),IF(AND(L51="4H1",OR(L53=11,L53=12),L55="AC",L57=1),LOOKUP(L82,T!$AC308:$AC321,T!$X308:$X321),IF(AND(L51="4H1",OR(L53=3,L53=5),L55="AC"),LOOKUP(L82,T!$AC308:$AC321,T!$Y308:$Y321),IF(AND(L51="4H1",OR(L53=7,L53=10),L55="AC"),LOOKUP(L82,T!$AC308:$AC321,T!$Z308:$Z321),IF(AND(L51="4H1",L53=9,L55="AC"),LOOKUP(L82,T!$AC308:$AC321,T!$AA308:$AA321),IF(AND(L51="4H1",OR(L53=11,L53=12),L55="AC",L57=3),LOOKUP(L82,T!$AC308:$AC321,T!$AB308:$AB321),IF(AND(L51="4H2",OR(L53=2,L53=4,L53=6,L53=8),L55="DC"),LOOKUP(L82,T!$X327:$X337,T!$U327:$U337),IF(AND(L51="4H2",OR(L53=2,L53=4,L53=6,L53=8),L55="AC"),LOOKUP(L82,T!$X327:$X337,T!$V327:$V337),IF(AND(L51="4H2",OR(L53=3,L53=5,L53=7,L53=9),L55="AC"),LOOKUP(L82,T!$X327:$X337,T!$W327:$W337),IF(AND(L51="4H3",OR(L53=2,L53=4,L53=7,L53=8),L55="DC"),LOOKUP(L82,T!$AA343:$AA356,T!$U343:$U356),IF(AND(L51="4H3",OR(L53=2,L53=4),L55="AC"),LOOKUP(L82,T!$AA343:$AA356,T!$V343:$V356),IF(AND(L51="4H3",OR(L53=9,L53=10),L55="AC"),LOOKUP(L82,T!$AA343:$AA$356,T!$W343:$W356),IF(AND(L51="4H3",L53=6,L55="AC"),LOOKUP(L82,T!$AA343:$AA356,T!$X343:$X356),IF(AND(L51="4H3",OR(L53=3,L53=5),L55="AC"),LOOKUP(L82,T!$AA343:$AA356,T!$Y343:$Y356),IF(AND(L51="4H3",OR(L53=11,L53=12),L55="AC"),LOOKUP(L82,T!$AA343:$AA356,T!$Z343:$Z356),IF(AND(L51="4H4",OR(L53=2,L53=4,L53=6),L55="DC"),LOOKUP(L82,T!$X362:$X372,T!$U362:$U372),IF(AND(L51="4H4",OR(L53=2,L53=4,L53=6),L55="AC"),LOOKUP(L82,T!$X362:$X372,T!$V362:$V372),IF(AND(L51="4H4",OR(L53=3,L53=5,L53=7),L55="AC"),LOOKUP(L82,T!$X362:$X372,T!$W362:$W372),0)))))))))))))))))))),IF(ISNUMBER(SEARCH("4J",L51)),IF(AND(L51="4J1",OR(L53=2,L53=4,L53=6,L53=8,L53=11),L55="DC"),LOOKUP(L82,T!$AC378:$AC391,T!$U378:$U391),IF(AND(L51="4J1",OR(L53=2,L53=4),L55="AC"),LOOKUP(L82,T!$AC378:$AC391,T!$V378:$V391),IF(AND(L51="4J1",OR(L53=6,L53=8),L55="AC"),LOOKUP(L82,T!$AC378:$AC391,T!$W378:$W391),IF(AND(L51="4J1",OR(L53=11,L53=12),L55="AC",L57=1),LOOKUP(L82,T!$AC378:$AC391,T!$X378:$X391),IF(AND(L51="4J1",OR(L53=3,L53=5),L55="AC"),LOOKUP(L82,T!$AC378:$AC391,T!$Y378:$Y391),IF(AND(L51="4J1",OR(L53=7,L53=10),L55="AC"),LOOKUP(L82,T!$AC378:$AC391,T!$Z378:$Z391),IF(AND(L51="4J1",L53=9,L55="AC"),LOOKUP(L82,T!$AC378:$AC391,T!$AA378:$AA391),IF(AND(L51="4J1",OR(L53=11,L53=12),L55="AC",L57=3),LOOKUP(L82,T!$AC378:$AC391,T!$AB378:$AB391),IF(AND(L51="4J2",OR(L53=2,L53=4,L53=6,L53=8),L55="DC"),LOOKUP(L82,T!$X397:$X407,T!$U397:$U407),IF(AND(L51="4J2",OR(L53=2,L53=4,L53=6,L53=8),L55="AC"),LOOKUP(L82,T!$X397:$X407,T!$V397:$V407),IF(AND(L51="4J2",OR(L53=3,L53=5,L53=7,L53=9),L55="AC"),LOOKUP(L82,T!$X397:$X407,T!$W397:$W407),IF(AND(L51="4J3",OR(L53=2,L53=4,L53=7,L53=8),L55="DC"),LOOKUP(L82,T!$AA413:$AA426,T!$U413:$U426),IF(AND(L51="4J3",OR(L53=2,L53=4),L55="AC"),LOOKUP(L82,T!$AA413:$AA426,T!$V413:$V426),IF(AND(L51="4J3",OR(L53=9,L53=10),L55="AC"),LOOKUP(L82,T!$AA413:$AA426,T!$W413:$W426),IF(AND(L51="4J3",L53=6,L55="AC"),LOOKUP(L82,T!$AA413:$AA426,T!$X413:$X426),IF(AND(L51="4J3",OR(L53=3,L53=5),L55="AC"),LOOKUP(L82,T!$AA413:$AA426,T!$Y413:$Y426),IF(AND(L51="4J3",OR(L53=11,L53=12),L55="AC"),LOOKUP(L82,T!$AA413:$AA426,T!$Z413:$Z426),IF(AND(L51="4J4",OR(L53=2,L53=4,L53=6),L55="DC"),LOOKUP(L82,T!$X432:$X442,T!$U432:$U442),IF(AND(L51="4J4",OR(L53=2,L53=4,L53=6),L55="AC"),LOOKUP(L82,T!$X432:$X442,T!$V432:$V442),IF(AND(L51="4J4",OR(L53=3,L53=5,L53=7),L55="AC"),LOOKUP(L82,T!$X432:$X442,T!$W432:$W442),0)))))))))))))))))))),0)))*L23*L69)/1000))</f>
        <v>0</v>
      </c>
      <c r="M100" s="163" t="str">
        <f>IF(M29="","",IF(OR(COUNT(M19:M21)=3,COUNT(M19:M21)=1),(IF(M29="",0,IF(ISNUMBER(SEARCH("4H",M51)),IF(AND(M51="4H1",OR(M53=2,M53=4,M53=6,M53=8,M53=11),M55="DC"),LOOKUP(M82,T!$AC308:$AC321,T!$U308:$U321),IF(AND(M51="4H1",OR(M53=2,M53=4),M55="AC"),LOOKUP(M82,T!$AC308:$AC321,T!$V308:$V321),IF(AND(M51="4H1",OR(M53=6,M53=8),M55="AC"),LOOKUP(M82,T!$AC308:$AC321,T!$W308:$W321),IF(AND(M51="4H1",OR(M53=11,M53=12),M55="AC",M57=1),LOOKUP(M82,T!$AC308:$AC321,T!$X308:$X321),IF(AND(M51="4H1",OR(M53=3,M53=5),M55="AC"),LOOKUP(M82,T!$AC308:$AC321,T!$Y308:$Y321),IF(AND(M51="4H1",OR(M53=7,M53=10),M55="AC"),LOOKUP(M82,T!$AC308:$AC321,T!$Z308:$Z321),IF(AND(M51="4H1",M53=9,M55="AC"),LOOKUP(M82,T!$AC308:$AC321,T!$AA308:$AA321),IF(AND(M51="4H1",OR(M53=11,M53=12),M55="AC",M57=3),LOOKUP(M82,T!$AC308:$AC321,T!$AB308:$AB321),IF(AND(M51="4H2",OR(M53=2,M53=4,M53=6,M53=8),M55="DC"),LOOKUP(M82,T!$X327:$X337,T!$U327:$U337),IF(AND(M51="4H2",OR(M53=2,M53=4,M53=6,M53=8),M55="AC"),LOOKUP(M82,T!$X327:$X337,T!$V327:$V337),IF(AND(M51="4H2",OR(M53=3,M53=5,M53=7,M53=9),M55="AC"),LOOKUP(M82,T!$X327:$X337,T!$W327:$W337),IF(AND(M51="4H3",OR(M53=2,M53=4,M53=7,M53=8),M55="DC"),LOOKUP(M82,T!$AA343:$AA356,T!$U343:$U356),IF(AND(M51="4H3",OR(M53=2,M53=4),M55="AC"),LOOKUP(M82,T!$AA343:$AA356,T!$V343:$V356),IF(AND(M51="4H3",OR(M53=9,M53=10),M55="AC"),LOOKUP(M82,T!$AA343:$AA$356,T!$W343:$W356),IF(AND(M51="4H3",M53=6,M55="AC"),LOOKUP(M82,T!$AA343:$AA356,T!$X343:$X356),IF(AND(M51="4H3",OR(M53=3,M53=5),M55="AC"),LOOKUP(M82,T!$AA343:$AA356,T!$Y343:$Y356),IF(AND(M51="4H3",OR(M53=11,M53=12),M55="AC"),LOOKUP(M82,T!$AA343:$AA356,T!$Z343:$Z356),IF(AND(M51="4H4",OR(M53=2,M53=4,M53=6),M55="DC"),LOOKUP(M82,T!$X362:$X372,T!$U362:$U372),IF(AND(M51="4H4",OR(M53=2,M53=4,M53=6),M55="AC"),LOOKUP(M82,T!$X362:$X372,T!$V362:$V372),IF(AND(M51="4H4",OR(M53=3,M53=5,M53=7),M55="AC"),LOOKUP(M82,T!$X362:$X372,T!$W362:$W372),0)))))))))))))))))))),IF(ISNUMBER(SEARCH("4J",M51)),IF(AND(M51="4J1",OR(M53=2,M53=4,M53=6,M53=8,M53=11),M55="DC"),LOOKUP(M82,T!$AC378:$AC391,T!$U378:$U391),IF(AND(M51="4J1",OR(M53=2,M53=4),M55="AC"),LOOKUP(M82,T!$AC378:$AC391,T!$V378:$V391),IF(AND(M51="4J1",OR(M53=6,M53=8),M55="AC"),LOOKUP(M82,T!$AC378:$AC391,T!$W378:$W391),IF(AND(M51="4J1",OR(M53=11,M53=12),M55="AC",M57=1),LOOKUP(M82,T!$AC378:$AC391,T!$X378:$X391),IF(AND(M51="4J1",OR(M53=3,M53=5),M55="AC"),LOOKUP(M82,T!$AC378:$AC391,T!$Y378:$Y391),IF(AND(M51="4J1",OR(M53=7,M53=10),M55="AC"),LOOKUP(M82,T!$AC378:$AC391,T!$Z378:$Z391),IF(AND(M51="4J1",M53=9,M55="AC"),LOOKUP(M82,T!$AC378:$AC391,T!$AA378:$AA391),IF(AND(M51="4J1",OR(M53=11,M53=12),M55="AC",M57=3),LOOKUP(M82,T!$AC378:$AC391,T!$AB378:$AB391),IF(AND(M51="4J2",OR(M53=2,M53=4,M53=6,M53=8),M55="DC"),LOOKUP(M82,T!$X397:$X407,T!$U397:$U407),IF(AND(M51="4J2",OR(M53=2,M53=4,M53=6,M53=8),M55="AC"),LOOKUP(M82,T!$X397:$X407,T!$V397:$V407),IF(AND(M51="4J2",OR(M53=3,M53=5,M53=7,M53=9),M55="AC"),LOOKUP(M82,T!$X397:$X407,T!$W397:$W407),IF(AND(M51="4J3",OR(M53=2,M53=4,M53=7,M53=8),M55="DC"),LOOKUP(M82,T!$AA413:$AA426,T!$U413:$U426),IF(AND(M51="4J3",OR(M53=2,M53=4),M55="AC"),LOOKUP(M82,T!$AA413:$AA426,T!$V413:$V426),IF(AND(M51="4J3",OR(M53=9,M53=10),M55="AC"),LOOKUP(M82,T!$AA413:$AA426,T!$W413:$W426),IF(AND(M51="4J3",M53=6,M55="AC"),LOOKUP(M82,T!$AA413:$AA426,T!$X413:$X426),IF(AND(M51="4J3",OR(M53=3,M53=5),M55="AC"),LOOKUP(M82,T!$AA413:$AA426,T!$Y413:$Y426),IF(AND(M51="4J3",OR(M53=11,M53=12),M55="AC"),LOOKUP(M82,T!$AA413:$AA426,T!$Z413:$Z426),IF(AND(M51="4J4",OR(M53=2,M53=4,M53=6),M55="DC"),LOOKUP(M82,T!$X432:$X442,T!$U432:$U442),IF(AND(M51="4J4",OR(M53=2,M53=4,M53=6),M55="AC"),LOOKUP(M82,T!$X432:$X442,T!$V432:$V442),IF(AND(M51="4J4",OR(M53=3,M53=5,M53=7),M55="AC"),LOOKUP(M82,T!$X432:$X442,T!$W432:$W442),0)))))))))))))))))))),0)))*M23*M69)/1000))</f>
        <v/>
      </c>
      <c r="N100" s="163">
        <f>IF(N29="","",IF(OR(COUNT(N19:N21)=3,COUNT(N19:N21)=1),(IF(N29="",0,IF(ISNUMBER(SEARCH("4H",N51)),IF(AND(N51="4H1",OR(N53=2,N53=4,N53=6,N53=8,N53=11),N55="DC"),LOOKUP(N82,T!$AC308:$AC321,T!$U308:$U321),IF(AND(N51="4H1",OR(N53=2,N53=4),N55="AC"),LOOKUP(N82,T!$AC308:$AC321,T!$V308:$V321),IF(AND(N51="4H1",OR(N53=6,N53=8),N55="AC"),LOOKUP(N82,T!$AC308:$AC321,T!$W308:$W321),IF(AND(N51="4H1",OR(N53=11,N53=12),N55="AC",N57=1),LOOKUP(N82,T!$AC308:$AC321,T!$X308:$X321),IF(AND(N51="4H1",OR(N53=3,N53=5),N55="AC"),LOOKUP(N82,T!$AC308:$AC321,T!$Y308:$Y321),IF(AND(N51="4H1",OR(N53=7,N53=10),N55="AC"),LOOKUP(N82,T!$AC308:$AC321,T!$Z308:$Z321),IF(AND(N51="4H1",N53=9,N55="AC"),LOOKUP(N82,T!$AC308:$AC321,T!$AA308:$AA321),IF(AND(N51="4H1",OR(N53=11,N53=12),N55="AC",N57=3),LOOKUP(N82,T!$AC308:$AC321,T!$AB308:$AB321),IF(AND(N51="4H2",OR(N53=2,N53=4,N53=6,N53=8),N55="DC"),LOOKUP(N82,T!$X327:$X337,T!$U327:$U337),IF(AND(N51="4H2",OR(N53=2,N53=4,N53=6,N53=8),N55="AC"),LOOKUP(N82,T!$X327:$X337,T!$V327:$V337),IF(AND(N51="4H2",OR(N53=3,N53=5,N53=7,N53=9),N55="AC"),LOOKUP(N82,T!$X327:$X337,T!$W327:$W337),IF(AND(N51="4H3",OR(N53=2,N53=4,N53=7,N53=8),N55="DC"),LOOKUP(N82,T!$AA343:$AA356,T!$U343:$U356),IF(AND(N51="4H3",OR(N53=2,N53=4),N55="AC"),LOOKUP(N82,T!$AA343:$AA356,T!$V343:$V356),IF(AND(N51="4H3",OR(N53=9,N53=10),N55="AC"),LOOKUP(N82,T!$AA343:$AA$356,T!$W343:$W356),IF(AND(N51="4H3",N53=6,N55="AC"),LOOKUP(N82,T!$AA343:$AA356,T!$X343:$X356),IF(AND(N51="4H3",OR(N53=3,N53=5),N55="AC"),LOOKUP(N82,T!$AA343:$AA356,T!$Y343:$Y356),IF(AND(N51="4H3",OR(N53=11,N53=12),N55="AC"),LOOKUP(N82,T!$AA343:$AA356,T!$Z343:$Z356),IF(AND(N51="4H4",OR(N53=2,N53=4,N53=6),N55="DC"),LOOKUP(N82,T!$X362:$X372,T!$U362:$U372),IF(AND(N51="4H4",OR(N53=2,N53=4,N53=6),N55="AC"),LOOKUP(N82,T!$X362:$X372,T!$V362:$V372),IF(AND(N51="4H4",OR(N53=3,N53=5,N53=7),N55="AC"),LOOKUP(N82,T!$X362:$X372,T!$W362:$W372),0)))))))))))))))))))),IF(ISNUMBER(SEARCH("4J",N51)),IF(AND(N51="4J1",OR(N53=2,N53=4,N53=6,N53=8,N53=11),N55="DC"),LOOKUP(N82,T!$AC378:$AC391,T!$U378:$U391),IF(AND(N51="4J1",OR(N53=2,N53=4),N55="AC"),LOOKUP(N82,T!$AC378:$AC391,T!$V378:$V391),IF(AND(N51="4J1",OR(N53=6,N53=8),N55="AC"),LOOKUP(N82,T!$AC378:$AC391,T!$W378:$W391),IF(AND(N51="4J1",OR(N53=11,N53=12),N55="AC",N57=1),LOOKUP(N82,T!$AC378:$AC391,T!$X378:$X391),IF(AND(N51="4J1",OR(N53=3,N53=5),N55="AC"),LOOKUP(N82,T!$AC378:$AC391,T!$Y378:$Y391),IF(AND(N51="4J1",OR(N53=7,N53=10),N55="AC"),LOOKUP(N82,T!$AC378:$AC391,T!$Z378:$Z391),IF(AND(N51="4J1",N53=9,N55="AC"),LOOKUP(N82,T!$AC378:$AC391,T!$AA378:$AA391),IF(AND(N51="4J1",OR(N53=11,N53=12),N55="AC",N57=3),LOOKUP(N82,T!$AC378:$AC391,T!$AB378:$AB391),IF(AND(N51="4J2",OR(N53=2,N53=4,N53=6,N53=8),N55="DC"),LOOKUP(N82,T!$X397:$X407,T!$U397:$U407),IF(AND(N51="4J2",OR(N53=2,N53=4,N53=6,N53=8),N55="AC"),LOOKUP(N82,T!$X397:$X407,T!$V397:$V407),IF(AND(N51="4J2",OR(N53=3,N53=5,N53=7,N53=9),N55="AC"),LOOKUP(N82,T!$X397:$X407,T!$W397:$W407),IF(AND(N51="4J3",OR(N53=2,N53=4,N53=7,N53=8),N55="DC"),LOOKUP(N82,T!$AA413:$AA426,T!$U413:$U426),IF(AND(N51="4J3",OR(N53=2,N53=4),N55="AC"),LOOKUP(N82,T!$AA413:$AA426,T!$V413:$V426),IF(AND(N51="4J3",OR(N53=9,N53=10),N55="AC"),LOOKUP(N82,T!$AA413:$AA426,T!$W413:$W426),IF(AND(N51="4J3",N53=6,N55="AC"),LOOKUP(N82,T!$AA413:$AA426,T!$X413:$X426),IF(AND(N51="4J3",OR(N53=3,N53=5),N55="AC"),LOOKUP(N82,T!$AA413:$AA426,T!$Y413:$Y426),IF(AND(N51="4J3",OR(N53=11,N53=12),N55="AC"),LOOKUP(N82,T!$AA413:$AA426,T!$Z413:$Z426),IF(AND(N51="4J4",OR(N53=2,N53=4,N53=6),N55="DC"),LOOKUP(N82,T!$X432:$X442,T!$U432:$U442),IF(AND(N51="4J4",OR(N53=2,N53=4,N53=6),N55="AC"),LOOKUP(N82,T!$X432:$X442,T!$V432:$V442),IF(AND(N51="4J4",OR(N53=3,N53=5,N53=7),N55="AC"),LOOKUP(N82,T!$X432:$X442,T!$W432:$W442),0)))))))))))))))))))),0)))*N23*N69)/1000))</f>
        <v>0</v>
      </c>
      <c r="O100" s="148" t="str">
        <f t="shared" si="23"/>
        <v/>
      </c>
    </row>
    <row r="101" spans="1:58" s="173" customFormat="1" ht="17">
      <c r="A101" s="193"/>
      <c r="B101" s="399"/>
      <c r="C101" s="397"/>
      <c r="D101" s="163">
        <f>IF(D29="","",IF(OR(COUNT(D19:D21)=3,COUNT(D19:D21)=1),(IF(D29="",0,IF(ISNUMBER(SEARCH("4H",D51)),IF(AND(D51="4H1",OR(D53=2,D53=4,D53=6,D53=8,D53=11),D55="DC"),LOOKUP(D83,T!$AC308:$AC321,T!$U308:$U321),IF(AND(D51="4H1",OR(D53=2,D53=4),D55="AC"),LOOKUP(D83,T!$AC308:$AC321,T!$V308:$V321),IF(AND(D51="4H1",OR(D53=6,D53=8),D55="AC"),LOOKUP(D83,T!$AC308:$AC321,T!$W308:$W321),IF(AND(D51="4H1",OR(D53=11,D53=12),D55="AC",D57=1),LOOKUP(D83,T!$AC308:$AC321,T!$X308:$X321),IF(AND(D51="4H1",OR(D53=3,D53=5),D55="AC"),LOOKUP(D83,T!$AC308:$AC321,T!$Y308:$Y321),IF(AND(D51="4H1",OR(D53=7,D53=10),D55="AC"),LOOKUP(D83,T!$AC308:$AC321,T!$Z308:$Z321),IF(AND(D51="4H1",D53=9,D55="AC"),LOOKUP(D83,T!$AC308:$AC321,T!$AA308:$AA321),IF(AND(D51="4H1",OR(D53=11,D53=12),D55="AC",D57=3),LOOKUP(D83,T!$AC308:$AC321,T!$AB308:$AB321),IF(AND(D51="4H2",OR(D53=2,D53=4,D53=6,D53=8),D55="DC"),LOOKUP(D83,T!$X327:$X337,T!$U327:$U337),IF(AND(D51="4H2",OR(D53=2,D53=4,D53=6,D53=8),D55="AC"),LOOKUP(D83,T!$X327:$X337,T!$V327:$V337),IF(AND(D51="4H2",OR(D53=3,D53=5,D53=7,D53=9),D55="AC"),LOOKUP(D83,T!$X327:$X337,T!$W327:$W337),IF(AND(D51="4H3",OR(D53=2,D53=4,D53=7,D53=8),D55="DC"),LOOKUP(D83,T!$AA343:$AA356,T!$U343:$U356),IF(AND(D51="4H3",OR(D53=2,D53=4),D55="AC"),LOOKUP(D83,T!$AA343:$AA356,T!$V343:$V356),IF(AND(D51="4H3",OR(D53=9,D53=10),D55="AC"),LOOKUP(D83,T!$AA343:$AA$356,T!$W343:$W356),IF(AND(D51="4H3",D53=6,D55="AC"),LOOKUP(D83,T!$AA343:$AA356,T!$X343:$X356),IF(AND(D51="4H3",OR(D53=3,D53=5),D55="AC"),LOOKUP(D83,T!$AA343:$AA356,T!$Y343:$Y356),IF(AND(D51="4H3",OR(D53=11,D53=12),D55="AC"),LOOKUP(D83,T!$AA343:$AA356,T!$Z343:$Z356),IF(AND(D51="4H4",OR(D53=2,D53=4,D53=6),D55="DC"),LOOKUP(D83,T!$X362:$X372,T!$U362:$U372),IF(AND(D51="4H4",OR(D53=2,D53=4,D53=6),D55="AC"),LOOKUP(D83,T!$X362:$X372,T!$V362:$V372),IF(AND(D51="4H4",OR(D53=3,D53=5,D53=7),D55="AC"),LOOKUP(D83,T!$X362:$X372,T!$W362:$W372),0)))))))))))))))))))),IF(ISNUMBER(SEARCH("4J",D51)),IF(AND(D51="4J1",OR(D53=2,D53=4,D53=6,D53=8,D53=11),D55="DC"),LOOKUP(D83,T!$AC378:$AC391,T!$U378:$U391),IF(AND(D51="4J1",OR(D53=2,D53=4),D55="AC"),LOOKUP(D83,T!$AC378:$AC391,T!$V378:$V391),IF(AND(D51="4J1",OR(D53=6,D53=8),D55="AC"),LOOKUP(D83,T!$AC378:$AC391,T!$W378:$W391),IF(AND(D51="4J1",OR(D53=11,D53=12),D55="AC",D57=1),LOOKUP(D83,T!$AC378:$AC391,T!$X378:$X391),IF(AND(D51="4J1",OR(D53=3,D53=5),D55="AC"),LOOKUP(D83,T!$AC378:$AC391,T!$Y378:$Y391),IF(AND(D51="4J1",OR(D53=7,D53=10),D55="AC"),LOOKUP(D83,T!$AC378:$AC391,T!$Z378:$Z391),IF(AND(D51="4J1",D53=9,D55="AC"),LOOKUP(D83,T!$AC378:$AC391,T!$AA378:$AA391),IF(AND(D51="4J1",OR(D53=11,D53=12),D55="AC",D57=3),LOOKUP(D83,T!$AC378:$AC391,T!$AB378:$AB391),IF(AND(D51="4J2",OR(D53=2,D53=4,D53=6,D53=8),D55="DC"),LOOKUP(D83,T!$X397:$X407,T!$U397:$U407),IF(AND(D51="4J2",OR(D53=2,D53=4,D53=6,D53=8),D55="AC"),LOOKUP(D83,T!$X397:$X407,T!$V397:$V407),IF(AND(D51="4J2",OR(D53=3,D53=5,D53=7,D53=9),D55="AC"),LOOKUP(D83,T!$X397:$X407,T!$W397:$W407),IF(AND(D51="4J3",OR(D53=2,D53=4,D53=7,D53=8),D55="DC"),LOOKUP(D83,T!$AA413:$AA426,T!$U413:$U426),IF(AND(D51="4J3",OR(D53=2,D53=4),D55="AC"),LOOKUP(D83,T!$AA413:$AA426,T!$V413:$V426),IF(AND(D51="4J3",OR(D53=9,D53=10),D55="AC"),LOOKUP(D83,T!$AA413:$AA426,T!$W413:$W426),IF(AND(D51="4J3",D53=6,D55="AC"),LOOKUP(D83,T!$AA413:$AA426,T!$X413:$X426),IF(AND(D51="4J3",OR(D53=3,D53=5),D55="AC"),LOOKUP(D83,T!$AA413:$AA426,T!$Y413:$Y426),IF(AND(D51="4J3",OR(D53=11,D53=12),D55="AC"),LOOKUP(D83,T!$AA413:$AA426,T!$Z413:$Z426),IF(AND(D51="4J4",OR(D53=2,D53=4,D53=6),D55="DC"),LOOKUP(D83,T!$X432:$X442,T!$U432:$U442),IF(AND(D51="4J4",OR(D53=2,D53=4,D53=6),D55="AC"),LOOKUP(D83,T!$X432:$X442,T!$V432:$V442),IF(AND(D51="4J4",OR(D53=3,D53=5,D53=7),D55="AC"),LOOKUP(D83,T!$X432:$X442,T!$W432:$W442),0)))))))))))))))))))),0)))*D23*D69)/1000))</f>
        <v>0</v>
      </c>
      <c r="E101" s="163">
        <f ca="1">IF(E29="","",IF(OR(COUNT(E19:E21)=3,COUNT(E19:E21)=1),(IF(E29="",0,IF(ISNUMBER(SEARCH("4H",E51)),IF(AND(E51="4H1",OR(E53=2,E53=4,E53=6,E53=8,E53=11),E55="DC"),LOOKUP(E83,T!$AC308:$AC321,T!$U308:$U321),IF(AND(E51="4H1",OR(E53=2,E53=4),E55="AC"),LOOKUP(E83,T!$AC308:$AC321,T!$V308:$V321),IF(AND(E51="4H1",OR(E53=6,E53=8),E55="AC"),LOOKUP(E83,T!$AC308:$AC321,T!$W308:$W321),IF(AND(E51="4H1",OR(E53=11,E53=12),E55="AC",E57=1),LOOKUP(E83,T!$AC308:$AC321,T!$X308:$X321),IF(AND(E51="4H1",OR(E53=3,E53=5),E55="AC"),LOOKUP(E83,T!$AC308:$AC321,T!$Y308:$Y321),IF(AND(E51="4H1",OR(E53=7,E53=10),E55="AC"),LOOKUP(E83,T!$AC308:$AC321,T!$Z308:$Z321),IF(AND(E51="4H1",E53=9,E55="AC"),LOOKUP(E83,T!$AC308:$AC321,T!$AA308:$AA321),IF(AND(E51="4H1",OR(E53=11,E53=12),E55="AC",E57=3),LOOKUP(E83,T!$AC308:$AC321,T!$AB308:$AB321),IF(AND(E51="4H2",OR(E53=2,E53=4,E53=6,E53=8),E55="DC"),LOOKUP(E83,T!$X327:$X337,T!$U327:$U337),IF(AND(E51="4H2",OR(E53=2,E53=4,E53=6,E53=8),E55="AC"),LOOKUP(E83,T!$X327:$X337,T!$V327:$V337),IF(AND(E51="4H2",OR(E53=3,E53=5,E53=7,E53=9),E55="AC"),LOOKUP(E83,T!$X327:$X337,T!$W327:$W337),IF(AND(E51="4H3",OR(E53=2,E53=4,E53=7,E53=8),E55="DC"),LOOKUP(E83,T!$AA343:$AA356,T!$U343:$U356),IF(AND(E51="4H3",OR(E53=2,E53=4),E55="AC"),LOOKUP(E83,T!$AA343:$AA356,T!$V343:$V356),IF(AND(E51="4H3",OR(E53=9,E53=10),E55="AC"),LOOKUP(E83,T!$AA343:$AA$356,T!$W343:$W356),IF(AND(E51="4H3",E53=6,E55="AC"),LOOKUP(E83,T!$AA343:$AA356,T!$X343:$X356),IF(AND(E51="4H3",OR(E53=3,E53=5),E55="AC"),LOOKUP(E83,T!$AA343:$AA356,T!$Y343:$Y356),IF(AND(E51="4H3",OR(E53=11,E53=12),E55="AC"),LOOKUP(E83,T!$AA343:$AA356,T!$Z343:$Z356),IF(AND(E51="4H4",OR(E53=2,E53=4,E53=6),E55="DC"),LOOKUP(E83,T!$X362:$X372,T!$U362:$U372),IF(AND(E51="4H4",OR(E53=2,E53=4,E53=6),E55="AC"),LOOKUP(E83,T!$X362:$X372,T!$V362:$V372),IF(AND(E51="4H4",OR(E53=3,E53=5,E53=7),E55="AC"),LOOKUP(E83,T!$X362:$X372,T!$W362:$W372),0)))))))))))))))))))),IF(ISNUMBER(SEARCH("4J",E51)),IF(AND(E51="4J1",OR(E53=2,E53=4,E53=6,E53=8,E53=11),E55="DC"),LOOKUP(E83,T!$AC378:$AC391,T!$U378:$U391),IF(AND(E51="4J1",OR(E53=2,E53=4),E55="AC"),LOOKUP(E83,T!$AC378:$AC391,T!$V378:$V391),IF(AND(E51="4J1",OR(E53=6,E53=8),E55="AC"),LOOKUP(E83,T!$AC378:$AC391,T!$W378:$W391),IF(AND(E51="4J1",OR(E53=11,E53=12),E55="AC",E57=1),LOOKUP(E83,T!$AC378:$AC391,T!$X378:$X391),IF(AND(E51="4J1",OR(E53=3,E53=5),E55="AC"),LOOKUP(E83,T!$AC378:$AC391,T!$Y378:$Y391),IF(AND(E51="4J1",OR(E53=7,E53=10),E55="AC"),LOOKUP(E83,T!$AC378:$AC391,T!$Z378:$Z391),IF(AND(E51="4J1",E53=9,E55="AC"),LOOKUP(E83,T!$AC378:$AC391,T!$AA378:$AA391),IF(AND(E51="4J1",OR(E53=11,E53=12),E55="AC",E57=3),LOOKUP(E83,T!$AC378:$AC391,T!$AB378:$AB391),IF(AND(E51="4J2",OR(E53=2,E53=4,E53=6,E53=8),E55="DC"),LOOKUP(E83,T!$X397:$X407,T!$U397:$U407),IF(AND(E51="4J2",OR(E53=2,E53=4,E53=6,E53=8),E55="AC"),LOOKUP(E83,T!$X397:$X407,T!$V397:$V407),IF(AND(E51="4J2",OR(E53=3,E53=5,E53=7,E53=9),E55="AC"),LOOKUP(E83,T!$X397:$X407,T!$W397:$W407),IF(AND(E51="4J3",OR(E53=2,E53=4,E53=7,E53=8),E55="DC"),LOOKUP(E83,T!$AA413:$AA426,T!$U413:$U426),IF(AND(E51="4J3",OR(E53=2,E53=4),E55="AC"),LOOKUP(E83,T!$AA413:$AA426,T!$V413:$V426),IF(AND(E51="4J3",OR(E53=9,E53=10),E55="AC"),LOOKUP(E83,T!$AA413:$AA426,T!$W413:$W426),IF(AND(E51="4J3",E53=6,E55="AC"),LOOKUP(E83,T!$AA413:$AA426,T!$X413:$X426),IF(AND(E51="4J3",OR(E53=3,E53=5),E55="AC"),LOOKUP(E83,T!$AA413:$AA426,T!$Y413:$Y426),IF(AND(E51="4J3",OR(E53=11,E53=12),E55="AC"),LOOKUP(E83,T!$AA413:$AA426,T!$Z413:$Z426),IF(AND(E51="4J4",OR(E53=2,E53=4,E53=6),E55="DC"),LOOKUP(E83,T!$X432:$X442,T!$U432:$U442),IF(AND(E51="4J4",OR(E53=2,E53=4,E53=6),E55="AC"),LOOKUP(E83,T!$X432:$X442,T!$V432:$V442),IF(AND(E51="4J4",OR(E53=3,E53=5,E53=7),E55="AC"),LOOKUP(E83,T!$X432:$X442,T!$W432:$W442),0)))))))))))))))))))),0)))*E23*E69)/1000))</f>
        <v>0</v>
      </c>
      <c r="F101" s="163">
        <f ca="1">IF(F29="","",IF(OR(COUNT(F19:F21)=3,COUNT(F19:F21)=1),(IF(F29="",0,IF(ISNUMBER(SEARCH("4H",F51)),IF(AND(F51="4H1",OR(F53=2,F53=4,F53=6,F53=8,F53=11),F55="DC"),LOOKUP(F83,T!$AC308:$AC321,T!$U308:$U321),IF(AND(F51="4H1",OR(F53=2,F53=4),F55="AC"),LOOKUP(F83,T!$AC308:$AC321,T!$V308:$V321),IF(AND(F51="4H1",OR(F53=6,F53=8),F55="AC"),LOOKUP(F83,T!$AC308:$AC321,T!$W308:$W321),IF(AND(F51="4H1",OR(F53=11,F53=12),F55="AC",F57=1),LOOKUP(F83,T!$AC308:$AC321,T!$X308:$X321),IF(AND(F51="4H1",OR(F53=3,F53=5),F55="AC"),LOOKUP(F83,T!$AC308:$AC321,T!$Y308:$Y321),IF(AND(F51="4H1",OR(F53=7,F53=10),F55="AC"),LOOKUP(F83,T!$AC308:$AC321,T!$Z308:$Z321),IF(AND(F51="4H1",F53=9,F55="AC"),LOOKUP(F83,T!$AC308:$AC321,T!$AA308:$AA321),IF(AND(F51="4H1",OR(F53=11,F53=12),F55="AC",F57=3),LOOKUP(F83,T!$AC308:$AC321,T!$AB308:$AB321),IF(AND(F51="4H2",OR(F53=2,F53=4,F53=6,F53=8),F55="DC"),LOOKUP(F83,T!$X327:$X337,T!$U327:$U337),IF(AND(F51="4H2",OR(F53=2,F53=4,F53=6,F53=8),F55="AC"),LOOKUP(F83,T!$X327:$X337,T!$V327:$V337),IF(AND(F51="4H2",OR(F53=3,F53=5,F53=7,F53=9),F55="AC"),LOOKUP(F83,T!$X327:$X337,T!$W327:$W337),IF(AND(F51="4H3",OR(F53=2,F53=4,F53=7,F53=8),F55="DC"),LOOKUP(F83,T!$AA343:$AA356,T!$U343:$U356),IF(AND(F51="4H3",OR(F53=2,F53=4),F55="AC"),LOOKUP(F83,T!$AA343:$AA356,T!$V343:$V356),IF(AND(F51="4H3",OR(F53=9,F53=10),F55="AC"),LOOKUP(F83,T!$AA343:$AA$356,T!$W343:$W356),IF(AND(F51="4H3",F53=6,F55="AC"),LOOKUP(F83,T!$AA343:$AA356,T!$X343:$X356),IF(AND(F51="4H3",OR(F53=3,F53=5),F55="AC"),LOOKUP(F83,T!$AA343:$AA356,T!$Y343:$Y356),IF(AND(F51="4H3",OR(F53=11,F53=12),F55="AC"),LOOKUP(F83,T!$AA343:$AA356,T!$Z343:$Z356),IF(AND(F51="4H4",OR(F53=2,F53=4,F53=6),F55="DC"),LOOKUP(F83,T!$X362:$X372,T!$U362:$U372),IF(AND(F51="4H4",OR(F53=2,F53=4,F53=6),F55="AC"),LOOKUP(F83,T!$X362:$X372,T!$V362:$V372),IF(AND(F51="4H4",OR(F53=3,F53=5,F53=7),F55="AC"),LOOKUP(F83,T!$X362:$X372,T!$W362:$W372),0)))))))))))))))))))),IF(ISNUMBER(SEARCH("4J",F51)),IF(AND(F51="4J1",OR(F53=2,F53=4,F53=6,F53=8,F53=11),F55="DC"),LOOKUP(F83,T!$AC378:$AC391,T!$U378:$U391),IF(AND(F51="4J1",OR(F53=2,F53=4),F55="AC"),LOOKUP(F83,T!$AC378:$AC391,T!$V378:$V391),IF(AND(F51="4J1",OR(F53=6,F53=8),F55="AC"),LOOKUP(F83,T!$AC378:$AC391,T!$W378:$W391),IF(AND(F51="4J1",OR(F53=11,F53=12),F55="AC",F57=1),LOOKUP(F83,T!$AC378:$AC391,T!$X378:$X391),IF(AND(F51="4J1",OR(F53=3,F53=5),F55="AC"),LOOKUP(F83,T!$AC378:$AC391,T!$Y378:$Y391),IF(AND(F51="4J1",OR(F53=7,F53=10),F55="AC"),LOOKUP(F83,T!$AC378:$AC391,T!$Z378:$Z391),IF(AND(F51="4J1",F53=9,F55="AC"),LOOKUP(F83,T!$AC378:$AC391,T!$AA378:$AA391),IF(AND(F51="4J1",OR(F53=11,F53=12),F55="AC",F57=3),LOOKUP(F83,T!$AC378:$AC391,T!$AB378:$AB391),IF(AND(F51="4J2",OR(F53=2,F53=4,F53=6,F53=8),F55="DC"),LOOKUP(F83,T!$X397:$X407,T!$U397:$U407),IF(AND(F51="4J2",OR(F53=2,F53=4,F53=6,F53=8),F55="AC"),LOOKUP(F83,T!$X397:$X407,T!$V397:$V407),IF(AND(F51="4J2",OR(F53=3,F53=5,F53=7,F53=9),F55="AC"),LOOKUP(F83,T!$X397:$X407,T!$W397:$W407),IF(AND(F51="4J3",OR(F53=2,F53=4,F53=7,F53=8),F55="DC"),LOOKUP(F83,T!$AA413:$AA426,T!$U413:$U426),IF(AND(F51="4J3",OR(F53=2,F53=4),F55="AC"),LOOKUP(F83,T!$AA413:$AA426,T!$V413:$V426),IF(AND(F51="4J3",OR(F53=9,F53=10),F55="AC"),LOOKUP(F83,T!$AA413:$AA426,T!$W413:$W426),IF(AND(F51="4J3",F53=6,F55="AC"),LOOKUP(F83,T!$AA413:$AA426,T!$X413:$X426),IF(AND(F51="4J3",OR(F53=3,F53=5),F55="AC"),LOOKUP(F83,T!$AA413:$AA426,T!$Y413:$Y426),IF(AND(F51="4J3",OR(F53=11,F53=12),F55="AC"),LOOKUP(F83,T!$AA413:$AA426,T!$Z413:$Z426),IF(AND(F51="4J4",OR(F53=2,F53=4,F53=6),F55="DC"),LOOKUP(F83,T!$X432:$X442,T!$U432:$U442),IF(AND(F51="4J4",OR(F53=2,F53=4,F53=6),F55="AC"),LOOKUP(F83,T!$X432:$X442,T!$V432:$V442),IF(AND(F51="4J4",OR(F53=3,F53=5,F53=7),F55="AC"),LOOKUP(F83,T!$X432:$X442,T!$W432:$W442),0)))))))))))))))))))),0)))*F23*F69)/1000))</f>
        <v>0</v>
      </c>
      <c r="G101" s="163">
        <f ca="1">IF(G29="","",IF(OR(COUNT(G19:G21)=3,COUNT(G19:G21)=1),(IF(G29="",0,IF(ISNUMBER(SEARCH("4H",G51)),IF(AND(G51="4H1",OR(G53=2,G53=4,G53=6,G53=8,G53=11),G55="DC"),LOOKUP(G83,T!$AC308:$AC321,T!$U308:$U321),IF(AND(G51="4H1",OR(G53=2,G53=4),G55="AC"),LOOKUP(G83,T!$AC308:$AC321,T!$V308:$V321),IF(AND(G51="4H1",OR(G53=6,G53=8),G55="AC"),LOOKUP(G83,T!$AC308:$AC321,T!$W308:$W321),IF(AND(G51="4H1",OR(G53=11,G53=12),G55="AC",G57=1),LOOKUP(G83,T!$AC308:$AC321,T!$X308:$X321),IF(AND(G51="4H1",OR(G53=3,G53=5),G55="AC"),LOOKUP(G83,T!$AC308:$AC321,T!$Y308:$Y321),IF(AND(G51="4H1",OR(G53=7,G53=10),G55="AC"),LOOKUP(G83,T!$AC308:$AC321,T!$Z308:$Z321),IF(AND(G51="4H1",G53=9,G55="AC"),LOOKUP(G83,T!$AC308:$AC321,T!$AA308:$AA321),IF(AND(G51="4H1",OR(G53=11,G53=12),G55="AC",G57=3),LOOKUP(G83,T!$AC308:$AC321,T!$AB308:$AB321),IF(AND(G51="4H2",OR(G53=2,G53=4,G53=6,G53=8),G55="DC"),LOOKUP(G83,T!$X327:$X337,T!$U327:$U337),IF(AND(G51="4H2",OR(G53=2,G53=4,G53=6,G53=8),G55="AC"),LOOKUP(G83,T!$X327:$X337,T!$V327:$V337),IF(AND(G51="4H2",OR(G53=3,G53=5,G53=7,G53=9),G55="AC"),LOOKUP(G83,T!$X327:$X337,T!$W327:$W337),IF(AND(G51="4H3",OR(G53=2,G53=4,G53=7,G53=8),G55="DC"),LOOKUP(G83,T!$AA343:$AA356,T!$U343:$U356),IF(AND(G51="4H3",OR(G53=2,G53=4),G55="AC"),LOOKUP(G83,T!$AA343:$AA356,T!$V343:$V356),IF(AND(G51="4H3",OR(G53=9,G53=10),G55="AC"),LOOKUP(G83,T!$AA343:$AA$356,T!$W343:$W356),IF(AND(G51="4H3",G53=6,G55="AC"),LOOKUP(G83,T!$AA343:$AA356,T!$X343:$X356),IF(AND(G51="4H3",OR(G53=3,G53=5),G55="AC"),LOOKUP(G83,T!$AA343:$AA356,T!$Y343:$Y356),IF(AND(G51="4H3",OR(G53=11,G53=12),G55="AC"),LOOKUP(G83,T!$AA343:$AA356,T!$Z343:$Z356),IF(AND(G51="4H4",OR(G53=2,G53=4,G53=6),G55="DC"),LOOKUP(G83,T!$X362:$X372,T!$U362:$U372),IF(AND(G51="4H4",OR(G53=2,G53=4,G53=6),G55="AC"),LOOKUP(G83,T!$X362:$X372,T!$V362:$V372),IF(AND(G51="4H4",OR(G53=3,G53=5,G53=7),G55="AC"),LOOKUP(G83,T!$X362:$X372,T!$W362:$W372),0)))))))))))))))))))),IF(ISNUMBER(SEARCH("4J",G51)),IF(AND(G51="4J1",OR(G53=2,G53=4,G53=6,G53=8,G53=11),G55="DC"),LOOKUP(G83,T!$AC378:$AC391,T!$U378:$U391),IF(AND(G51="4J1",OR(G53=2,G53=4),G55="AC"),LOOKUP(G83,T!$AC378:$AC391,T!$V378:$V391),IF(AND(G51="4J1",OR(G53=6,G53=8),G55="AC"),LOOKUP(G83,T!$AC378:$AC391,T!$W378:$W391),IF(AND(G51="4J1",OR(G53=11,G53=12),G55="AC",G57=1),LOOKUP(G83,T!$AC378:$AC391,T!$X378:$X391),IF(AND(G51="4J1",OR(G53=3,G53=5),G55="AC"),LOOKUP(G83,T!$AC378:$AC391,T!$Y378:$Y391),IF(AND(G51="4J1",OR(G53=7,G53=10),G55="AC"),LOOKUP(G83,T!$AC378:$AC391,T!$Z378:$Z391),IF(AND(G51="4J1",G53=9,G55="AC"),LOOKUP(G83,T!$AC378:$AC391,T!$AA378:$AA391),IF(AND(G51="4J1",OR(G53=11,G53=12),G55="AC",G57=3),LOOKUP(G83,T!$AC378:$AC391,T!$AB378:$AB391),IF(AND(G51="4J2",OR(G53=2,G53=4,G53=6,G53=8),G55="DC"),LOOKUP(G83,T!$X397:$X407,T!$U397:$U407),IF(AND(G51="4J2",OR(G53=2,G53=4,G53=6,G53=8),G55="AC"),LOOKUP(G83,T!$X397:$X407,T!$V397:$V407),IF(AND(G51="4J2",OR(G53=3,G53=5,G53=7,G53=9),G55="AC"),LOOKUP(G83,T!$X397:$X407,T!$W397:$W407),IF(AND(G51="4J3",OR(G53=2,G53=4,G53=7,G53=8),G55="DC"),LOOKUP(G83,T!$AA413:$AA426,T!$U413:$U426),IF(AND(G51="4J3",OR(G53=2,G53=4),G55="AC"),LOOKUP(G83,T!$AA413:$AA426,T!$V413:$V426),IF(AND(G51="4J3",OR(G53=9,G53=10),G55="AC"),LOOKUP(G83,T!$AA413:$AA426,T!$W413:$W426),IF(AND(G51="4J3",G53=6,G55="AC"),LOOKUP(G83,T!$AA413:$AA426,T!$X413:$X426),IF(AND(G51="4J3",OR(G53=3,G53=5),G55="AC"),LOOKUP(G83,T!$AA413:$AA426,T!$Y413:$Y426),IF(AND(G51="4J3",OR(G53=11,G53=12),G55="AC"),LOOKUP(G83,T!$AA413:$AA426,T!$Z413:$Z426),IF(AND(G51="4J4",OR(G53=2,G53=4,G53=6),G55="DC"),LOOKUP(G83,T!$X432:$X442,T!$U432:$U442),IF(AND(G51="4J4",OR(G53=2,G53=4,G53=6),G55="AC"),LOOKUP(G83,T!$X432:$X442,T!$V432:$V442),IF(AND(G51="4J4",OR(G53=3,G53=5,G53=7),G55="AC"),LOOKUP(G83,T!$X432:$X442,T!$W432:$W442),0)))))))))))))))))))),0)))*G23*G69)/1000))</f>
        <v>0</v>
      </c>
      <c r="H101" s="163">
        <f ca="1">IF(H29="","",IF(OR(COUNT(H19:H21)=3,COUNT(H19:H21)=1),(IF(H29="",0,IF(ISNUMBER(SEARCH("4H",H51)),IF(AND(H51="4H1",OR(H53=2,H53=4,H53=6,H53=8,H53=11),H55="DC"),LOOKUP(H83,T!$AC308:$AC321,T!$U308:$U321),IF(AND(H51="4H1",OR(H53=2,H53=4),H55="AC"),LOOKUP(H83,T!$AC308:$AC321,T!$V308:$V321),IF(AND(H51="4H1",OR(H53=6,H53=8),H55="AC"),LOOKUP(H83,T!$AC308:$AC321,T!$W308:$W321),IF(AND(H51="4H1",OR(H53=11,H53=12),H55="AC",H57=1),LOOKUP(H83,T!$AC308:$AC321,T!$X308:$X321),IF(AND(H51="4H1",OR(H53=3,H53=5),H55="AC"),LOOKUP(H83,T!$AC308:$AC321,T!$Y308:$Y321),IF(AND(H51="4H1",OR(H53=7,H53=10),H55="AC"),LOOKUP(H83,T!$AC308:$AC321,T!$Z308:$Z321),IF(AND(H51="4H1",H53=9,H55="AC"),LOOKUP(H83,T!$AC308:$AC321,T!$AA308:$AA321),IF(AND(H51="4H1",OR(H53=11,H53=12),H55="AC",H57=3),LOOKUP(H83,T!$AC308:$AC321,T!$AB308:$AB321),IF(AND(H51="4H2",OR(H53=2,H53=4,H53=6,H53=8),H55="DC"),LOOKUP(H83,T!$X327:$X337,T!$U327:$U337),IF(AND(H51="4H2",OR(H53=2,H53=4,H53=6,H53=8),H55="AC"),LOOKUP(H83,T!$X327:$X337,T!$V327:$V337),IF(AND(H51="4H2",OR(H53=3,H53=5,H53=7,H53=9),H55="AC"),LOOKUP(H83,T!$X327:$X337,T!$W327:$W337),IF(AND(H51="4H3",OR(H53=2,H53=4,H53=7,H53=8),H55="DC"),LOOKUP(H83,T!$AA343:$AA356,T!$U343:$U356),IF(AND(H51="4H3",OR(H53=2,H53=4),H55="AC"),LOOKUP(H83,T!$AA343:$AA356,T!$V343:$V356),IF(AND(H51="4H3",OR(H53=9,H53=10),H55="AC"),LOOKUP(H83,T!$AA343:$AA$356,T!$W343:$W356),IF(AND(H51="4H3",H53=6,H55="AC"),LOOKUP(H83,T!$AA343:$AA356,T!$X343:$X356),IF(AND(H51="4H3",OR(H53=3,H53=5),H55="AC"),LOOKUP(H83,T!$AA343:$AA356,T!$Y343:$Y356),IF(AND(H51="4H3",OR(H53=11,H53=12),H55="AC"),LOOKUP(H83,T!$AA343:$AA356,T!$Z343:$Z356),IF(AND(H51="4H4",OR(H53=2,H53=4,H53=6),H55="DC"),LOOKUP(H83,T!$X362:$X372,T!$U362:$U372),IF(AND(H51="4H4",OR(H53=2,H53=4,H53=6),H55="AC"),LOOKUP(H83,T!$X362:$X372,T!$V362:$V372),IF(AND(H51="4H4",OR(H53=3,H53=5,H53=7),H55="AC"),LOOKUP(H83,T!$X362:$X372,T!$W362:$W372),0)))))))))))))))))))),IF(ISNUMBER(SEARCH("4J",H51)),IF(AND(H51="4J1",OR(H53=2,H53=4,H53=6,H53=8,H53=11),H55="DC"),LOOKUP(H83,T!$AC378:$AC391,T!$U378:$U391),IF(AND(H51="4J1",OR(H53=2,H53=4),H55="AC"),LOOKUP(H83,T!$AC378:$AC391,T!$V378:$V391),IF(AND(H51="4J1",OR(H53=6,H53=8),H55="AC"),LOOKUP(H83,T!$AC378:$AC391,T!$W378:$W391),IF(AND(H51="4J1",OR(H53=11,H53=12),H55="AC",H57=1),LOOKUP(H83,T!$AC378:$AC391,T!$X378:$X391),IF(AND(H51="4J1",OR(H53=3,H53=5),H55="AC"),LOOKUP(H83,T!$AC378:$AC391,T!$Y378:$Y391),IF(AND(H51="4J1",OR(H53=7,H53=10),H55="AC"),LOOKUP(H83,T!$AC378:$AC391,T!$Z378:$Z391),IF(AND(H51="4J1",H53=9,H55="AC"),LOOKUP(H83,T!$AC378:$AC391,T!$AA378:$AA391),IF(AND(H51="4J1",OR(H53=11,H53=12),H55="AC",H57=3),LOOKUP(H83,T!$AC378:$AC391,T!$AB378:$AB391),IF(AND(H51="4J2",OR(H53=2,H53=4,H53=6,H53=8),H55="DC"),LOOKUP(H83,T!$X397:$X407,T!$U397:$U407),IF(AND(H51="4J2",OR(H53=2,H53=4,H53=6,H53=8),H55="AC"),LOOKUP(H83,T!$X397:$X407,T!$V397:$V407),IF(AND(H51="4J2",OR(H53=3,H53=5,H53=7,H53=9),H55="AC"),LOOKUP(H83,T!$X397:$X407,T!$W397:$W407),IF(AND(H51="4J3",OR(H53=2,H53=4,H53=7,H53=8),H55="DC"),LOOKUP(H83,T!$AA413:$AA426,T!$U413:$U426),IF(AND(H51="4J3",OR(H53=2,H53=4),H55="AC"),LOOKUP(H83,T!$AA413:$AA426,T!$V413:$V426),IF(AND(H51="4J3",OR(H53=9,H53=10),H55="AC"),LOOKUP(H83,T!$AA413:$AA426,T!$W413:$W426),IF(AND(H51="4J3",H53=6,H55="AC"),LOOKUP(H83,T!$AA413:$AA426,T!$X413:$X426),IF(AND(H51="4J3",OR(H53=3,H53=5),H55="AC"),LOOKUP(H83,T!$AA413:$AA426,T!$Y413:$Y426),IF(AND(H51="4J3",OR(H53=11,H53=12),H55="AC"),LOOKUP(H83,T!$AA413:$AA426,T!$Z413:$Z426),IF(AND(H51="4J4",OR(H53=2,H53=4,H53=6),H55="DC"),LOOKUP(H83,T!$X432:$X442,T!$U432:$U442),IF(AND(H51="4J4",OR(H53=2,H53=4,H53=6),H55="AC"),LOOKUP(H83,T!$X432:$X442,T!$V432:$V442),IF(AND(H51="4J4",OR(H53=3,H53=5,H53=7),H55="AC"),LOOKUP(H83,T!$X432:$X442,T!$W432:$W442),0)))))))))))))))))))),0)))*H23*H69)/1000))</f>
        <v>0</v>
      </c>
      <c r="I101" s="163">
        <f>IF(I29="","",IF(OR(COUNT(I19:I21)=3,COUNT(I19:I21)=1),(IF(I29="",0,IF(ISNUMBER(SEARCH("4H",I51)),IF(AND(I51="4H1",OR(I53=2,I53=4,I53=6,I53=8,I53=11),I55="DC"),LOOKUP(I83,T!$AC308:$AC321,T!$U308:$U321),IF(AND(I51="4H1",OR(I53=2,I53=4),I55="AC"),LOOKUP(I83,T!$AC308:$AC321,T!$V308:$V321),IF(AND(I51="4H1",OR(I53=6,I53=8),I55="AC"),LOOKUP(I83,T!$AC308:$AC321,T!$W308:$W321),IF(AND(I51="4H1",OR(I53=11,I53=12),I55="AC",I57=1),LOOKUP(I83,T!$AC308:$AC321,T!$X308:$X321),IF(AND(I51="4H1",OR(I53=3,I53=5),I55="AC"),LOOKUP(I83,T!$AC308:$AC321,T!$Y308:$Y321),IF(AND(I51="4H1",OR(I53=7,I53=10),I55="AC"),LOOKUP(I83,T!$AC308:$AC321,T!$Z308:$Z321),IF(AND(I51="4H1",I53=9,I55="AC"),LOOKUP(I83,T!$AC308:$AC321,T!$AA308:$AA321),IF(AND(I51="4H1",OR(I53=11,I53=12),I55="AC",I57=3),LOOKUP(I83,T!$AC308:$AC321,T!$AB308:$AB321),IF(AND(I51="4H2",OR(I53=2,I53=4,I53=6,I53=8),I55="DC"),LOOKUP(I83,T!$X327:$X337,T!$U327:$U337),IF(AND(I51="4H2",OR(I53=2,I53=4,I53=6,I53=8),I55="AC"),LOOKUP(I83,T!$X327:$X337,T!$V327:$V337),IF(AND(I51="4H2",OR(I53=3,I53=5,I53=7,I53=9),I55="AC"),LOOKUP(I83,T!$X327:$X337,T!$W327:$W337),IF(AND(I51="4H3",OR(I53=2,I53=4,I53=7,I53=8),I55="DC"),LOOKUP(I83,T!$AA343:$AA356,T!$U343:$U356),IF(AND(I51="4H3",OR(I53=2,I53=4),I55="AC"),LOOKUP(I83,T!$AA343:$AA356,T!$V343:$V356),IF(AND(I51="4H3",OR(I53=9,I53=10),I55="AC"),LOOKUP(I83,T!$AA343:$AA$356,T!$W343:$W356),IF(AND(I51="4H3",I53=6,I55="AC"),LOOKUP(I83,T!$AA343:$AA356,T!$X343:$X356),IF(AND(I51="4H3",OR(I53=3,I53=5),I55="AC"),LOOKUP(I83,T!$AA343:$AA356,T!$Y343:$Y356),IF(AND(I51="4H3",OR(I53=11,I53=12),I55="AC"),LOOKUP(I83,T!$AA343:$AA356,T!$Z343:$Z356),IF(AND(I51="4H4",OR(I53=2,I53=4,I53=6),I55="DC"),LOOKUP(I83,T!$X362:$X372,T!$U362:$U372),IF(AND(I51="4H4",OR(I53=2,I53=4,I53=6),I55="AC"),LOOKUP(I83,T!$X362:$X372,T!$V362:$V372),IF(AND(I51="4H4",OR(I53=3,I53=5,I53=7),I55="AC"),LOOKUP(I83,T!$X362:$X372,T!$W362:$W372),0)))))))))))))))))))),IF(ISNUMBER(SEARCH("4J",I51)),IF(AND(I51="4J1",OR(I53=2,I53=4,I53=6,I53=8,I53=11),I55="DC"),LOOKUP(I83,T!$AC378:$AC391,T!$U378:$U391),IF(AND(I51="4J1",OR(I53=2,I53=4),I55="AC"),LOOKUP(I83,T!$AC378:$AC391,T!$V378:$V391),IF(AND(I51="4J1",OR(I53=6,I53=8),I55="AC"),LOOKUP(I83,T!$AC378:$AC391,T!$W378:$W391),IF(AND(I51="4J1",OR(I53=11,I53=12),I55="AC",I57=1),LOOKUP(I83,T!$AC378:$AC391,T!$X378:$X391),IF(AND(I51="4J1",OR(I53=3,I53=5),I55="AC"),LOOKUP(I83,T!$AC378:$AC391,T!$Y378:$Y391),IF(AND(I51="4J1",OR(I53=7,I53=10),I55="AC"),LOOKUP(I83,T!$AC378:$AC391,T!$Z378:$Z391),IF(AND(I51="4J1",I53=9,I55="AC"),LOOKUP(I83,T!$AC378:$AC391,T!$AA378:$AA391),IF(AND(I51="4J1",OR(I53=11,I53=12),I55="AC",I57=3),LOOKUP(I83,T!$AC378:$AC391,T!$AB378:$AB391),IF(AND(I51="4J2",OR(I53=2,I53=4,I53=6,I53=8),I55="DC"),LOOKUP(I83,T!$X397:$X407,T!$U397:$U407),IF(AND(I51="4J2",OR(I53=2,I53=4,I53=6,I53=8),I55="AC"),LOOKUP(I83,T!$X397:$X407,T!$V397:$V407),IF(AND(I51="4J2",OR(I53=3,I53=5,I53=7,I53=9),I55="AC"),LOOKUP(I83,T!$X397:$X407,T!$W397:$W407),IF(AND(I51="4J3",OR(I53=2,I53=4,I53=7,I53=8),I55="DC"),LOOKUP(I83,T!$AA413:$AA426,T!$U413:$U426),IF(AND(I51="4J3",OR(I53=2,I53=4),I55="AC"),LOOKUP(I83,T!$AA413:$AA426,T!$V413:$V426),IF(AND(I51="4J3",OR(I53=9,I53=10),I55="AC"),LOOKUP(I83,T!$AA413:$AA426,T!$W413:$W426),IF(AND(I51="4J3",I53=6,I55="AC"),LOOKUP(I83,T!$AA413:$AA426,T!$X413:$X426),IF(AND(I51="4J3",OR(I53=3,I53=5),I55="AC"),LOOKUP(I83,T!$AA413:$AA426,T!$Y413:$Y426),IF(AND(I51="4J3",OR(I53=11,I53=12),I55="AC"),LOOKUP(I83,T!$AA413:$AA426,T!$Z413:$Z426),IF(AND(I51="4J4",OR(I53=2,I53=4,I53=6),I55="DC"),LOOKUP(I83,T!$X432:$X442,T!$U432:$U442),IF(AND(I51="4J4",OR(I53=2,I53=4,I53=6),I55="AC"),LOOKUP(I83,T!$X432:$X442,T!$V432:$V442),IF(AND(I51="4J4",OR(I53=3,I53=5,I53=7),I55="AC"),LOOKUP(I83,T!$X432:$X442,T!$W432:$W442),0)))))))))))))))))))),0)))*I23*I69)/1000))</f>
        <v>0</v>
      </c>
      <c r="J101" s="163">
        <f>IF(J29="","",IF(OR(COUNT(J19:J21)=3,COUNT(J19:J21)=1),(IF(J29="",0,IF(ISNUMBER(SEARCH("4H",J51)),IF(AND(J51="4H1",OR(J53=2,J53=4,J53=6,J53=8,J53=11),J55="DC"),LOOKUP(J83,T!$AC308:$AC321,T!$U308:$U321),IF(AND(J51="4H1",OR(J53=2,J53=4),J55="AC"),LOOKUP(J83,T!$AC308:$AC321,T!$V308:$V321),IF(AND(J51="4H1",OR(J53=6,J53=8),J55="AC"),LOOKUP(J83,T!$AC308:$AC321,T!$W308:$W321),IF(AND(J51="4H1",OR(J53=11,J53=12),J55="AC",J57=1),LOOKUP(J83,T!$AC308:$AC321,T!$X308:$X321),IF(AND(J51="4H1",OR(J53=3,J53=5),J55="AC"),LOOKUP(J83,T!$AC308:$AC321,T!$Y308:$Y321),IF(AND(J51="4H1",OR(J53=7,J53=10),J55="AC"),LOOKUP(J83,T!$AC308:$AC321,T!$Z308:$Z321),IF(AND(J51="4H1",J53=9,J55="AC"),LOOKUP(J83,T!$AC308:$AC321,T!$AA308:$AA321),IF(AND(J51="4H1",OR(J53=11,J53=12),J55="AC",J57=3),LOOKUP(J83,T!$AC308:$AC321,T!$AB308:$AB321),IF(AND(J51="4H2",OR(J53=2,J53=4,J53=6,J53=8),J55="DC"),LOOKUP(J83,T!$X327:$X337,T!$U327:$U337),IF(AND(J51="4H2",OR(J53=2,J53=4,J53=6,J53=8),J55="AC"),LOOKUP(J83,T!$X327:$X337,T!$V327:$V337),IF(AND(J51="4H2",OR(J53=3,J53=5,J53=7,J53=9),J55="AC"),LOOKUP(J83,T!$X327:$X337,T!$W327:$W337),IF(AND(J51="4H3",OR(J53=2,J53=4,J53=7,J53=8),J55="DC"),LOOKUP(J83,T!$AA343:$AA356,T!$U343:$U356),IF(AND(J51="4H3",OR(J53=2,J53=4),J55="AC"),LOOKUP(J83,T!$AA343:$AA356,T!$V343:$V356),IF(AND(J51="4H3",OR(J53=9,J53=10),J55="AC"),LOOKUP(J83,T!$AA343:$AA$356,T!$W343:$W356),IF(AND(J51="4H3",J53=6,J55="AC"),LOOKUP(J83,T!$AA343:$AA356,T!$X343:$X356),IF(AND(J51="4H3",OR(J53=3,J53=5),J55="AC"),LOOKUP(J83,T!$AA343:$AA356,T!$Y343:$Y356),IF(AND(J51="4H3",OR(J53=11,J53=12),J55="AC"),LOOKUP(J83,T!$AA343:$AA356,T!$Z343:$Z356),IF(AND(J51="4H4",OR(J53=2,J53=4,J53=6),J55="DC"),LOOKUP(J83,T!$X362:$X372,T!$U362:$U372),IF(AND(J51="4H4",OR(J53=2,J53=4,J53=6),J55="AC"),LOOKUP(J83,T!$X362:$X372,T!$V362:$V372),IF(AND(J51="4H4",OR(J53=3,J53=5,J53=7),J55="AC"),LOOKUP(J83,T!$X362:$X372,T!$W362:$W372),0)))))))))))))))))))),IF(ISNUMBER(SEARCH("4J",J51)),IF(AND(J51="4J1",OR(J53=2,J53=4,J53=6,J53=8,J53=11),J55="DC"),LOOKUP(J83,T!$AC378:$AC391,T!$U378:$U391),IF(AND(J51="4J1",OR(J53=2,J53=4),J55="AC"),LOOKUP(J83,T!$AC378:$AC391,T!$V378:$V391),IF(AND(J51="4J1",OR(J53=6,J53=8),J55="AC"),LOOKUP(J83,T!$AC378:$AC391,T!$W378:$W391),IF(AND(J51="4J1",OR(J53=11,J53=12),J55="AC",J57=1),LOOKUP(J83,T!$AC378:$AC391,T!$X378:$X391),IF(AND(J51="4J1",OR(J53=3,J53=5),J55="AC"),LOOKUP(J83,T!$AC378:$AC391,T!$Y378:$Y391),IF(AND(J51="4J1",OR(J53=7,J53=10),J55="AC"),LOOKUP(J83,T!$AC378:$AC391,T!$Z378:$Z391),IF(AND(J51="4J1",J53=9,J55="AC"),LOOKUP(J83,T!$AC378:$AC391,T!$AA378:$AA391),IF(AND(J51="4J1",OR(J53=11,J53=12),J55="AC",J57=3),LOOKUP(J83,T!$AC378:$AC391,T!$AB378:$AB391),IF(AND(J51="4J2",OR(J53=2,J53=4,J53=6,J53=8),J55="DC"),LOOKUP(J83,T!$X397:$X407,T!$U397:$U407),IF(AND(J51="4J2",OR(J53=2,J53=4,J53=6,J53=8),J55="AC"),LOOKUP(J83,T!$X397:$X407,T!$V397:$V407),IF(AND(J51="4J2",OR(J53=3,J53=5,J53=7,J53=9),J55="AC"),LOOKUP(J83,T!$X397:$X407,T!$W397:$W407),IF(AND(J51="4J3",OR(J53=2,J53=4,J53=7,J53=8),J55="DC"),LOOKUP(J83,T!$AA413:$AA426,T!$U413:$U426),IF(AND(J51="4J3",OR(J53=2,J53=4),J55="AC"),LOOKUP(J83,T!$AA413:$AA426,T!$V413:$V426),IF(AND(J51="4J3",OR(J53=9,J53=10),J55="AC"),LOOKUP(J83,T!$AA413:$AA426,T!$W413:$W426),IF(AND(J51="4J3",J53=6,J55="AC"),LOOKUP(J83,T!$AA413:$AA426,T!$X413:$X426),IF(AND(J51="4J3",OR(J53=3,J53=5),J55="AC"),LOOKUP(J83,T!$AA413:$AA426,T!$Y413:$Y426),IF(AND(J51="4J3",OR(J53=11,J53=12),J55="AC"),LOOKUP(J83,T!$AA413:$AA426,T!$Z413:$Z426),IF(AND(J51="4J4",OR(J53=2,J53=4,J53=6),J55="DC"),LOOKUP(J83,T!$X432:$X442,T!$U432:$U442),IF(AND(J51="4J4",OR(J53=2,J53=4,J53=6),J55="AC"),LOOKUP(J83,T!$X432:$X442,T!$V432:$V442),IF(AND(J51="4J4",OR(J53=3,J53=5,J53=7),J55="AC"),LOOKUP(J83,T!$X432:$X442,T!$W432:$W442),0)))))))))))))))))))),0)))*J23*J69)/1000))</f>
        <v>0</v>
      </c>
      <c r="K101" s="163">
        <f>IF(K29="","",IF(OR(COUNT(K19:K21)=3,COUNT(K19:K21)=1),(IF(K29="",0,IF(ISNUMBER(SEARCH("4H",K51)),IF(AND(K51="4H1",OR(K53=2,K53=4,K53=6,K53=8,K53=11),K55="DC"),LOOKUP(K83,T!$AC308:$AC321,T!$U308:$U321),IF(AND(K51="4H1",OR(K53=2,K53=4),K55="AC"),LOOKUP(K83,T!$AC308:$AC321,T!$V308:$V321),IF(AND(K51="4H1",OR(K53=6,K53=8),K55="AC"),LOOKUP(K83,T!$AC308:$AC321,T!$W308:$W321),IF(AND(K51="4H1",OR(K53=11,K53=12),K55="AC",K57=1),LOOKUP(K83,T!$AC308:$AC321,T!$X308:$X321),IF(AND(K51="4H1",OR(K53=3,K53=5),K55="AC"),LOOKUP(K83,T!$AC308:$AC321,T!$Y308:$Y321),IF(AND(K51="4H1",OR(K53=7,K53=10),K55="AC"),LOOKUP(K83,T!$AC308:$AC321,T!$Z308:$Z321),IF(AND(K51="4H1",K53=9,K55="AC"),LOOKUP(K83,T!$AC308:$AC321,T!$AA308:$AA321),IF(AND(K51="4H1",OR(K53=11,K53=12),K55="AC",K57=3),LOOKUP(K83,T!$AC308:$AC321,T!$AB308:$AB321),IF(AND(K51="4H2",OR(K53=2,K53=4,K53=6,K53=8),K55="DC"),LOOKUP(K83,T!$X327:$X337,T!$U327:$U337),IF(AND(K51="4H2",OR(K53=2,K53=4,K53=6,K53=8),K55="AC"),LOOKUP(K83,T!$X327:$X337,T!$V327:$V337),IF(AND(K51="4H2",OR(K53=3,K53=5,K53=7,K53=9),K55="AC"),LOOKUP(K83,T!$X327:$X337,T!$W327:$W337),IF(AND(K51="4H3",OR(K53=2,K53=4,K53=7,K53=8),K55="DC"),LOOKUP(K83,T!$AA343:$AA356,T!$U343:$U356),IF(AND(K51="4H3",OR(K53=2,K53=4),K55="AC"),LOOKUP(K83,T!$AA343:$AA356,T!$V343:$V356),IF(AND(K51="4H3",OR(K53=9,K53=10),K55="AC"),LOOKUP(K83,T!$AA343:$AA$356,T!$W343:$W356),IF(AND(K51="4H3",K53=6,K55="AC"),LOOKUP(K83,T!$AA343:$AA356,T!$X343:$X356),IF(AND(K51="4H3",OR(K53=3,K53=5),K55="AC"),LOOKUP(K83,T!$AA343:$AA356,T!$Y343:$Y356),IF(AND(K51="4H3",OR(K53=11,K53=12),K55="AC"),LOOKUP(K83,T!$AA343:$AA356,T!$Z343:$Z356),IF(AND(K51="4H4",OR(K53=2,K53=4,K53=6),K55="DC"),LOOKUP(K83,T!$X362:$X372,T!$U362:$U372),IF(AND(K51="4H4",OR(K53=2,K53=4,K53=6),K55="AC"),LOOKUP(K83,T!$X362:$X372,T!$V362:$V372),IF(AND(K51="4H4",OR(K53=3,K53=5,K53=7),K55="AC"),LOOKUP(K83,T!$X362:$X372,T!$W362:$W372),0)))))))))))))))))))),IF(ISNUMBER(SEARCH("4J",K51)),IF(AND(K51="4J1",OR(K53=2,K53=4,K53=6,K53=8,K53=11),K55="DC"),LOOKUP(K83,T!$AC378:$AC391,T!$U378:$U391),IF(AND(K51="4J1",OR(K53=2,K53=4),K55="AC"),LOOKUP(K83,T!$AC378:$AC391,T!$V378:$V391),IF(AND(K51="4J1",OR(K53=6,K53=8),K55="AC"),LOOKUP(K83,T!$AC378:$AC391,T!$W378:$W391),IF(AND(K51="4J1",OR(K53=11,K53=12),K55="AC",K57=1),LOOKUP(K83,T!$AC378:$AC391,T!$X378:$X391),IF(AND(K51="4J1",OR(K53=3,K53=5),K55="AC"),LOOKUP(K83,T!$AC378:$AC391,T!$Y378:$Y391),IF(AND(K51="4J1",OR(K53=7,K53=10),K55="AC"),LOOKUP(K83,T!$AC378:$AC391,T!$Z378:$Z391),IF(AND(K51="4J1",K53=9,K55="AC"),LOOKUP(K83,T!$AC378:$AC391,T!$AA378:$AA391),IF(AND(K51="4J1",OR(K53=11,K53=12),K55="AC",K57=3),LOOKUP(K83,T!$AC378:$AC391,T!$AB378:$AB391),IF(AND(K51="4J2",OR(K53=2,K53=4,K53=6,K53=8),K55="DC"),LOOKUP(K83,T!$X397:$X407,T!$U397:$U407),IF(AND(K51="4J2",OR(K53=2,K53=4,K53=6,K53=8),K55="AC"),LOOKUP(K83,T!$X397:$X407,T!$V397:$V407),IF(AND(K51="4J2",OR(K53=3,K53=5,K53=7,K53=9),K55="AC"),LOOKUP(K83,T!$X397:$X407,T!$W397:$W407),IF(AND(K51="4J3",OR(K53=2,K53=4,K53=7,K53=8),K55="DC"),LOOKUP(K83,T!$AA413:$AA426,T!$U413:$U426),IF(AND(K51="4J3",OR(K53=2,K53=4),K55="AC"),LOOKUP(K83,T!$AA413:$AA426,T!$V413:$V426),IF(AND(K51="4J3",OR(K53=9,K53=10),K55="AC"),LOOKUP(K83,T!$AA413:$AA426,T!$W413:$W426),IF(AND(K51="4J3",K53=6,K55="AC"),LOOKUP(K83,T!$AA413:$AA426,T!$X413:$X426),IF(AND(K51="4J3",OR(K53=3,K53=5),K55="AC"),LOOKUP(K83,T!$AA413:$AA426,T!$Y413:$Y426),IF(AND(K51="4J3",OR(K53=11,K53=12),K55="AC"),LOOKUP(K83,T!$AA413:$AA426,T!$Z413:$Z426),IF(AND(K51="4J4",OR(K53=2,K53=4,K53=6),K55="DC"),LOOKUP(K83,T!$X432:$X442,T!$U432:$U442),IF(AND(K51="4J4",OR(K53=2,K53=4,K53=6),K55="AC"),LOOKUP(K83,T!$X432:$X442,T!$V432:$V442),IF(AND(K51="4J4",OR(K53=3,K53=5,K53=7),K55="AC"),LOOKUP(K83,T!$X432:$X442,T!$W432:$W442),0)))))))))))))))))))),0)))*K23*K69)/1000))</f>
        <v>0</v>
      </c>
      <c r="L101" s="163">
        <f>IF(L29="","",IF(OR(COUNT(L19:L21)=3,COUNT(L19:L21)=1),(IF(L29="",0,IF(ISNUMBER(SEARCH("4H",L51)),IF(AND(L51="4H1",OR(L53=2,L53=4,L53=6,L53=8,L53=11),L55="DC"),LOOKUP(L83,T!$AC308:$AC321,T!$U308:$U321),IF(AND(L51="4H1",OR(L53=2,L53=4),L55="AC"),LOOKUP(L83,T!$AC308:$AC321,T!$V308:$V321),IF(AND(L51="4H1",OR(L53=6,L53=8),L55="AC"),LOOKUP(L83,T!$AC308:$AC321,T!$W308:$W321),IF(AND(L51="4H1",OR(L53=11,L53=12),L55="AC",L57=1),LOOKUP(L83,T!$AC308:$AC321,T!$X308:$X321),IF(AND(L51="4H1",OR(L53=3,L53=5),L55="AC"),LOOKUP(L83,T!$AC308:$AC321,T!$Y308:$Y321),IF(AND(L51="4H1",OR(L53=7,L53=10),L55="AC"),LOOKUP(L83,T!$AC308:$AC321,T!$Z308:$Z321),IF(AND(L51="4H1",L53=9,L55="AC"),LOOKUP(L83,T!$AC308:$AC321,T!$AA308:$AA321),IF(AND(L51="4H1",OR(L53=11,L53=12),L55="AC",L57=3),LOOKUP(L83,T!$AC308:$AC321,T!$AB308:$AB321),IF(AND(L51="4H2",OR(L53=2,L53=4,L53=6,L53=8),L55="DC"),LOOKUP(L83,T!$X327:$X337,T!$U327:$U337),IF(AND(L51="4H2",OR(L53=2,L53=4,L53=6,L53=8),L55="AC"),LOOKUP(L83,T!$X327:$X337,T!$V327:$V337),IF(AND(L51="4H2",OR(L53=3,L53=5,L53=7,L53=9),L55="AC"),LOOKUP(L83,T!$X327:$X337,T!$W327:$W337),IF(AND(L51="4H3",OR(L53=2,L53=4,L53=7,L53=8),L55="DC"),LOOKUP(L83,T!$AA343:$AA356,T!$U343:$U356),IF(AND(L51="4H3",OR(L53=2,L53=4),L55="AC"),LOOKUP(L83,T!$AA343:$AA356,T!$V343:$V356),IF(AND(L51="4H3",OR(L53=9,L53=10),L55="AC"),LOOKUP(L83,T!$AA343:$AA$356,T!$W343:$W356),IF(AND(L51="4H3",L53=6,L55="AC"),LOOKUP(L83,T!$AA343:$AA356,T!$X343:$X356),IF(AND(L51="4H3",OR(L53=3,L53=5),L55="AC"),LOOKUP(L83,T!$AA343:$AA356,T!$Y343:$Y356),IF(AND(L51="4H3",OR(L53=11,L53=12),L55="AC"),LOOKUP(L83,T!$AA343:$AA356,T!$Z343:$Z356),IF(AND(L51="4H4",OR(L53=2,L53=4,L53=6),L55="DC"),LOOKUP(L83,T!$X362:$X372,T!$U362:$U372),IF(AND(L51="4H4",OR(L53=2,L53=4,L53=6),L55="AC"),LOOKUP(L83,T!$X362:$X372,T!$V362:$V372),IF(AND(L51="4H4",OR(L53=3,L53=5,L53=7),L55="AC"),LOOKUP(L83,T!$X362:$X372,T!$W362:$W372),0)))))))))))))))))))),IF(ISNUMBER(SEARCH("4J",L51)),IF(AND(L51="4J1",OR(L53=2,L53=4,L53=6,L53=8,L53=11),L55="DC"),LOOKUP(L83,T!$AC378:$AC391,T!$U378:$U391),IF(AND(L51="4J1",OR(L53=2,L53=4),L55="AC"),LOOKUP(L83,T!$AC378:$AC391,T!$V378:$V391),IF(AND(L51="4J1",OR(L53=6,L53=8),L55="AC"),LOOKUP(L83,T!$AC378:$AC391,T!$W378:$W391),IF(AND(L51="4J1",OR(L53=11,L53=12),L55="AC",L57=1),LOOKUP(L83,T!$AC378:$AC391,T!$X378:$X391),IF(AND(L51="4J1",OR(L53=3,L53=5),L55="AC"),LOOKUP(L83,T!$AC378:$AC391,T!$Y378:$Y391),IF(AND(L51="4J1",OR(L53=7,L53=10),L55="AC"),LOOKUP(L83,T!$AC378:$AC391,T!$Z378:$Z391),IF(AND(L51="4J1",L53=9,L55="AC"),LOOKUP(L83,T!$AC378:$AC391,T!$AA378:$AA391),IF(AND(L51="4J1",OR(L53=11,L53=12),L55="AC",L57=3),LOOKUP(L83,T!$AC378:$AC391,T!$AB378:$AB391),IF(AND(L51="4J2",OR(L53=2,L53=4,L53=6,L53=8),L55="DC"),LOOKUP(L83,T!$X397:$X407,T!$U397:$U407),IF(AND(L51="4J2",OR(L53=2,L53=4,L53=6,L53=8),L55="AC"),LOOKUP(L83,T!$X397:$X407,T!$V397:$V407),IF(AND(L51="4J2",OR(L53=3,L53=5,L53=7,L53=9),L55="AC"),LOOKUP(L83,T!$X397:$X407,T!$W397:$W407),IF(AND(L51="4J3",OR(L53=2,L53=4,L53=7,L53=8),L55="DC"),LOOKUP(L83,T!$AA413:$AA426,T!$U413:$U426),IF(AND(L51="4J3",OR(L53=2,L53=4),L55="AC"),LOOKUP(L83,T!$AA413:$AA426,T!$V413:$V426),IF(AND(L51="4J3",OR(L53=9,L53=10),L55="AC"),LOOKUP(L83,T!$AA413:$AA426,T!$W413:$W426),IF(AND(L51="4J3",L53=6,L55="AC"),LOOKUP(L83,T!$AA413:$AA426,T!$X413:$X426),IF(AND(L51="4J3",OR(L53=3,L53=5),L55="AC"),LOOKUP(L83,T!$AA413:$AA426,T!$Y413:$Y426),IF(AND(L51="4J3",OR(L53=11,L53=12),L55="AC"),LOOKUP(L83,T!$AA413:$AA426,T!$Z413:$Z426),IF(AND(L51="4J4",OR(L53=2,L53=4,L53=6),L55="DC"),LOOKUP(L83,T!$X432:$X442,T!$U432:$U442),IF(AND(L51="4J4",OR(L53=2,L53=4,L53=6),L55="AC"),LOOKUP(L83,T!$X432:$X442,T!$V432:$V442),IF(AND(L51="4J4",OR(L53=3,L53=5,L53=7),L55="AC"),LOOKUP(L83,T!$X432:$X442,T!$W432:$W442),0)))))))))))))))))))),0)))*L23*L69)/1000))</f>
        <v>0</v>
      </c>
      <c r="M101" s="163" t="str">
        <f>IF(M29="","",IF(OR(COUNT(M19:M21)=3,COUNT(M19:M21)=1),(IF(M29="",0,IF(ISNUMBER(SEARCH("4H",M51)),IF(AND(M51="4H1",OR(M53=2,M53=4,M53=6,M53=8,M53=11),M55="DC"),LOOKUP(M83,T!$AC308:$AC321,T!$U308:$U321),IF(AND(M51="4H1",OR(M53=2,M53=4),M55="AC"),LOOKUP(M83,T!$AC308:$AC321,T!$V308:$V321),IF(AND(M51="4H1",OR(M53=6,M53=8),M55="AC"),LOOKUP(M83,T!$AC308:$AC321,T!$W308:$W321),IF(AND(M51="4H1",OR(M53=11,M53=12),M55="AC",M57=1),LOOKUP(M83,T!$AC308:$AC321,T!$X308:$X321),IF(AND(M51="4H1",OR(M53=3,M53=5),M55="AC"),LOOKUP(M83,T!$AC308:$AC321,T!$Y308:$Y321),IF(AND(M51="4H1",OR(M53=7,M53=10),M55="AC"),LOOKUP(M83,T!$AC308:$AC321,T!$Z308:$Z321),IF(AND(M51="4H1",M53=9,M55="AC"),LOOKUP(M83,T!$AC308:$AC321,T!$AA308:$AA321),IF(AND(M51="4H1",OR(M53=11,M53=12),M55="AC",M57=3),LOOKUP(M83,T!$AC308:$AC321,T!$AB308:$AB321),IF(AND(M51="4H2",OR(M53=2,M53=4,M53=6,M53=8),M55="DC"),LOOKUP(M83,T!$X327:$X337,T!$U327:$U337),IF(AND(M51="4H2",OR(M53=2,M53=4,M53=6,M53=8),M55="AC"),LOOKUP(M83,T!$X327:$X337,T!$V327:$V337),IF(AND(M51="4H2",OR(M53=3,M53=5,M53=7,M53=9),M55="AC"),LOOKUP(M83,T!$X327:$X337,T!$W327:$W337),IF(AND(M51="4H3",OR(M53=2,M53=4,M53=7,M53=8),M55="DC"),LOOKUP(M83,T!$AA343:$AA356,T!$U343:$U356),IF(AND(M51="4H3",OR(M53=2,M53=4),M55="AC"),LOOKUP(M83,T!$AA343:$AA356,T!$V343:$V356),IF(AND(M51="4H3",OR(M53=9,M53=10),M55="AC"),LOOKUP(M83,T!$AA343:$AA$356,T!$W343:$W356),IF(AND(M51="4H3",M53=6,M55="AC"),LOOKUP(M83,T!$AA343:$AA356,T!$X343:$X356),IF(AND(M51="4H3",OR(M53=3,M53=5),M55="AC"),LOOKUP(M83,T!$AA343:$AA356,T!$Y343:$Y356),IF(AND(M51="4H3",OR(M53=11,M53=12),M55="AC"),LOOKUP(M83,T!$AA343:$AA356,T!$Z343:$Z356),IF(AND(M51="4H4",OR(M53=2,M53=4,M53=6),M55="DC"),LOOKUP(M83,T!$X362:$X372,T!$U362:$U372),IF(AND(M51="4H4",OR(M53=2,M53=4,M53=6),M55="AC"),LOOKUP(M83,T!$X362:$X372,T!$V362:$V372),IF(AND(M51="4H4",OR(M53=3,M53=5,M53=7),M55="AC"),LOOKUP(M83,T!$X362:$X372,T!$W362:$W372),0)))))))))))))))))))),IF(ISNUMBER(SEARCH("4J",M51)),IF(AND(M51="4J1",OR(M53=2,M53=4,M53=6,M53=8,M53=11),M55="DC"),LOOKUP(M83,T!$AC378:$AC391,T!$U378:$U391),IF(AND(M51="4J1",OR(M53=2,M53=4),M55="AC"),LOOKUP(M83,T!$AC378:$AC391,T!$V378:$V391),IF(AND(M51="4J1",OR(M53=6,M53=8),M55="AC"),LOOKUP(M83,T!$AC378:$AC391,T!$W378:$W391),IF(AND(M51="4J1",OR(M53=11,M53=12),M55="AC",M57=1),LOOKUP(M83,T!$AC378:$AC391,T!$X378:$X391),IF(AND(M51="4J1",OR(M53=3,M53=5),M55="AC"),LOOKUP(M83,T!$AC378:$AC391,T!$Y378:$Y391),IF(AND(M51="4J1",OR(M53=7,M53=10),M55="AC"),LOOKUP(M83,T!$AC378:$AC391,T!$Z378:$Z391),IF(AND(M51="4J1",M53=9,M55="AC"),LOOKUP(M83,T!$AC378:$AC391,T!$AA378:$AA391),IF(AND(M51="4J1",OR(M53=11,M53=12),M55="AC",M57=3),LOOKUP(M83,T!$AC378:$AC391,T!$AB378:$AB391),IF(AND(M51="4J2",OR(M53=2,M53=4,M53=6,M53=8),M55="DC"),LOOKUP(M83,T!$X397:$X407,T!$U397:$U407),IF(AND(M51="4J2",OR(M53=2,M53=4,M53=6,M53=8),M55="AC"),LOOKUP(M83,T!$X397:$X407,T!$V397:$V407),IF(AND(M51="4J2",OR(M53=3,M53=5,M53=7,M53=9),M55="AC"),LOOKUP(M83,T!$X397:$X407,T!$W397:$W407),IF(AND(M51="4J3",OR(M53=2,M53=4,M53=7,M53=8),M55="DC"),LOOKUP(M83,T!$AA413:$AA426,T!$U413:$U426),IF(AND(M51="4J3",OR(M53=2,M53=4),M55="AC"),LOOKUP(M83,T!$AA413:$AA426,T!$V413:$V426),IF(AND(M51="4J3",OR(M53=9,M53=10),M55="AC"),LOOKUP(M83,T!$AA413:$AA426,T!$W413:$W426),IF(AND(M51="4J3",M53=6,M55="AC"),LOOKUP(M83,T!$AA413:$AA426,T!$X413:$X426),IF(AND(M51="4J3",OR(M53=3,M53=5),M55="AC"),LOOKUP(M83,T!$AA413:$AA426,T!$Y413:$Y426),IF(AND(M51="4J3",OR(M53=11,M53=12),M55="AC"),LOOKUP(M83,T!$AA413:$AA426,T!$Z413:$Z426),IF(AND(M51="4J4",OR(M53=2,M53=4,M53=6),M55="DC"),LOOKUP(M83,T!$X432:$X442,T!$U432:$U442),IF(AND(M51="4J4",OR(M53=2,M53=4,M53=6),M55="AC"),LOOKUP(M83,T!$X432:$X442,T!$V432:$V442),IF(AND(M51="4J4",OR(M53=3,M53=5,M53=7),M55="AC"),LOOKUP(M83,T!$X432:$X442,T!$W432:$W442),0)))))))))))))))))))),0)))*M23*M69)/1000))</f>
        <v/>
      </c>
      <c r="N101" s="163">
        <f>IF(N29="","",IF(OR(COUNT(N19:N21)=3,COUNT(N19:N21)=1),(IF(N29="",0,IF(ISNUMBER(SEARCH("4H",N51)),IF(AND(N51="4H1",OR(N53=2,N53=4,N53=6,N53=8,N53=11),N55="DC"),LOOKUP(N83,T!$AC308:$AC321,T!$U308:$U321),IF(AND(N51="4H1",OR(N53=2,N53=4),N55="AC"),LOOKUP(N83,T!$AC308:$AC321,T!$V308:$V321),IF(AND(N51="4H1",OR(N53=6,N53=8),N55="AC"),LOOKUP(N83,T!$AC308:$AC321,T!$W308:$W321),IF(AND(N51="4H1",OR(N53=11,N53=12),N55="AC",N57=1),LOOKUP(N83,T!$AC308:$AC321,T!$X308:$X321),IF(AND(N51="4H1",OR(N53=3,N53=5),N55="AC"),LOOKUP(N83,T!$AC308:$AC321,T!$Y308:$Y321),IF(AND(N51="4H1",OR(N53=7,N53=10),N55="AC"),LOOKUP(N83,T!$AC308:$AC321,T!$Z308:$Z321),IF(AND(N51="4H1",N53=9,N55="AC"),LOOKUP(N83,T!$AC308:$AC321,T!$AA308:$AA321),IF(AND(N51="4H1",OR(N53=11,N53=12),N55="AC",N57=3),LOOKUP(N83,T!$AC308:$AC321,T!$AB308:$AB321),IF(AND(N51="4H2",OR(N53=2,N53=4,N53=6,N53=8),N55="DC"),LOOKUP(N83,T!$X327:$X337,T!$U327:$U337),IF(AND(N51="4H2",OR(N53=2,N53=4,N53=6,N53=8),N55="AC"),LOOKUP(N83,T!$X327:$X337,T!$V327:$V337),IF(AND(N51="4H2",OR(N53=3,N53=5,N53=7,N53=9),N55="AC"),LOOKUP(N83,T!$X327:$X337,T!$W327:$W337),IF(AND(N51="4H3",OR(N53=2,N53=4,N53=7,N53=8),N55="DC"),LOOKUP(N83,T!$AA343:$AA356,T!$U343:$U356),IF(AND(N51="4H3",OR(N53=2,N53=4),N55="AC"),LOOKUP(N83,T!$AA343:$AA356,T!$V343:$V356),IF(AND(N51="4H3",OR(N53=9,N53=10),N55="AC"),LOOKUP(N83,T!$AA343:$AA$356,T!$W343:$W356),IF(AND(N51="4H3",N53=6,N55="AC"),LOOKUP(N83,T!$AA343:$AA356,T!$X343:$X356),IF(AND(N51="4H3",OR(N53=3,N53=5),N55="AC"),LOOKUP(N83,T!$AA343:$AA356,T!$Y343:$Y356),IF(AND(N51="4H3",OR(N53=11,N53=12),N55="AC"),LOOKUP(N83,T!$AA343:$AA356,T!$Z343:$Z356),IF(AND(N51="4H4",OR(N53=2,N53=4,N53=6),N55="DC"),LOOKUP(N83,T!$X362:$X372,T!$U362:$U372),IF(AND(N51="4H4",OR(N53=2,N53=4,N53=6),N55="AC"),LOOKUP(N83,T!$X362:$X372,T!$V362:$V372),IF(AND(N51="4H4",OR(N53=3,N53=5,N53=7),N55="AC"),LOOKUP(N83,T!$X362:$X372,T!$W362:$W372),0)))))))))))))))))))),IF(ISNUMBER(SEARCH("4J",N51)),IF(AND(N51="4J1",OR(N53=2,N53=4,N53=6,N53=8,N53=11),N55="DC"),LOOKUP(N83,T!$AC378:$AC391,T!$U378:$U391),IF(AND(N51="4J1",OR(N53=2,N53=4),N55="AC"),LOOKUP(N83,T!$AC378:$AC391,T!$V378:$V391),IF(AND(N51="4J1",OR(N53=6,N53=8),N55="AC"),LOOKUP(N83,T!$AC378:$AC391,T!$W378:$W391),IF(AND(N51="4J1",OR(N53=11,N53=12),N55="AC",N57=1),LOOKUP(N83,T!$AC378:$AC391,T!$X378:$X391),IF(AND(N51="4J1",OR(N53=3,N53=5),N55="AC"),LOOKUP(N83,T!$AC378:$AC391,T!$Y378:$Y391),IF(AND(N51="4J1",OR(N53=7,N53=10),N55="AC"),LOOKUP(N83,T!$AC378:$AC391,T!$Z378:$Z391),IF(AND(N51="4J1",N53=9,N55="AC"),LOOKUP(N83,T!$AC378:$AC391,T!$AA378:$AA391),IF(AND(N51="4J1",OR(N53=11,N53=12),N55="AC",N57=3),LOOKUP(N83,T!$AC378:$AC391,T!$AB378:$AB391),IF(AND(N51="4J2",OR(N53=2,N53=4,N53=6,N53=8),N55="DC"),LOOKUP(N83,T!$X397:$X407,T!$U397:$U407),IF(AND(N51="4J2",OR(N53=2,N53=4,N53=6,N53=8),N55="AC"),LOOKUP(N83,T!$X397:$X407,T!$V397:$V407),IF(AND(N51="4J2",OR(N53=3,N53=5,N53=7,N53=9),N55="AC"),LOOKUP(N83,T!$X397:$X407,T!$W397:$W407),IF(AND(N51="4J3",OR(N53=2,N53=4,N53=7,N53=8),N55="DC"),LOOKUP(N83,T!$AA413:$AA426,T!$U413:$U426),IF(AND(N51="4J3",OR(N53=2,N53=4),N55="AC"),LOOKUP(N83,T!$AA413:$AA426,T!$V413:$V426),IF(AND(N51="4J3",OR(N53=9,N53=10),N55="AC"),LOOKUP(N83,T!$AA413:$AA426,T!$W413:$W426),IF(AND(N51="4J3",N53=6,N55="AC"),LOOKUP(N83,T!$AA413:$AA426,T!$X413:$X426),IF(AND(N51="4J3",OR(N53=3,N53=5),N55="AC"),LOOKUP(N83,T!$AA413:$AA426,T!$Y413:$Y426),IF(AND(N51="4J3",OR(N53=11,N53=12),N55="AC"),LOOKUP(N83,T!$AA413:$AA426,T!$Z413:$Z426),IF(AND(N51="4J4",OR(N53=2,N53=4,N53=6),N55="DC"),LOOKUP(N83,T!$X432:$X442,T!$U432:$U442),IF(AND(N51="4J4",OR(N53=2,N53=4,N53=6),N55="AC"),LOOKUP(N83,T!$X432:$X442,T!$V432:$V442),IF(AND(N51="4J4",OR(N53=3,N53=5,N53=7),N55="AC"),LOOKUP(N83,T!$X432:$X442,T!$W432:$W442),0)))))))))))))))))))),0)))*N23*N69)/1000))</f>
        <v>0</v>
      </c>
      <c r="O101" s="140" t="str">
        <f t="shared" si="23"/>
        <v/>
      </c>
    </row>
    <row r="102" spans="1:58" s="173" customFormat="1" ht="17">
      <c r="A102" s="192" t="s">
        <v>2135</v>
      </c>
      <c r="B102" s="399"/>
      <c r="C102" s="395" t="s">
        <v>2138</v>
      </c>
      <c r="D102" s="161">
        <f>IF(D29="","",IF(OR(COUNT(D19:D21)=3,COUNT(D19:D21)=1),(IF(D29="",0,IF(ISNUMBER(SEARCH("4D",D51)),IF(AND(D51="4D1",OR(D53=2,D53=4,D53=6,D53=8,D53=11),D55="DC"),LOOKUP(D84,T!$AC6:$AC27,T!$U6:$U27),IF(AND(D51="4D1",OR(D53=2,D53=4),D55="AC"),LOOKUP(D84,T!$AC6:$AC27,T!$V6:$V27),IF(AND(D51="4D1",OR(D53=6,D53=8),D55="AC"),LOOKUP(D84,T!$AC6:$AC27,T!$W6:$W27),IF(AND(D51="4D1",OR(D53=11,D53=12),D55="AC",D57=1),LOOKUP(D84,T!$AC6:$AC27,T!$X6:$X27),IF(AND(D51="4D1",OR(D53=3,D53=5),D55="AC"),LOOKUP(D84,T!$AC6:$AC27,T!$Y6:$Y27),IF(AND(D51="4D1",OR(D53=7,D53=10),D55="AC"),LOOKUP(D84,T!$AC6:$AC27,T!$Z6:$Z27),IF(AND(D51="4D1",D53=9,D55="AC"),LOOKUP(D84,T!$AC6:$AC27,T!$AA6:$AA27),IF(AND(D51="4D1",OR(D53=11,D53=12),D55="AC",D57=3),LOOKUP(D84,T!$AC13:$AC27,T!$AB13:$AB27),IF(AND(D51="4D2",OR(D53=2,D53=4,D53=6,D53=8),D55="DC"),LOOKUP(D84,T!$X33:$X50,T!$U33:$U50),IF(AND(D51="4D2",OR(D53=2,D53=4,D53=6,D53=8),D55="AC"),LOOKUP(D84,T!$X33:$X50,T!$V33:$V50),IF(AND(D51="4D2",OR(D53=3,D53=5,D53=7,D53=9),D55="AC"),LOOKUP(D84,T!$X33:$X50,T!$W33:$W50),IF(AND(D51="4D3",OR(D53=2,D53=4,D53=7,D53=8),D55="DC"),LOOKUP(D84,T!$AA56:$AA68,T!$U56:$U68),IF(AND(D51="4D3",OR(D53=2,D53=4),D55="AC"),LOOKUP(D84,T!$AA56:$AA68,T!$V56:$V68),IF(AND(D51="4D3",OR(D53=9,D53=10),D55="AC"),LOOKUP(D84,T!$AA56:$AA$68,T!$W56:$W68),IF(AND(D51="4D3",D53=6,D55="AC"),LOOKUP(D84,T!$AA56:$AA68,T!$X56:$X68),IF(AND(D51="4D3",OR(D53=3,D53=5),D55="AC"),LOOKUP(D84,T!$AA56:$AA68,T!$Y56:$Y68),IF(AND(D51="4D3",OR(D53=11,D53=12),D55="AC"),LOOKUP(D84,T!$AA56:$AA68,T!$Z56:$Z68),IF(AND(D51="4D4",OR(D53=2,D53=4,D53=6),D55="DC"),LOOKUP(D84,T!$X74:$X90,T!$U74:$U90),IF(AND(D51="4D4",OR(D53=2,D53=4,D53=6),D55="AC"),LOOKUP(D84,T!$X74:$X90,T!$V74:$V90),IF(AND(D51="4D4",OR(D53=3,D53=5,D53=7),D55="AC"),LOOKUP(D84,T!$X74:$X90,T!$W74:$W90),IF(AND(D51="4D5",AND(D53&gt;=2,D53&lt;=7)),LOOKUP(D84,T!$I96:$I102,T!$H96:$H102),0))))))))))))))))))))),IF(ISNUMBER(SEARCH("4E",D51)),IF(AND(D51="4E1",OR(D53=2,D53=4,D53=6,D53=8,D53=11),D55="DC"),LOOKUP(D84,T!$AC108:$AC129,T!$U108:$U129),IF(AND(D51="4E1",OR(D53=2,D53=4),D55="AC"),LOOKUP(D84,T!$AC108:$AC129,T!$V108:$V129),IF(AND(D51="4E1",OR(D53=6,D53=8),D55="AC"),LOOKUP(D84,T!$AC108:$AC129,T!$W108:$W129),IF(AND(D51="4E1",OR(D53=11,D53=12),D55="AC",D57=1),LOOKUP(D84,T!$AC108:$AC127,T!$X108:$X129),IF(AND(D51="4E1",OR(D53=3,D53=5),D55="AC"),LOOKUP(D84,T!$AC108:$AC129,T!$Y108:$Y129),IF(AND(D51="4E1",OR(D53=7,D53=10),D55="AC"),LOOKUP(D84,T!$AC108:$AC129,T!$Z108:$Z129),IF(AND(D51="4E1",D53=9,D55="AC"),LOOKUP(D84,T!$AC115:$AC129,T!$AA115:$AA129),IF(AND(D51="4E1",OR(D53=11,D53=12),D55="AC",D57=3),LOOKUP(D84,T!$AC115:$AC129,T!$AB115:$AB129),IF(AND(D51="4E2",OR(D53=2,D53=4,D53=6,D53=8),D55="DC"),LOOKUP(D84,T!$X134:$X152,T!$U134:$U152),IF(AND(D51="4E2",OR(D53=2,D53=4,D53=6,D53=8),D55="AC"),LOOKUP(D84,T!$X134:$X152,T!$V134:$V152),IF(AND(D51="4E2",OR(D53=3,D53=5,D53=7,D53=9),D55="AC"),LOOKUP(D84,T!$X134:$X152,T!$W134:$W152),IF(AND(D51="4E3",OR(D53=2,D53=4,D53=7,D53=8),D55="DC"),LOOKUP(D84,T!$AA158:$AA170,T!$U158:$U170),IF(AND(D51="4E3",OR(D53=2,D53=4),D55="AC"),LOOKUP(D84,T!$AA158:$AA170,T!$V158:$V170),IF(AND(D51="4E3",OR(D53=9,D53=10),D55="AC"),LOOKUP(D84,T!$AA158:$AA170,T!$W158:$W170),IF(AND(D51="4E3",D53=6,D55="AC"),LOOKUP(D84,T!$AA158:$AA170,T!$X158:$X170),IF(AND(D51="4E3",OR(D53=3,D53=5),D55="AC"),LOOKUP(D84,T!$AA158:$AA170,T!$Y158:$Y170),IF(AND(D51="4E3",OR(D53=11,D53=12),D55="AC"),LOOKUP(D84,T!$AA158:$AA170,T!$Z158:$Z170),IF(AND(D51="4E4",OR(D53=2,D53=4,D53=6),D55="DC"),LOOKUP(D84,T!$X176:$X192,T!$U176:$U192),IF(AND(D51="4E4",OR(D53=2,D53=4,D53=6),D55="AC"),LOOKUP(D84,T!$X176:$X192,T!$V176:$V192),IF(AND(D51="4E4",OR(D53=3,D53=5,D53=7),D55="AC"),LOOKUP(D84,T!$X176:$X192,T!$W176:$W192),0)))))))))))))))))))),IF(ISNUMBER(SEARCH("4F",D51)),IF(AND(D51="4F1",D53=2,D55="DC"),LOOKUP(D84,T!$Z198:$Z214,T!$U198:$U214),IF(AND(D51="4F1",D53=2,D55="AC"),LOOKUP(D84,T!$Z198:$Z214,T!$V198:$V214),IF(AND(D51="4F1",D53=3,D55="AC"),LOOKUP(D84,T!$Z198:$Z214,T!$W198:$W214),IF(AND(D51="4F1",D53=4,D55="DC"),LOOKUP(D84,T!$Z198:$Z214,T!$X198:$X214),IF(AND(D51="4F1",D53=4,D55="AC"),LOOKUP(D84,T!$Z198:$Z214,T!$Y198:$Y214),IF(AND(D51="4F2",D53=2,D55="DC"),LOOKUP(D84,T!$Y220:$Y236,T!$U220:$U236),IF(AND(D51="4F2",D53=2,D55="AC"),LOOKUP(D84,T!$Y220:$Y236,T!$V220:$V236),IF(AND(D51="4F2",D53=3,D55="AC"),LOOKUP(D84,T!$Y220:$Y236,T!$W220:$W236),IF(AND(D51="4F2",D53=4,D55="DC"),LOOKUP(D84,T!$Y220:$Y236,T!$X220:$X236),IF(AND(D51="4F3",D53=2),LOOKUP(D84,T!$W242:$W248,T!$U242:$U248),IF(AND(D51="4F3",D53=3,D55="AC"),LOOKUP(D84,T!$W242:$W248,T!$V242:$V248),0))))))))))),IF(ISNUMBER(SEARCH("4G",D51)),IF(AND(D51="4G1",OR(D53=2,D53=5)),LOOKUP(D84,T!$AA254:$AA269,T!$U254:$U269),IF(AND(D51="4G1",OR(D53=3,D53=6)),LOOKUP(D84,T!$AA254:$AA269,T!$X254:$X269),IF(AND(D51="4G1",OR(D53=4,D53=7)),LOOKUP(D84,T!$AA254:$AA269,T!$Y254:$Y269),IF(AND(D51="4G1",OR(D53=8,D53=9)),LOOKUP(D84,T!$AA254:$AA269,T!$Z254:$Z269),IF(AND(D51="4G2",OR(D53=2,D53=5)),LOOKUP(D84,T!$AA281:$AA296,T!$U281:$U296),IF(AND(D51="4G2",OR(D53=3,D53=6)),LOOKUP(D84,T!$AA281:$AA296,T!$X281:$X296),IF(AND(D51="4G2",OR(D53=4,D53=7)),LOOKUP(D84,T!$AA281:$AA296,T!$Y281:$Y296),IF(AND(D51="4G2",OR(D53=8,D53=9)),LOOKUP(D84,T!$AA281:$AA296,T!$Z281:$Z296),0)))))))),0)))))*D23*D69)/1000))</f>
        <v>2.8645833333333339</v>
      </c>
      <c r="E102" s="161">
        <f ca="1">IF(E29="","",IF(OR(COUNT(E19:E21)=3,COUNT(E19:E21)=1),(IF(E29="",0,IF(ISNUMBER(SEARCH("4D",E51)),IF(AND(E51="4D1",OR(E53=2,E53=4,E53=6,E53=8,E53=11),E55="DC"),LOOKUP(E84,T!$AC6:$AC27,T!$U6:$U27),IF(AND(E51="4D1",OR(E53=2,E53=4),E55="AC"),LOOKUP(E84,T!$AC6:$AC27,T!$V6:$V27),IF(AND(E51="4D1",OR(E53=6,E53=8),E55="AC"),LOOKUP(E84,T!$AC6:$AC27,T!$W6:$W27),IF(AND(E51="4D1",OR(E53=11,E53=12),E55="AC",E57=1),LOOKUP(E84,T!$AC6:$AC27,T!$X6:$X27),IF(AND(E51="4D1",OR(E53=3,E53=5),E55="AC"),LOOKUP(E84,T!$AC6:$AC27,T!$Y6:$Y27),IF(AND(E51="4D1",OR(E53=7,E53=10),E55="AC"),LOOKUP(E84,T!$AC6:$AC27,T!$Z6:$Z27),IF(AND(E51="4D1",E53=9,E55="AC"),LOOKUP(E84,T!$AC6:$AC27,T!$AA6:$AA27),IF(AND(E51="4D1",OR(E53=11,E53=12),E55="AC",E57=3),LOOKUP(E84,T!$AC13:$AC27,T!$AB13:$AB27),IF(AND(E51="4D2",OR(E53=2,E53=4,E53=6,E53=8),E55="DC"),LOOKUP(E84,T!$X33:$X50,T!$U33:$U50),IF(AND(E51="4D2",OR(E53=2,E53=4,E53=6,E53=8),E55="AC"),LOOKUP(E84,T!$X33:$X50,T!$V33:$V50),IF(AND(E51="4D2",OR(E53=3,E53=5,E53=7,E53=9),E55="AC"),LOOKUP(E84,T!$X33:$X50,T!$W33:$W50),IF(AND(E51="4D3",OR(E53=2,E53=4,E53=7,E53=8),E55="DC"),LOOKUP(E84,T!$AA56:$AA68,T!$U56:$U68),IF(AND(E51="4D3",OR(E53=2,E53=4),E55="AC"),LOOKUP(E84,T!$AA56:$AA68,T!$V56:$V68),IF(AND(E51="4D3",OR(E53=9,E53=10),E55="AC"),LOOKUP(E84,T!$AA56:$AA$68,T!$W56:$W68),IF(AND(E51="4D3",E53=6,E55="AC"),LOOKUP(E84,T!$AA56:$AA68,T!$X56:$X68),IF(AND(E51="4D3",OR(E53=3,E53=5),E55="AC"),LOOKUP(E84,T!$AA56:$AA68,T!$Y56:$Y68),IF(AND(E51="4D3",OR(E53=11,E53=12),E55="AC"),LOOKUP(E84,T!$AA56:$AA68,T!$Z56:$Z68),IF(AND(E51="4D4",OR(E53=2,E53=4,E53=6),E55="DC"),LOOKUP(E84,T!$X74:$X90,T!$U74:$U90),IF(AND(E51="4D4",OR(E53=2,E53=4,E53=6),E55="AC"),LOOKUP(E84,T!$X74:$X90,T!$V74:$V90),IF(AND(E51="4D4",OR(E53=3,E53=5,E53=7),E55="AC"),LOOKUP(E84,T!$X74:$X90,T!$W74:$W90),IF(AND(E51="4D5",AND(E53&gt;=2,E53&lt;=7)),LOOKUP(E84,T!$I96:$I102,T!$H96:$H102),0))))))))))))))))))))),IF(ISNUMBER(SEARCH("4E",E51)),IF(AND(E51="4E1",OR(E53=2,E53=4,E53=6,E53=8,E53=11),E55="DC"),LOOKUP(E84,T!$AC108:$AC129,T!$U108:$U129),IF(AND(E51="4E1",OR(E53=2,E53=4),E55="AC"),LOOKUP(E84,T!$AC108:$AC129,T!$V108:$V129),IF(AND(E51="4E1",OR(E53=6,E53=8),E55="AC"),LOOKUP(E84,T!$AC108:$AC129,T!$W108:$W129),IF(AND(E51="4E1",OR(E53=11,E53=12),E55="AC",E57=1),LOOKUP(E84,T!$AC108:$AC127,T!$X108:$X129),IF(AND(E51="4E1",OR(E53=3,E53=5),E55="AC"),LOOKUP(E84,T!$AC108:$AC129,T!$Y108:$Y129),IF(AND(E51="4E1",OR(E53=7,E53=10),E55="AC"),LOOKUP(E84,T!$AC108:$AC129,T!$Z108:$Z129),IF(AND(E51="4E1",E53=9,E55="AC"),LOOKUP(E84,T!$AC115:$AC129,T!$AA115:$AA129),IF(AND(E51="4E1",OR(E53=11,E53=12),E55="AC",E57=3),LOOKUP(E84,T!$AC115:$AC129,T!$AB115:$AB129),IF(AND(E51="4E2",OR(E53=2,E53=4,E53=6,E53=8),E55="DC"),LOOKUP(E84,T!$X134:$X152,T!$U134:$U152),IF(AND(E51="4E2",OR(E53=2,E53=4,E53=6,E53=8),E55="AC"),LOOKUP(E84,T!$X134:$X152,T!$V134:$V152),IF(AND(E51="4E2",OR(E53=3,E53=5,E53=7,E53=9),E55="AC"),LOOKUP(E84,T!$X134:$X152,T!$W134:$W152),IF(AND(E51="4E3",OR(E53=2,E53=4,E53=7,E53=8),E55="DC"),LOOKUP(E84,T!$AA158:$AA170,T!$U158:$U170),IF(AND(E51="4E3",OR(E53=2,E53=4),E55="AC"),LOOKUP(E84,T!$AA158:$AA170,T!$V158:$V170),IF(AND(E51="4E3",OR(E53=9,E53=10),E55="AC"),LOOKUP(E84,T!$AA158:$AA170,T!$W158:$W170),IF(AND(E51="4E3",E53=6,E55="AC"),LOOKUP(E84,T!$AA158:$AA170,T!$X158:$X170),IF(AND(E51="4E3",OR(E53=3,E53=5),E55="AC"),LOOKUP(E84,T!$AA158:$AA170,T!$Y158:$Y170),IF(AND(E51="4E3",OR(E53=11,E53=12),E55="AC"),LOOKUP(E84,T!$AA158:$AA170,T!$Z158:$Z170),IF(AND(E51="4E4",OR(E53=2,E53=4,E53=6),E55="DC"),LOOKUP(E84,T!$X176:$X192,T!$U176:$U192),IF(AND(E51="4E4",OR(E53=2,E53=4,E53=6),E55="AC"),LOOKUP(E84,T!$X176:$X192,T!$V176:$V192),IF(AND(E51="4E4",OR(E53=3,E53=5,E53=7),E55="AC"),LOOKUP(E84,T!$X176:$X192,T!$W176:$W192),0)))))))))))))))))))),IF(ISNUMBER(SEARCH("4F",E51)),IF(AND(E51="4F1",E53=2,E55="DC"),LOOKUP(E84,T!$Z198:$Z214,T!$U198:$U214),IF(AND(E51="4F1",E53=2,E55="AC"),LOOKUP(E84,T!$Z198:$Z214,T!$V198:$V214),IF(AND(E51="4F1",E53=3,E55="AC"),LOOKUP(E84,T!$Z198:$Z214,T!$W198:$W214),IF(AND(E51="4F1",E53=4,E55="DC"),LOOKUP(E84,T!$Z198:$Z214,T!$X198:$X214),IF(AND(E51="4F1",E53=4,E55="AC"),LOOKUP(E84,T!$Z198:$Z214,T!$Y198:$Y214),IF(AND(E51="4F2",E53=2,E55="DC"),LOOKUP(E84,T!$Y220:$Y236,T!$U220:$U236),IF(AND(E51="4F2",E53=2,E55="AC"),LOOKUP(E84,T!$Y220:$Y236,T!$V220:$V236),IF(AND(E51="4F2",E53=3,E55="AC"),LOOKUP(E84,T!$Y220:$Y236,T!$W220:$W236),IF(AND(E51="4F2",E53=4,E55="DC"),LOOKUP(E84,T!$Y220:$Y236,T!$X220:$X236),IF(AND(E51="4F3",E53=2),LOOKUP(E84,T!$W242:$W248,T!$U242:$U248),IF(AND(E51="4F3",E53=3,E55="AC"),LOOKUP(E84,T!$W242:$W248,T!$V242:$V248),0))))))))))),IF(ISNUMBER(SEARCH("4G",E51)),IF(AND(E51="4G1",OR(E53=2,E53=5)),LOOKUP(E84,T!$AA254:$AA269,T!$U254:$U269),IF(AND(E51="4G1",OR(E53=3,E53=6)),LOOKUP(E84,T!$AA254:$AA269,T!$X254:$X269),IF(AND(E51="4G1",OR(E53=4,E53=7)),LOOKUP(E84,T!$AA254:$AA269,T!$Y254:$Y269),IF(AND(E51="4G1",OR(E53=8,E53=9)),LOOKUP(E84,T!$AA254:$AA269,T!$Z254:$Z269),IF(AND(E51="4G2",OR(E53=2,E53=5)),LOOKUP(E84,T!$AA281:$AA296,T!$U281:$U296),IF(AND(E51="4G2",OR(E53=3,E53=6)),LOOKUP(E84,T!$AA281:$AA296,T!$X281:$X296),IF(AND(E51="4G2",OR(E53=4,E53=7)),LOOKUP(E84,T!$AA281:$AA296,T!$Y281:$Y296),IF(AND(E51="4G2",OR(E53=8,E53=9)),LOOKUP(E84,T!$AA281:$AA296,T!$Z281:$Z296),0)))))))),0)))))*E23*E69)/1000))</f>
        <v>8.5001399999999983</v>
      </c>
      <c r="F102" s="161">
        <f ca="1">IF(F29="","",IF(OR(COUNT(F19:F21)=3,COUNT(F19:F21)=1),(IF(F29="",0,IF(ISNUMBER(SEARCH("4D",F51)),IF(AND(F51="4D1",OR(F53=2,F53=4,F53=6,F53=8,F53=11),F55="DC"),LOOKUP(F84,T!$AC6:$AC27,T!$U6:$U27),IF(AND(F51="4D1",OR(F53=2,F53=4),F55="AC"),LOOKUP(F84,T!$AC6:$AC27,T!$V6:$V27),IF(AND(F51="4D1",OR(F53=6,F53=8),F55="AC"),LOOKUP(F84,T!$AC6:$AC27,T!$W6:$W27),IF(AND(F51="4D1",OR(F53=11,F53=12),F55="AC",F57=1),LOOKUP(F84,T!$AC6:$AC27,T!$X6:$X27),IF(AND(F51="4D1",OR(F53=3,F53=5),F55="AC"),LOOKUP(F84,T!$AC6:$AC27,T!$Y6:$Y27),IF(AND(F51="4D1",OR(F53=7,F53=10),F55="AC"),LOOKUP(F84,T!$AC6:$AC27,T!$Z6:$Z27),IF(AND(F51="4D1",F53=9,F55="AC"),LOOKUP(F84,T!$AC6:$AC27,T!$AA6:$AA27),IF(AND(F51="4D1",OR(F53=11,F53=12),F55="AC",F57=3),LOOKUP(F84,T!$AC13:$AC27,T!$AB13:$AB27),IF(AND(F51="4D2",OR(F53=2,F53=4,F53=6,F53=8),F55="DC"),LOOKUP(F84,T!$X33:$X50,T!$U33:$U50),IF(AND(F51="4D2",OR(F53=2,F53=4,F53=6,F53=8),F55="AC"),LOOKUP(F84,T!$X33:$X50,T!$V33:$V50),IF(AND(F51="4D2",OR(F53=3,F53=5,F53=7,F53=9),F55="AC"),LOOKUP(F84,T!$X33:$X50,T!$W33:$W50),IF(AND(F51="4D3",OR(F53=2,F53=4,F53=7,F53=8),F55="DC"),LOOKUP(F84,T!$AA56:$AA68,T!$U56:$U68),IF(AND(F51="4D3",OR(F53=2,F53=4),F55="AC"),LOOKUP(F84,T!$AA56:$AA68,T!$V56:$V68),IF(AND(F51="4D3",OR(F53=9,F53=10),F55="AC"),LOOKUP(F84,T!$AA56:$AA$68,T!$W56:$W68),IF(AND(F51="4D3",F53=6,F55="AC"),LOOKUP(F84,T!$AA56:$AA68,T!$X56:$X68),IF(AND(F51="4D3",OR(F53=3,F53=5),F55="AC"),LOOKUP(F84,T!$AA56:$AA68,T!$Y56:$Y68),IF(AND(F51="4D3",OR(F53=11,F53=12),F55="AC"),LOOKUP(F84,T!$AA56:$AA68,T!$Z56:$Z68),IF(AND(F51="4D4",OR(F53=2,F53=4,F53=6),F55="DC"),LOOKUP(F84,T!$X74:$X90,T!$U74:$U90),IF(AND(F51="4D4",OR(F53=2,F53=4,F53=6),F55="AC"),LOOKUP(F84,T!$X74:$X90,T!$V74:$V90),IF(AND(F51="4D4",OR(F53=3,F53=5,F53=7),F55="AC"),LOOKUP(F84,T!$X74:$X90,T!$W74:$W90),IF(AND(F51="4D5",AND(F53&gt;=2,F53&lt;=7)),LOOKUP(F84,T!$I96:$I102,T!$H96:$H102),0))))))))))))))))))))),IF(ISNUMBER(SEARCH("4E",F51)),IF(AND(F51="4E1",OR(F53=2,F53=4,F53=6,F53=8,F53=11),F55="DC"),LOOKUP(F84,T!$AC108:$AC129,T!$U108:$U129),IF(AND(F51="4E1",OR(F53=2,F53=4),F55="AC"),LOOKUP(F84,T!$AC108:$AC129,T!$V108:$V129),IF(AND(F51="4E1",OR(F53=6,F53=8),F55="AC"),LOOKUP(F84,T!$AC108:$AC129,T!$W108:$W129),IF(AND(F51="4E1",OR(F53=11,F53=12),F55="AC",F57=1),LOOKUP(F84,T!$AC108:$AC127,T!$X108:$X129),IF(AND(F51="4E1",OR(F53=3,F53=5),F55="AC"),LOOKUP(F84,T!$AC108:$AC129,T!$Y108:$Y129),IF(AND(F51="4E1",OR(F53=7,F53=10),F55="AC"),LOOKUP(F84,T!$AC108:$AC129,T!$Z108:$Z129),IF(AND(F51="4E1",F53=9,F55="AC"),LOOKUP(F84,T!$AC115:$AC129,T!$AA115:$AA129),IF(AND(F51="4E1",OR(F53=11,F53=12),F55="AC",F57=3),LOOKUP(F84,T!$AC115:$AC129,T!$AB115:$AB129),IF(AND(F51="4E2",OR(F53=2,F53=4,F53=6,F53=8),F55="DC"),LOOKUP(F84,T!$X134:$X152,T!$U134:$U152),IF(AND(F51="4E2",OR(F53=2,F53=4,F53=6,F53=8),F55="AC"),LOOKUP(F84,T!$X134:$X152,T!$V134:$V152),IF(AND(F51="4E2",OR(F53=3,F53=5,F53=7,F53=9),F55="AC"),LOOKUP(F84,T!$X134:$X152,T!$W134:$W152),IF(AND(F51="4E3",OR(F53=2,F53=4,F53=7,F53=8),F55="DC"),LOOKUP(F84,T!$AA158:$AA170,T!$U158:$U170),IF(AND(F51="4E3",OR(F53=2,F53=4),F55="AC"),LOOKUP(F84,T!$AA158:$AA170,T!$V158:$V170),IF(AND(F51="4E3",OR(F53=9,F53=10),F55="AC"),LOOKUP(F84,T!$AA158:$AA170,T!$W158:$W170),IF(AND(F51="4E3",F53=6,F55="AC"),LOOKUP(F84,T!$AA158:$AA170,T!$X158:$X170),IF(AND(F51="4E3",OR(F53=3,F53=5),F55="AC"),LOOKUP(F84,T!$AA158:$AA170,T!$Y158:$Y170),IF(AND(F51="4E3",OR(F53=11,F53=12),F55="AC"),LOOKUP(F84,T!$AA158:$AA170,T!$Z158:$Z170),IF(AND(F51="4E4",OR(F53=2,F53=4,F53=6),F55="DC"),LOOKUP(F84,T!$X176:$X192,T!$U176:$U192),IF(AND(F51="4E4",OR(F53=2,F53=4,F53=6),F55="AC"),LOOKUP(F84,T!$X176:$X192,T!$V176:$V192),IF(AND(F51="4E4",OR(F53=3,F53=5,F53=7),F55="AC"),LOOKUP(F84,T!$X176:$X192,T!$W176:$W192),0)))))))))))))))))))),IF(ISNUMBER(SEARCH("4F",F51)),IF(AND(F51="4F1",F53=2,F55="DC"),LOOKUP(F84,T!$Z198:$Z214,T!$U198:$U214),IF(AND(F51="4F1",F53=2,F55="AC"),LOOKUP(F84,T!$Z198:$Z214,T!$V198:$V214),IF(AND(F51="4F1",F53=3,F55="AC"),LOOKUP(F84,T!$Z198:$Z214,T!$W198:$W214),IF(AND(F51="4F1",F53=4,F55="DC"),LOOKUP(F84,T!$Z198:$Z214,T!$X198:$X214),IF(AND(F51="4F1",F53=4,F55="AC"),LOOKUP(F84,T!$Z198:$Z214,T!$Y198:$Y214),IF(AND(F51="4F2",F53=2,F55="DC"),LOOKUP(F84,T!$Y220:$Y236,T!$U220:$U236),IF(AND(F51="4F2",F53=2,F55="AC"),LOOKUP(F84,T!$Y220:$Y236,T!$V220:$V236),IF(AND(F51="4F2",F53=3,F55="AC"),LOOKUP(F84,T!$Y220:$Y236,T!$W220:$W236),IF(AND(F51="4F2",F53=4,F55="DC"),LOOKUP(F84,T!$Y220:$Y236,T!$X220:$X236),IF(AND(F51="4F3",F53=2),LOOKUP(F84,T!$W242:$W248,T!$U242:$U248),IF(AND(F51="4F3",F53=3,F55="AC"),LOOKUP(F84,T!$W242:$W248,T!$V242:$V248),0))))))))))),IF(ISNUMBER(SEARCH("4G",F51)),IF(AND(F51="4G1",OR(F53=2,F53=5)),LOOKUP(F84,T!$AA254:$AA269,T!$U254:$U269),IF(AND(F51="4G1",OR(F53=3,F53=6)),LOOKUP(F84,T!$AA254:$AA269,T!$X254:$X269),IF(AND(F51="4G1",OR(F53=4,F53=7)),LOOKUP(F84,T!$AA254:$AA269,T!$Y254:$Y269),IF(AND(F51="4G1",OR(F53=8,F53=9)),LOOKUP(F84,T!$AA254:$AA269,T!$Z254:$Z269),IF(AND(F51="4G2",OR(F53=2,F53=5)),LOOKUP(F84,T!$AA281:$AA296,T!$U281:$U296),IF(AND(F51="4G2",OR(F53=3,F53=6)),LOOKUP(F84,T!$AA281:$AA296,T!$X281:$X296),IF(AND(F51="4G2",OR(F53=4,F53=7)),LOOKUP(F84,T!$AA281:$AA296,T!$Y281:$Y296),IF(AND(F51="4G2",OR(F53=8,F53=9)),LOOKUP(F84,T!$AA281:$AA296,T!$Z281:$Z296),0)))))))),0)))))*F23*F69)/1000))</f>
        <v>5.6410019999999994</v>
      </c>
      <c r="G102" s="161">
        <f ca="1">IF(G29="","",IF(OR(COUNT(G19:G21)=3,COUNT(G19:G21)=1),(IF(G29="",0,IF(ISNUMBER(SEARCH("4D",G51)),IF(AND(G51="4D1",OR(G53=2,G53=4,G53=6,G53=8,G53=11),G55="DC"),LOOKUP(G84,T!$AC6:$AC27,T!$U6:$U27),IF(AND(G51="4D1",OR(G53=2,G53=4),G55="AC"),LOOKUP(G84,T!$AC6:$AC27,T!$V6:$V27),IF(AND(G51="4D1",OR(G53=6,G53=8),G55="AC"),LOOKUP(G84,T!$AC6:$AC27,T!$W6:$W27),IF(AND(G51="4D1",OR(G53=11,G53=12),G55="AC",G57=1),LOOKUP(G84,T!$AC6:$AC27,T!$X6:$X27),IF(AND(G51="4D1",OR(G53=3,G53=5),G55="AC"),LOOKUP(G84,T!$AC6:$AC27,T!$Y6:$Y27),IF(AND(G51="4D1",OR(G53=7,G53=10),G55="AC"),LOOKUP(G84,T!$AC6:$AC27,T!$Z6:$Z27),IF(AND(G51="4D1",G53=9,G55="AC"),LOOKUP(G84,T!$AC6:$AC27,T!$AA6:$AA27),IF(AND(G51="4D1",OR(G53=11,G53=12),G55="AC",G57=3),LOOKUP(G84,T!$AC13:$AC27,T!$AB13:$AB27),IF(AND(G51="4D2",OR(G53=2,G53=4,G53=6,G53=8),G55="DC"),LOOKUP(G84,T!$X33:$X50,T!$U33:$U50),IF(AND(G51="4D2",OR(G53=2,G53=4,G53=6,G53=8),G55="AC"),LOOKUP(G84,T!$X33:$X50,T!$V33:$V50),IF(AND(G51="4D2",OR(G53=3,G53=5,G53=7,G53=9),G55="AC"),LOOKUP(G84,T!$X33:$X50,T!$W33:$W50),IF(AND(G51="4D3",OR(G53=2,G53=4,G53=7,G53=8),G55="DC"),LOOKUP(G84,T!$AA56:$AA68,T!$U56:$U68),IF(AND(G51="4D3",OR(G53=2,G53=4),G55="AC"),LOOKUP(G84,T!$AA56:$AA68,T!$V56:$V68),IF(AND(G51="4D3",OR(G53=9,G53=10),G55="AC"),LOOKUP(G84,T!$AA56:$AA$68,T!$W56:$W68),IF(AND(G51="4D3",G53=6,G55="AC"),LOOKUP(G84,T!$AA56:$AA68,T!$X56:$X68),IF(AND(G51="4D3",OR(G53=3,G53=5),G55="AC"),LOOKUP(G84,T!$AA56:$AA68,T!$Y56:$Y68),IF(AND(G51="4D3",OR(G53=11,G53=12),G55="AC"),LOOKUP(G84,T!$AA56:$AA68,T!$Z56:$Z68),IF(AND(G51="4D4",OR(G53=2,G53=4,G53=6),G55="DC"),LOOKUP(G84,T!$X74:$X90,T!$U74:$U90),IF(AND(G51="4D4",OR(G53=2,G53=4,G53=6),G55="AC"),LOOKUP(G84,T!$X74:$X90,T!$V74:$V90),IF(AND(G51="4D4",OR(G53=3,G53=5,G53=7),G55="AC"),LOOKUP(G84,T!$X74:$X90,T!$W74:$W90),IF(AND(G51="4D5",AND(G53&gt;=2,G53&lt;=7)),LOOKUP(G84,T!$I96:$I102,T!$H96:$H102),0))))))))))))))))))))),IF(ISNUMBER(SEARCH("4E",G51)),IF(AND(G51="4E1",OR(G53=2,G53=4,G53=6,G53=8,G53=11),G55="DC"),LOOKUP(G84,T!$AC108:$AC129,T!$U108:$U129),IF(AND(G51="4E1",OR(G53=2,G53=4),G55="AC"),LOOKUP(G84,T!$AC108:$AC129,T!$V108:$V129),IF(AND(G51="4E1",OR(G53=6,G53=8),G55="AC"),LOOKUP(G84,T!$AC108:$AC129,T!$W108:$W129),IF(AND(G51="4E1",OR(G53=11,G53=12),G55="AC",G57=1),LOOKUP(G84,T!$AC108:$AC127,T!$X108:$X129),IF(AND(G51="4E1",OR(G53=3,G53=5),G55="AC"),LOOKUP(G84,T!$AC108:$AC129,T!$Y108:$Y129),IF(AND(G51="4E1",OR(G53=7,G53=10),G55="AC"),LOOKUP(G84,T!$AC108:$AC129,T!$Z108:$Z129),IF(AND(G51="4E1",G53=9,G55="AC"),LOOKUP(G84,T!$AC115:$AC129,T!$AA115:$AA129),IF(AND(G51="4E1",OR(G53=11,G53=12),G55="AC",G57=3),LOOKUP(G84,T!$AC115:$AC129,T!$AB115:$AB129),IF(AND(G51="4E2",OR(G53=2,G53=4,G53=6,G53=8),G55="DC"),LOOKUP(G84,T!$X134:$X152,T!$U134:$U152),IF(AND(G51="4E2",OR(G53=2,G53=4,G53=6,G53=8),G55="AC"),LOOKUP(G84,T!$X134:$X152,T!$V134:$V152),IF(AND(G51="4E2",OR(G53=3,G53=5,G53=7,G53=9),G55="AC"),LOOKUP(G84,T!$X134:$X152,T!$W134:$W152),IF(AND(G51="4E3",OR(G53=2,G53=4,G53=7,G53=8),G55="DC"),LOOKUP(G84,T!$AA158:$AA170,T!$U158:$U170),IF(AND(G51="4E3",OR(G53=2,G53=4),G55="AC"),LOOKUP(G84,T!$AA158:$AA170,T!$V158:$V170),IF(AND(G51="4E3",OR(G53=9,G53=10),G55="AC"),LOOKUP(G84,T!$AA158:$AA170,T!$W158:$W170),IF(AND(G51="4E3",G53=6,G55="AC"),LOOKUP(G84,T!$AA158:$AA170,T!$X158:$X170),IF(AND(G51="4E3",OR(G53=3,G53=5),G55="AC"),LOOKUP(G84,T!$AA158:$AA170,T!$Y158:$Y170),IF(AND(G51="4E3",OR(G53=11,G53=12),G55="AC"),LOOKUP(G84,T!$AA158:$AA170,T!$Z158:$Z170),IF(AND(G51="4E4",OR(G53=2,G53=4,G53=6),G55="DC"),LOOKUP(G84,T!$X176:$X192,T!$U176:$U192),IF(AND(G51="4E4",OR(G53=2,G53=4,G53=6),G55="AC"),LOOKUP(G84,T!$X176:$X192,T!$V176:$V192),IF(AND(G51="4E4",OR(G53=3,G53=5,G53=7),G55="AC"),LOOKUP(G84,T!$X176:$X192,T!$W176:$W192),0)))))))))))))))))))),IF(ISNUMBER(SEARCH("4F",G51)),IF(AND(G51="4F1",G53=2,G55="DC"),LOOKUP(G84,T!$Z198:$Z214,T!$U198:$U214),IF(AND(G51="4F1",G53=2,G55="AC"),LOOKUP(G84,T!$Z198:$Z214,T!$V198:$V214),IF(AND(G51="4F1",G53=3,G55="AC"),LOOKUP(G84,T!$Z198:$Z214,T!$W198:$W214),IF(AND(G51="4F1",G53=4,G55="DC"),LOOKUP(G84,T!$Z198:$Z214,T!$X198:$X214),IF(AND(G51="4F1",G53=4,G55="AC"),LOOKUP(G84,T!$Z198:$Z214,T!$Y198:$Y214),IF(AND(G51="4F2",G53=2,G55="DC"),LOOKUP(G84,T!$Y220:$Y236,T!$U220:$U236),IF(AND(G51="4F2",G53=2,G55="AC"),LOOKUP(G84,T!$Y220:$Y236,T!$V220:$V236),IF(AND(G51="4F2",G53=3,G55="AC"),LOOKUP(G84,T!$Y220:$Y236,T!$W220:$W236),IF(AND(G51="4F2",G53=4,G55="DC"),LOOKUP(G84,T!$Y220:$Y236,T!$X220:$X236),IF(AND(G51="4F3",G53=2),LOOKUP(G84,T!$W242:$W248,T!$U242:$U248),IF(AND(G51="4F3",G53=3,G55="AC"),LOOKUP(G84,T!$W242:$W248,T!$V242:$V248),0))))))))))),IF(ISNUMBER(SEARCH("4G",G51)),IF(AND(G51="4G1",OR(G53=2,G53=5)),LOOKUP(G84,T!$AA254:$AA269,T!$U254:$U269),IF(AND(G51="4G1",OR(G53=3,G53=6)),LOOKUP(G84,T!$AA254:$AA269,T!$X254:$X269),IF(AND(G51="4G1",OR(G53=4,G53=7)),LOOKUP(G84,T!$AA254:$AA269,T!$Y254:$Y269),IF(AND(G51="4G1",OR(G53=8,G53=9)),LOOKUP(G84,T!$AA254:$AA269,T!$Z254:$Z269),IF(AND(G51="4G2",OR(G53=2,G53=5)),LOOKUP(G84,T!$AA281:$AA296,T!$U281:$U296),IF(AND(G51="4G2",OR(G53=3,G53=6)),LOOKUP(G84,T!$AA281:$AA296,T!$X281:$X296),IF(AND(G51="4G2",OR(G53=4,G53=7)),LOOKUP(G84,T!$AA281:$AA296,T!$Y281:$Y296),IF(AND(G51="4G2",OR(G53=8,G53=9)),LOOKUP(G84,T!$AA281:$AA296,T!$Z281:$Z296),0)))))))),0)))))*G23*G69)/1000))</f>
        <v>3.4000560000000002</v>
      </c>
      <c r="H102" s="161">
        <f ca="1">IF(H29="","",IF(OR(COUNT(H19:H21)=3,COUNT(H19:H21)=1),(IF(H29="",0,IF(ISNUMBER(SEARCH("4D",H51)),IF(AND(H51="4D1",OR(H53=2,H53=4,H53=6,H53=8,H53=11),H55="DC"),LOOKUP(H84,T!$AC6:$AC27,T!$U6:$U27),IF(AND(H51="4D1",OR(H53=2,H53=4),H55="AC"),LOOKUP(H84,T!$AC6:$AC27,T!$V6:$V27),IF(AND(H51="4D1",OR(H53=6,H53=8),H55="AC"),LOOKUP(H84,T!$AC6:$AC27,T!$W6:$W27),IF(AND(H51="4D1",OR(H53=11,H53=12),H55="AC",H57=1),LOOKUP(H84,T!$AC6:$AC27,T!$X6:$X27),IF(AND(H51="4D1",OR(H53=3,H53=5),H55="AC"),LOOKUP(H84,T!$AC6:$AC27,T!$Y6:$Y27),IF(AND(H51="4D1",OR(H53=7,H53=10),H55="AC"),LOOKUP(H84,T!$AC6:$AC27,T!$Z6:$Z27),IF(AND(H51="4D1",H53=9,H55="AC"),LOOKUP(H84,T!$AC6:$AC27,T!$AA6:$AA27),IF(AND(H51="4D1",OR(H53=11,H53=12),H55="AC",H57=3),LOOKUP(H84,T!$AC13:$AC27,T!$AB13:$AB27),IF(AND(H51="4D2",OR(H53=2,H53=4,H53=6,H53=8),H55="DC"),LOOKUP(H84,T!$X33:$X50,T!$U33:$U50),IF(AND(H51="4D2",OR(H53=2,H53=4,H53=6,H53=8),H55="AC"),LOOKUP(H84,T!$X33:$X50,T!$V33:$V50),IF(AND(H51="4D2",OR(H53=3,H53=5,H53=7,H53=9),H55="AC"),LOOKUP(H84,T!$X33:$X50,T!$W33:$W50),IF(AND(H51="4D3",OR(H53=2,H53=4,H53=7,H53=8),H55="DC"),LOOKUP(H84,T!$AA56:$AA68,T!$U56:$U68),IF(AND(H51="4D3",OR(H53=2,H53=4),H55="AC"),LOOKUP(H84,T!$AA56:$AA68,T!$V56:$V68),IF(AND(H51="4D3",OR(H53=9,H53=10),H55="AC"),LOOKUP(H84,T!$AA56:$AA$68,T!$W56:$W68),IF(AND(H51="4D3",H53=6,H55="AC"),LOOKUP(H84,T!$AA56:$AA68,T!$X56:$X68),IF(AND(H51="4D3",OR(H53=3,H53=5),H55="AC"),LOOKUP(H84,T!$AA56:$AA68,T!$Y56:$Y68),IF(AND(H51="4D3",OR(H53=11,H53=12),H55="AC"),LOOKUP(H84,T!$AA56:$AA68,T!$Z56:$Z68),IF(AND(H51="4D4",OR(H53=2,H53=4,H53=6),H55="DC"),LOOKUP(H84,T!$X74:$X90,T!$U74:$U90),IF(AND(H51="4D4",OR(H53=2,H53=4,H53=6),H55="AC"),LOOKUP(H84,T!$X74:$X90,T!$V74:$V90),IF(AND(H51="4D4",OR(H53=3,H53=5,H53=7),H55="AC"),LOOKUP(H84,T!$X74:$X90,T!$W74:$W90),IF(AND(H51="4D5",AND(H53&gt;=2,H53&lt;=7)),LOOKUP(H84,T!$I96:$I102,T!$H96:$H102),0))))))))))))))))))))),IF(ISNUMBER(SEARCH("4E",H51)),IF(AND(H51="4E1",OR(H53=2,H53=4,H53=6,H53=8,H53=11),H55="DC"),LOOKUP(H84,T!$AC108:$AC129,T!$U108:$U129),IF(AND(H51="4E1",OR(H53=2,H53=4),H55="AC"),LOOKUP(H84,T!$AC108:$AC129,T!$V108:$V129),IF(AND(H51="4E1",OR(H53=6,H53=8),H55="AC"),LOOKUP(H84,T!$AC108:$AC129,T!$W108:$W129),IF(AND(H51="4E1",OR(H53=11,H53=12),H55="AC",H57=1),LOOKUP(H84,T!$AC108:$AC127,T!$X108:$X129),IF(AND(H51="4E1",OR(H53=3,H53=5),H55="AC"),LOOKUP(H84,T!$AC108:$AC129,T!$Y108:$Y129),IF(AND(H51="4E1",OR(H53=7,H53=10),H55="AC"),LOOKUP(H84,T!$AC108:$AC129,T!$Z108:$Z129),IF(AND(H51="4E1",H53=9,H55="AC"),LOOKUP(H84,T!$AC115:$AC129,T!$AA115:$AA129),IF(AND(H51="4E1",OR(H53=11,H53=12),H55="AC",H57=3),LOOKUP(H84,T!$AC115:$AC129,T!$AB115:$AB129),IF(AND(H51="4E2",OR(H53=2,H53=4,H53=6,H53=8),H55="DC"),LOOKUP(H84,T!$X134:$X152,T!$U134:$U152),IF(AND(H51="4E2",OR(H53=2,H53=4,H53=6,H53=8),H55="AC"),LOOKUP(H84,T!$X134:$X152,T!$V134:$V152),IF(AND(H51="4E2",OR(H53=3,H53=5,H53=7,H53=9),H55="AC"),LOOKUP(H84,T!$X134:$X152,T!$W134:$W152),IF(AND(H51="4E3",OR(H53=2,H53=4,H53=7,H53=8),H55="DC"),LOOKUP(H84,T!$AA158:$AA170,T!$U158:$U170),IF(AND(H51="4E3",OR(H53=2,H53=4),H55="AC"),LOOKUP(H84,T!$AA158:$AA170,T!$V158:$V170),IF(AND(H51="4E3",OR(H53=9,H53=10),H55="AC"),LOOKUP(H84,T!$AA158:$AA170,T!$W158:$W170),IF(AND(H51="4E3",H53=6,H55="AC"),LOOKUP(H84,T!$AA158:$AA170,T!$X158:$X170),IF(AND(H51="4E3",OR(H53=3,H53=5),H55="AC"),LOOKUP(H84,T!$AA158:$AA170,T!$Y158:$Y170),IF(AND(H51="4E3",OR(H53=11,H53=12),H55="AC"),LOOKUP(H84,T!$AA158:$AA170,T!$Z158:$Z170),IF(AND(H51="4E4",OR(H53=2,H53=4,H53=6),H55="DC"),LOOKUP(H84,T!$X176:$X192,T!$U176:$U192),IF(AND(H51="4E4",OR(H53=2,H53=4,H53=6),H55="AC"),LOOKUP(H84,T!$X176:$X192,T!$V176:$V192),IF(AND(H51="4E4",OR(H53=3,H53=5,H53=7),H55="AC"),LOOKUP(H84,T!$X176:$X192,T!$W176:$W192),0)))))))))))))))))))),IF(ISNUMBER(SEARCH("4F",H51)),IF(AND(H51="4F1",H53=2,H55="DC"),LOOKUP(H84,T!$Z198:$Z214,T!$U198:$U214),IF(AND(H51="4F1",H53=2,H55="AC"),LOOKUP(H84,T!$Z198:$Z214,T!$V198:$V214),IF(AND(H51="4F1",H53=3,H55="AC"),LOOKUP(H84,T!$Z198:$Z214,T!$W198:$W214),IF(AND(H51="4F1",H53=4,H55="DC"),LOOKUP(H84,T!$Z198:$Z214,T!$X198:$X214),IF(AND(H51="4F1",H53=4,H55="AC"),LOOKUP(H84,T!$Z198:$Z214,T!$Y198:$Y214),IF(AND(H51="4F2",H53=2,H55="DC"),LOOKUP(H84,T!$Y220:$Y236,T!$U220:$U236),IF(AND(H51="4F2",H53=2,H55="AC"),LOOKUP(H84,T!$Y220:$Y236,T!$V220:$V236),IF(AND(H51="4F2",H53=3,H55="AC"),LOOKUP(H84,T!$Y220:$Y236,T!$W220:$W236),IF(AND(H51="4F2",H53=4,H55="DC"),LOOKUP(H84,T!$Y220:$Y236,T!$X220:$X236),IF(AND(H51="4F3",H53=2),LOOKUP(H84,T!$W242:$W248,T!$U242:$U248),IF(AND(H51="4F3",H53=3,H55="AC"),LOOKUP(H84,T!$W242:$W248,T!$V242:$V248),0))))))))))),IF(ISNUMBER(SEARCH("4G",H51)),IF(AND(H51="4G1",OR(H53=2,H53=5)),LOOKUP(H84,T!$AA254:$AA269,T!$U254:$U269),IF(AND(H51="4G1",OR(H53=3,H53=6)),LOOKUP(H84,T!$AA254:$AA269,T!$X254:$X269),IF(AND(H51="4G1",OR(H53=4,H53=7)),LOOKUP(H84,T!$AA254:$AA269,T!$Y254:$Y269),IF(AND(H51="4G1",OR(H53=8,H53=9)),LOOKUP(H84,T!$AA254:$AA269,T!$Z254:$Z269),IF(AND(H51="4G2",OR(H53=2,H53=5)),LOOKUP(H84,T!$AA281:$AA296,T!$U281:$U296),IF(AND(H51="4G2",OR(H53=3,H53=6)),LOOKUP(H84,T!$AA281:$AA296,T!$X281:$X296),IF(AND(H51="4G2",OR(H53=4,H53=7)),LOOKUP(H84,T!$AA281:$AA296,T!$Y281:$Y296),IF(AND(H51="4G2",OR(H53=8,H53=9)),LOOKUP(H84,T!$AA281:$AA296,T!$Z281:$Z296),0)))))))),0)))))*H23*H69)/1000))</f>
        <v>2.1636719999999996</v>
      </c>
      <c r="I102" s="161">
        <f>IF(I29="","",IF(OR(COUNT(I19:I21)=3,COUNT(I19:I21)=1),(IF(I29="",0,IF(ISNUMBER(SEARCH("4D",I51)),IF(AND(I51="4D1",OR(I53=2,I53=4,I53=6,I53=8,I53=11),I55="DC"),LOOKUP(I84,T!$AC6:$AC27,T!$U6:$U27),IF(AND(I51="4D1",OR(I53=2,I53=4),I55="AC"),LOOKUP(I84,T!$AC6:$AC27,T!$V6:$V27),IF(AND(I51="4D1",OR(I53=6,I53=8),I55="AC"),LOOKUP(I84,T!$AC6:$AC27,T!$W6:$W27),IF(AND(I51="4D1",OR(I53=11,I53=12),I55="AC",I57=1),LOOKUP(I84,T!$AC6:$AC27,T!$X6:$X27),IF(AND(I51="4D1",OR(I53=3,I53=5),I55="AC"),LOOKUP(I84,T!$AC6:$AC27,T!$Y6:$Y27),IF(AND(I51="4D1",OR(I53=7,I53=10),I55="AC"),LOOKUP(I84,T!$AC6:$AC27,T!$Z6:$Z27),IF(AND(I51="4D1",I53=9,I55="AC"),LOOKUP(I84,T!$AC6:$AC27,T!$AA6:$AA27),IF(AND(I51="4D1",OR(I53=11,I53=12),I55="AC",I57=3),LOOKUP(I84,T!$AC13:$AC27,T!$AB13:$AB27),IF(AND(I51="4D2",OR(I53=2,I53=4,I53=6,I53=8),I55="DC"),LOOKUP(I84,T!$X33:$X50,T!$U33:$U50),IF(AND(I51="4D2",OR(I53=2,I53=4,I53=6,I53=8),I55="AC"),LOOKUP(I84,T!$X33:$X50,T!$V33:$V50),IF(AND(I51="4D2",OR(I53=3,I53=5,I53=7,I53=9),I55="AC"),LOOKUP(I84,T!$X33:$X50,T!$W33:$W50),IF(AND(I51="4D3",OR(I53=2,I53=4,I53=7,I53=8),I55="DC"),LOOKUP(I84,T!$AA56:$AA68,T!$U56:$U68),IF(AND(I51="4D3",OR(I53=2,I53=4),I55="AC"),LOOKUP(I84,T!$AA56:$AA68,T!$V56:$V68),IF(AND(I51="4D3",OR(I53=9,I53=10),I55="AC"),LOOKUP(I84,T!$AA56:$AA$68,T!$W56:$W68),IF(AND(I51="4D3",I53=6,I55="AC"),LOOKUP(I84,T!$AA56:$AA68,T!$X56:$X68),IF(AND(I51="4D3",OR(I53=3,I53=5),I55="AC"),LOOKUP(I84,T!$AA56:$AA68,T!$Y56:$Y68),IF(AND(I51="4D3",OR(I53=11,I53=12),I55="AC"),LOOKUP(I84,T!$AA56:$AA68,T!$Z56:$Z68),IF(AND(I51="4D4",OR(I53=2,I53=4,I53=6),I55="DC"),LOOKUP(I84,T!$X74:$X90,T!$U74:$U90),IF(AND(I51="4D4",OR(I53=2,I53=4,I53=6),I55="AC"),LOOKUP(I84,T!$X74:$X90,T!$V74:$V90),IF(AND(I51="4D4",OR(I53=3,I53=5,I53=7),I55="AC"),LOOKUP(I84,T!$X74:$X90,T!$W74:$W90),IF(AND(I51="4D5",AND(I53&gt;=2,I53&lt;=7)),LOOKUP(I84,T!$I96:$I102,T!$H96:$H102),0))))))))))))))))))))),IF(ISNUMBER(SEARCH("4E",I51)),IF(AND(I51="4E1",OR(I53=2,I53=4,I53=6,I53=8,I53=11),I55="DC"),LOOKUP(I84,T!$AC108:$AC129,T!$U108:$U129),IF(AND(I51="4E1",OR(I53=2,I53=4),I55="AC"),LOOKUP(I84,T!$AC108:$AC129,T!$V108:$V129),IF(AND(I51="4E1",OR(I53=6,I53=8),I55="AC"),LOOKUP(I84,T!$AC108:$AC129,T!$W108:$W129),IF(AND(I51="4E1",OR(I53=11,I53=12),I55="AC",I57=1),LOOKUP(I84,T!$AC108:$AC127,T!$X108:$X129),IF(AND(I51="4E1",OR(I53=3,I53=5),I55="AC"),LOOKUP(I84,T!$AC108:$AC129,T!$Y108:$Y129),IF(AND(I51="4E1",OR(I53=7,I53=10),I55="AC"),LOOKUP(I84,T!$AC108:$AC129,T!$Z108:$Z129),IF(AND(I51="4E1",I53=9,I55="AC"),LOOKUP(I84,T!$AC115:$AC129,T!$AA115:$AA129),IF(AND(I51="4E1",OR(I53=11,I53=12),I55="AC",I57=3),LOOKUP(I84,T!$AC115:$AC129,T!$AB115:$AB129),IF(AND(I51="4E2",OR(I53=2,I53=4,I53=6,I53=8),I55="DC"),LOOKUP(I84,T!$X134:$X152,T!$U134:$U152),IF(AND(I51="4E2",OR(I53=2,I53=4,I53=6,I53=8),I55="AC"),LOOKUP(I84,T!$X134:$X152,T!$V134:$V152),IF(AND(I51="4E2",OR(I53=3,I53=5,I53=7,I53=9),I55="AC"),LOOKUP(I84,T!$X134:$X152,T!$W134:$W152),IF(AND(I51="4E3",OR(I53=2,I53=4,I53=7,I53=8),I55="DC"),LOOKUP(I84,T!$AA158:$AA170,T!$U158:$U170),IF(AND(I51="4E3",OR(I53=2,I53=4),I55="AC"),LOOKUP(I84,T!$AA158:$AA170,T!$V158:$V170),IF(AND(I51="4E3",OR(I53=9,I53=10),I55="AC"),LOOKUP(I84,T!$AA158:$AA170,T!$W158:$W170),IF(AND(I51="4E3",I53=6,I55="AC"),LOOKUP(I84,T!$AA158:$AA170,T!$X158:$X170),IF(AND(I51="4E3",OR(I53=3,I53=5),I55="AC"),LOOKUP(I84,T!$AA158:$AA170,T!$Y158:$Y170),IF(AND(I51="4E3",OR(I53=11,I53=12),I55="AC"),LOOKUP(I84,T!$AA158:$AA170,T!$Z158:$Z170),IF(AND(I51="4E4",OR(I53=2,I53=4,I53=6),I55="DC"),LOOKUP(I84,T!$X176:$X192,T!$U176:$U192),IF(AND(I51="4E4",OR(I53=2,I53=4,I53=6),I55="AC"),LOOKUP(I84,T!$X176:$X192,T!$V176:$V192),IF(AND(I51="4E4",OR(I53=3,I53=5,I53=7),I55="AC"),LOOKUP(I84,T!$X176:$X192,T!$W176:$W192),0)))))))))))))))))))),IF(ISNUMBER(SEARCH("4F",I51)),IF(AND(I51="4F1",I53=2,I55="DC"),LOOKUP(I84,T!$Z198:$Z214,T!$U198:$U214),IF(AND(I51="4F1",I53=2,I55="AC"),LOOKUP(I84,T!$Z198:$Z214,T!$V198:$V214),IF(AND(I51="4F1",I53=3,I55="AC"),LOOKUP(I84,T!$Z198:$Z214,T!$W198:$W214),IF(AND(I51="4F1",I53=4,I55="DC"),LOOKUP(I84,T!$Z198:$Z214,T!$X198:$X214),IF(AND(I51="4F1",I53=4,I55="AC"),LOOKUP(I84,T!$Z198:$Z214,T!$Y198:$Y214),IF(AND(I51="4F2",I53=2,I55="DC"),LOOKUP(I84,T!$Y220:$Y236,T!$U220:$U236),IF(AND(I51="4F2",I53=2,I55="AC"),LOOKUP(I84,T!$Y220:$Y236,T!$V220:$V236),IF(AND(I51="4F2",I53=3,I55="AC"),LOOKUP(I84,T!$Y220:$Y236,T!$W220:$W236),IF(AND(I51="4F2",I53=4,I55="DC"),LOOKUP(I84,T!$Y220:$Y236,T!$X220:$X236),IF(AND(I51="4F3",I53=2),LOOKUP(I84,T!$W242:$W248,T!$U242:$U248),IF(AND(I51="4F3",I53=3,I55="AC"),LOOKUP(I84,T!$W242:$W248,T!$V242:$V248),0))))))))))),IF(ISNUMBER(SEARCH("4G",I51)),IF(AND(I51="4G1",OR(I53=2,I53=5)),LOOKUP(I84,T!$AA254:$AA269,T!$U254:$U269),IF(AND(I51="4G1",OR(I53=3,I53=6)),LOOKUP(I84,T!$AA254:$AA269,T!$X254:$X269),IF(AND(I51="4G1",OR(I53=4,I53=7)),LOOKUP(I84,T!$AA254:$AA269,T!$Y254:$Y269),IF(AND(I51="4G1",OR(I53=8,I53=9)),LOOKUP(I84,T!$AA254:$AA269,T!$Z254:$Z269),IF(AND(I51="4G2",OR(I53=2,I53=5)),LOOKUP(I84,T!$AA281:$AA296,T!$U281:$U296),IF(AND(I51="4G2",OR(I53=3,I53=6)),LOOKUP(I84,T!$AA281:$AA296,T!$X281:$X296),IF(AND(I51="4G2",OR(I53=4,I53=7)),LOOKUP(I84,T!$AA281:$AA296,T!$Y281:$Y296),IF(AND(I51="4G2",OR(I53=8,I53=9)),LOOKUP(I84,T!$AA281:$AA296,T!$Z281:$Z296),0)))))))),0)))))*I23*I69)/1000))</f>
        <v>0</v>
      </c>
      <c r="J102" s="161">
        <f>IF(J29="","",IF(OR(COUNT(J19:J21)=3,COUNT(J19:J21)=1),(IF(J29="",0,IF(ISNUMBER(SEARCH("4D",J51)),IF(AND(J51="4D1",OR(J53=2,J53=4,J53=6,J53=8,J53=11),J55="DC"),LOOKUP(J84,T!$AC6:$AC27,T!$U6:$U27),IF(AND(J51="4D1",OR(J53=2,J53=4),J55="AC"),LOOKUP(J84,T!$AC6:$AC27,T!$V6:$V27),IF(AND(J51="4D1",OR(J53=6,J53=8),J55="AC"),LOOKUP(J84,T!$AC6:$AC27,T!$W6:$W27),IF(AND(J51="4D1",OR(J53=11,J53=12),J55="AC",J57=1),LOOKUP(J84,T!$AC6:$AC27,T!$X6:$X27),IF(AND(J51="4D1",OR(J53=3,J53=5),J55="AC"),LOOKUP(J84,T!$AC6:$AC27,T!$Y6:$Y27),IF(AND(J51="4D1",OR(J53=7,J53=10),J55="AC"),LOOKUP(J84,T!$AC6:$AC27,T!$Z6:$Z27),IF(AND(J51="4D1",J53=9,J55="AC"),LOOKUP(J84,T!$AC6:$AC27,T!$AA6:$AA27),IF(AND(J51="4D1",OR(J53=11,J53=12),J55="AC",J57=3),LOOKUP(J84,T!$AC13:$AC27,T!$AB13:$AB27),IF(AND(J51="4D2",OR(J53=2,J53=4,J53=6,J53=8),J55="DC"),LOOKUP(J84,T!$X33:$X50,T!$U33:$U50),IF(AND(J51="4D2",OR(J53=2,J53=4,J53=6,J53=8),J55="AC"),LOOKUP(J84,T!$X33:$X50,T!$V33:$V50),IF(AND(J51="4D2",OR(J53=3,J53=5,J53=7,J53=9),J55="AC"),LOOKUP(J84,T!$X33:$X50,T!$W33:$W50),IF(AND(J51="4D3",OR(J53=2,J53=4,J53=7,J53=8),J55="DC"),LOOKUP(J84,T!$AA56:$AA68,T!$U56:$U68),IF(AND(J51="4D3",OR(J53=2,J53=4),J55="AC"),LOOKUP(J84,T!$AA56:$AA68,T!$V56:$V68),IF(AND(J51="4D3",OR(J53=9,J53=10),J55="AC"),LOOKUP(J84,T!$AA56:$AA$68,T!$W56:$W68),IF(AND(J51="4D3",J53=6,J55="AC"),LOOKUP(J84,T!$AA56:$AA68,T!$X56:$X68),IF(AND(J51="4D3",OR(J53=3,J53=5),J55="AC"),LOOKUP(J84,T!$AA56:$AA68,T!$Y56:$Y68),IF(AND(J51="4D3",OR(J53=11,J53=12),J55="AC"),LOOKUP(J84,T!$AA56:$AA68,T!$Z56:$Z68),IF(AND(J51="4D4",OR(J53=2,J53=4,J53=6),J55="DC"),LOOKUP(J84,T!$X74:$X90,T!$U74:$U90),IF(AND(J51="4D4",OR(J53=2,J53=4,J53=6),J55="AC"),LOOKUP(J84,T!$X74:$X90,T!$V74:$V90),IF(AND(J51="4D4",OR(J53=3,J53=5,J53=7),J55="AC"),LOOKUP(J84,T!$X74:$X90,T!$W74:$W90),IF(AND(J51="4D5",AND(J53&gt;=2,J53&lt;=7)),LOOKUP(J84,T!$I96:$I102,T!$H96:$H102),0))))))))))))))))))))),IF(ISNUMBER(SEARCH("4E",J51)),IF(AND(J51="4E1",OR(J53=2,J53=4,J53=6,J53=8,J53=11),J55="DC"),LOOKUP(J84,T!$AC108:$AC129,T!$U108:$U129),IF(AND(J51="4E1",OR(J53=2,J53=4),J55="AC"),LOOKUP(J84,T!$AC108:$AC129,T!$V108:$V129),IF(AND(J51="4E1",OR(J53=6,J53=8),J55="AC"),LOOKUP(J84,T!$AC108:$AC129,T!$W108:$W129),IF(AND(J51="4E1",OR(J53=11,J53=12),J55="AC",J57=1),LOOKUP(J84,T!$AC108:$AC127,T!$X108:$X129),IF(AND(J51="4E1",OR(J53=3,J53=5),J55="AC"),LOOKUP(J84,T!$AC108:$AC129,T!$Y108:$Y129),IF(AND(J51="4E1",OR(J53=7,J53=10),J55="AC"),LOOKUP(J84,T!$AC108:$AC129,T!$Z108:$Z129),IF(AND(J51="4E1",J53=9,J55="AC"),LOOKUP(J84,T!$AC115:$AC129,T!$AA115:$AA129),IF(AND(J51="4E1",OR(J53=11,J53=12),J55="AC",J57=3),LOOKUP(J84,T!$AC115:$AC129,T!$AB115:$AB129),IF(AND(J51="4E2",OR(J53=2,J53=4,J53=6,J53=8),J55="DC"),LOOKUP(J84,T!$X134:$X152,T!$U134:$U152),IF(AND(J51="4E2",OR(J53=2,J53=4,J53=6,J53=8),J55="AC"),LOOKUP(J84,T!$X134:$X152,T!$V134:$V152),IF(AND(J51="4E2",OR(J53=3,J53=5,J53=7,J53=9),J55="AC"),LOOKUP(J84,T!$X134:$X152,T!$W134:$W152),IF(AND(J51="4E3",OR(J53=2,J53=4,J53=7,J53=8),J55="DC"),LOOKUP(J84,T!$AA158:$AA170,T!$U158:$U170),IF(AND(J51="4E3",OR(J53=2,J53=4),J55="AC"),LOOKUP(J84,T!$AA158:$AA170,T!$V158:$V170),IF(AND(J51="4E3",OR(J53=9,J53=10),J55="AC"),LOOKUP(J84,T!$AA158:$AA170,T!$W158:$W170),IF(AND(J51="4E3",J53=6,J55="AC"),LOOKUP(J84,T!$AA158:$AA170,T!$X158:$X170),IF(AND(J51="4E3",OR(J53=3,J53=5),J55="AC"),LOOKUP(J84,T!$AA158:$AA170,T!$Y158:$Y170),IF(AND(J51="4E3",OR(J53=11,J53=12),J55="AC"),LOOKUP(J84,T!$AA158:$AA170,T!$Z158:$Z170),IF(AND(J51="4E4",OR(J53=2,J53=4,J53=6),J55="DC"),LOOKUP(J84,T!$X176:$X192,T!$U176:$U192),IF(AND(J51="4E4",OR(J53=2,J53=4,J53=6),J55="AC"),LOOKUP(J84,T!$X176:$X192,T!$V176:$V192),IF(AND(J51="4E4",OR(J53=3,J53=5,J53=7),J55="AC"),LOOKUP(J84,T!$X176:$X192,T!$W176:$W192),0)))))))))))))))))))),IF(ISNUMBER(SEARCH("4F",J51)),IF(AND(J51="4F1",J53=2,J55="DC"),LOOKUP(J84,T!$Z198:$Z214,T!$U198:$U214),IF(AND(J51="4F1",J53=2,J55="AC"),LOOKUP(J84,T!$Z198:$Z214,T!$V198:$V214),IF(AND(J51="4F1",J53=3,J55="AC"),LOOKUP(J84,T!$Z198:$Z214,T!$W198:$W214),IF(AND(J51="4F1",J53=4,J55="DC"),LOOKUP(J84,T!$Z198:$Z214,T!$X198:$X214),IF(AND(J51="4F1",J53=4,J55="AC"),LOOKUP(J84,T!$Z198:$Z214,T!$Y198:$Y214),IF(AND(J51="4F2",J53=2,J55="DC"),LOOKUP(J84,T!$Y220:$Y236,T!$U220:$U236),IF(AND(J51="4F2",J53=2,J55="AC"),LOOKUP(J84,T!$Y220:$Y236,T!$V220:$V236),IF(AND(J51="4F2",J53=3,J55="AC"),LOOKUP(J84,T!$Y220:$Y236,T!$W220:$W236),IF(AND(J51="4F2",J53=4,J55="DC"),LOOKUP(J84,T!$Y220:$Y236,T!$X220:$X236),IF(AND(J51="4F3",J53=2),LOOKUP(J84,T!$W242:$W248,T!$U242:$U248),IF(AND(J51="4F3",J53=3,J55="AC"),LOOKUP(J84,T!$W242:$W248,T!$V242:$V248),0))))))))))),IF(ISNUMBER(SEARCH("4G",J51)),IF(AND(J51="4G1",OR(J53=2,J53=5)),LOOKUP(J84,T!$AA254:$AA269,T!$U254:$U269),IF(AND(J51="4G1",OR(J53=3,J53=6)),LOOKUP(J84,T!$AA254:$AA269,T!$X254:$X269),IF(AND(J51="4G1",OR(J53=4,J53=7)),LOOKUP(J84,T!$AA254:$AA269,T!$Y254:$Y269),IF(AND(J51="4G1",OR(J53=8,J53=9)),LOOKUP(J84,T!$AA254:$AA269,T!$Z254:$Z269),IF(AND(J51="4G2",OR(J53=2,J53=5)),LOOKUP(J84,T!$AA281:$AA296,T!$U281:$U296),IF(AND(J51="4G2",OR(J53=3,J53=6)),LOOKUP(J84,T!$AA281:$AA296,T!$X281:$X296),IF(AND(J51="4G2",OR(J53=4,J53=7)),LOOKUP(J84,T!$AA281:$AA296,T!$Y281:$Y296),IF(AND(J51="4G2",OR(J53=8,J53=9)),LOOKUP(J84,T!$AA281:$AA296,T!$Z281:$Z296),0)))))))),0)))))*J23*J69)/1000))</f>
        <v>14.322916666666668</v>
      </c>
      <c r="K102" s="161">
        <f>IF(K29="","",IF(OR(COUNT(K19:K21)=3,COUNT(K19:K21)=1),(IF(K29="",0,IF(ISNUMBER(SEARCH("4D",K51)),IF(AND(K51="4D1",OR(K53=2,K53=4,K53=6,K53=8,K53=11),K55="DC"),LOOKUP(K84,T!$AC6:$AC27,T!$U6:$U27),IF(AND(K51="4D1",OR(K53=2,K53=4),K55="AC"),LOOKUP(K84,T!$AC6:$AC27,T!$V6:$V27),IF(AND(K51="4D1",OR(K53=6,K53=8),K55="AC"),LOOKUP(K84,T!$AC6:$AC27,T!$W6:$W27),IF(AND(K51="4D1",OR(K53=11,K53=12),K55="AC",K57=1),LOOKUP(K84,T!$AC6:$AC27,T!$X6:$X27),IF(AND(K51="4D1",OR(K53=3,K53=5),K55="AC"),LOOKUP(K84,T!$AC6:$AC27,T!$Y6:$Y27),IF(AND(K51="4D1",OR(K53=7,K53=10),K55="AC"),LOOKUP(K84,T!$AC6:$AC27,T!$Z6:$Z27),IF(AND(K51="4D1",K53=9,K55="AC"),LOOKUP(K84,T!$AC6:$AC27,T!$AA6:$AA27),IF(AND(K51="4D1",OR(K53=11,K53=12),K55="AC",K57=3),LOOKUP(K84,T!$AC13:$AC27,T!$AB13:$AB27),IF(AND(K51="4D2",OR(K53=2,K53=4,K53=6,K53=8),K55="DC"),LOOKUP(K84,T!$X33:$X50,T!$U33:$U50),IF(AND(K51="4D2",OR(K53=2,K53=4,K53=6,K53=8),K55="AC"),LOOKUP(K84,T!$X33:$X50,T!$V33:$V50),IF(AND(K51="4D2",OR(K53=3,K53=5,K53=7,K53=9),K55="AC"),LOOKUP(K84,T!$X33:$X50,T!$W33:$W50),IF(AND(K51="4D3",OR(K53=2,K53=4,K53=7,K53=8),K55="DC"),LOOKUP(K84,T!$AA56:$AA68,T!$U56:$U68),IF(AND(K51="4D3",OR(K53=2,K53=4),K55="AC"),LOOKUP(K84,T!$AA56:$AA68,T!$V56:$V68),IF(AND(K51="4D3",OR(K53=9,K53=10),K55="AC"),LOOKUP(K84,T!$AA56:$AA$68,T!$W56:$W68),IF(AND(K51="4D3",K53=6,K55="AC"),LOOKUP(K84,T!$AA56:$AA68,T!$X56:$X68),IF(AND(K51="4D3",OR(K53=3,K53=5),K55="AC"),LOOKUP(K84,T!$AA56:$AA68,T!$Y56:$Y68),IF(AND(K51="4D3",OR(K53=11,K53=12),K55="AC"),LOOKUP(K84,T!$AA56:$AA68,T!$Z56:$Z68),IF(AND(K51="4D4",OR(K53=2,K53=4,K53=6),K55="DC"),LOOKUP(K84,T!$X74:$X90,T!$U74:$U90),IF(AND(K51="4D4",OR(K53=2,K53=4,K53=6),K55="AC"),LOOKUP(K84,T!$X74:$X90,T!$V74:$V90),IF(AND(K51="4D4",OR(K53=3,K53=5,K53=7),K55="AC"),LOOKUP(K84,T!$X74:$X90,T!$W74:$W90),IF(AND(K51="4D5",AND(K53&gt;=2,K53&lt;=7)),LOOKUP(K84,T!$I96:$I102,T!$H96:$H102),0))))))))))))))))))))),IF(ISNUMBER(SEARCH("4E",K51)),IF(AND(K51="4E1",OR(K53=2,K53=4,K53=6,K53=8,K53=11),K55="DC"),LOOKUP(K84,T!$AC108:$AC129,T!$U108:$U129),IF(AND(K51="4E1",OR(K53=2,K53=4),K55="AC"),LOOKUP(K84,T!$AC108:$AC129,T!$V108:$V129),IF(AND(K51="4E1",OR(K53=6,K53=8),K55="AC"),LOOKUP(K84,T!$AC108:$AC129,T!$W108:$W129),IF(AND(K51="4E1",OR(K53=11,K53=12),K55="AC",K57=1),LOOKUP(K84,T!$AC108:$AC127,T!$X108:$X129),IF(AND(K51="4E1",OR(K53=3,K53=5),K55="AC"),LOOKUP(K84,T!$AC108:$AC129,T!$Y108:$Y129),IF(AND(K51="4E1",OR(K53=7,K53=10),K55="AC"),LOOKUP(K84,T!$AC108:$AC129,T!$Z108:$Z129),IF(AND(K51="4E1",K53=9,K55="AC"),LOOKUP(K84,T!$AC115:$AC129,T!$AA115:$AA129),IF(AND(K51="4E1",OR(K53=11,K53=12),K55="AC",K57=3),LOOKUP(K84,T!$AC115:$AC129,T!$AB115:$AB129),IF(AND(K51="4E2",OR(K53=2,K53=4,K53=6,K53=8),K55="DC"),LOOKUP(K84,T!$X134:$X152,T!$U134:$U152),IF(AND(K51="4E2",OR(K53=2,K53=4,K53=6,K53=8),K55="AC"),LOOKUP(K84,T!$X134:$X152,T!$V134:$V152),IF(AND(K51="4E2",OR(K53=3,K53=5,K53=7,K53=9),K55="AC"),LOOKUP(K84,T!$X134:$X152,T!$W134:$W152),IF(AND(K51="4E3",OR(K53=2,K53=4,K53=7,K53=8),K55="DC"),LOOKUP(K84,T!$AA158:$AA170,T!$U158:$U170),IF(AND(K51="4E3",OR(K53=2,K53=4),K55="AC"),LOOKUP(K84,T!$AA158:$AA170,T!$V158:$V170),IF(AND(K51="4E3",OR(K53=9,K53=10),K55="AC"),LOOKUP(K84,T!$AA158:$AA170,T!$W158:$W170),IF(AND(K51="4E3",K53=6,K55="AC"),LOOKUP(K84,T!$AA158:$AA170,T!$X158:$X170),IF(AND(K51="4E3",OR(K53=3,K53=5),K55="AC"),LOOKUP(K84,T!$AA158:$AA170,T!$Y158:$Y170),IF(AND(K51="4E3",OR(K53=11,K53=12),K55="AC"),LOOKUP(K84,T!$AA158:$AA170,T!$Z158:$Z170),IF(AND(K51="4E4",OR(K53=2,K53=4,K53=6),K55="DC"),LOOKUP(K84,T!$X176:$X192,T!$U176:$U192),IF(AND(K51="4E4",OR(K53=2,K53=4,K53=6),K55="AC"),LOOKUP(K84,T!$X176:$X192,T!$V176:$V192),IF(AND(K51="4E4",OR(K53=3,K53=5,K53=7),K55="AC"),LOOKUP(K84,T!$X176:$X192,T!$W176:$W192),0)))))))))))))))))))),IF(ISNUMBER(SEARCH("4F",K51)),IF(AND(K51="4F1",K53=2,K55="DC"),LOOKUP(K84,T!$Z198:$Z214,T!$U198:$U214),IF(AND(K51="4F1",K53=2,K55="AC"),LOOKUP(K84,T!$Z198:$Z214,T!$V198:$V214),IF(AND(K51="4F1",K53=3,K55="AC"),LOOKUP(K84,T!$Z198:$Z214,T!$W198:$W214),IF(AND(K51="4F1",K53=4,K55="DC"),LOOKUP(K84,T!$Z198:$Z214,T!$X198:$X214),IF(AND(K51="4F1",K53=4,K55="AC"),LOOKUP(K84,T!$Z198:$Z214,T!$Y198:$Y214),IF(AND(K51="4F2",K53=2,K55="DC"),LOOKUP(K84,T!$Y220:$Y236,T!$U220:$U236),IF(AND(K51="4F2",K53=2,K55="AC"),LOOKUP(K84,T!$Y220:$Y236,T!$V220:$V236),IF(AND(K51="4F2",K53=3,K55="AC"),LOOKUP(K84,T!$Y220:$Y236,T!$W220:$W236),IF(AND(K51="4F2",K53=4,K55="DC"),LOOKUP(K84,T!$Y220:$Y236,T!$X220:$X236),IF(AND(K51="4F3",K53=2),LOOKUP(K84,T!$W242:$W248,T!$U242:$U248),IF(AND(K51="4F3",K53=3,K55="AC"),LOOKUP(K84,T!$W242:$W248,T!$V242:$V248),0))))))))))),IF(ISNUMBER(SEARCH("4G",K51)),IF(AND(K51="4G1",OR(K53=2,K53=5)),LOOKUP(K84,T!$AA254:$AA269,T!$U254:$U269),IF(AND(K51="4G1",OR(K53=3,K53=6)),LOOKUP(K84,T!$AA254:$AA269,T!$X254:$X269),IF(AND(K51="4G1",OR(K53=4,K53=7)),LOOKUP(K84,T!$AA254:$AA269,T!$Y254:$Y269),IF(AND(K51="4G1",OR(K53=8,K53=9)),LOOKUP(K84,T!$AA254:$AA269,T!$Z254:$Z269),IF(AND(K51="4G2",OR(K53=2,K53=5)),LOOKUP(K84,T!$AA281:$AA296,T!$U281:$U296),IF(AND(K51="4G2",OR(K53=3,K53=6)),LOOKUP(K84,T!$AA281:$AA296,T!$X281:$X296),IF(AND(K51="4G2",OR(K53=4,K53=7)),LOOKUP(K84,T!$AA281:$AA296,T!$Y281:$Y296),IF(AND(K51="4G2",OR(K53=8,K53=9)),LOOKUP(K84,T!$AA281:$AA296,T!$Z281:$Z296),0)))))))),0)))))*K23*K69)/1000))</f>
        <v>2.83338</v>
      </c>
      <c r="L102" s="161">
        <f>IF(L29="","",IF(OR(COUNT(L19:L21)=3,COUNT(L19:L21)=1),(IF(L29="",0,IF(ISNUMBER(SEARCH("4D",L51)),IF(AND(L51="4D1",OR(L53=2,L53=4,L53=6,L53=8,L53=11),L55="DC"),LOOKUP(L84,T!$AC6:$AC27,T!$U6:$U27),IF(AND(L51="4D1",OR(L53=2,L53=4),L55="AC"),LOOKUP(L84,T!$AC6:$AC27,T!$V6:$V27),IF(AND(L51="4D1",OR(L53=6,L53=8),L55="AC"),LOOKUP(L84,T!$AC6:$AC27,T!$W6:$W27),IF(AND(L51="4D1",OR(L53=11,L53=12),L55="AC",L57=1),LOOKUP(L84,T!$AC6:$AC27,T!$X6:$X27),IF(AND(L51="4D1",OR(L53=3,L53=5),L55="AC"),LOOKUP(L84,T!$AC6:$AC27,T!$Y6:$Y27),IF(AND(L51="4D1",OR(L53=7,L53=10),L55="AC"),LOOKUP(L84,T!$AC6:$AC27,T!$Z6:$Z27),IF(AND(L51="4D1",L53=9,L55="AC"),LOOKUP(L84,T!$AC6:$AC27,T!$AA6:$AA27),IF(AND(L51="4D1",OR(L53=11,L53=12),L55="AC",L57=3),LOOKUP(L84,T!$AC13:$AC27,T!$AB13:$AB27),IF(AND(L51="4D2",OR(L53=2,L53=4,L53=6,L53=8),L55="DC"),LOOKUP(L84,T!$X33:$X50,T!$U33:$U50),IF(AND(L51="4D2",OR(L53=2,L53=4,L53=6,L53=8),L55="AC"),LOOKUP(L84,T!$X33:$X50,T!$V33:$V50),IF(AND(L51="4D2",OR(L53=3,L53=5,L53=7,L53=9),L55="AC"),LOOKUP(L84,T!$X33:$X50,T!$W33:$W50),IF(AND(L51="4D3",OR(L53=2,L53=4,L53=7,L53=8),L55="DC"),LOOKUP(L84,T!$AA56:$AA68,T!$U56:$U68),IF(AND(L51="4D3",OR(L53=2,L53=4),L55="AC"),LOOKUP(L84,T!$AA56:$AA68,T!$V56:$V68),IF(AND(L51="4D3",OR(L53=9,L53=10),L55="AC"),LOOKUP(L84,T!$AA56:$AA$68,T!$W56:$W68),IF(AND(L51="4D3",L53=6,L55="AC"),LOOKUP(L84,T!$AA56:$AA68,T!$X56:$X68),IF(AND(L51="4D3",OR(L53=3,L53=5),L55="AC"),LOOKUP(L84,T!$AA56:$AA68,T!$Y56:$Y68),IF(AND(L51="4D3",OR(L53=11,L53=12),L55="AC"),LOOKUP(L84,T!$AA56:$AA68,T!$Z56:$Z68),IF(AND(L51="4D4",OR(L53=2,L53=4,L53=6),L55="DC"),LOOKUP(L84,T!$X74:$X90,T!$U74:$U90),IF(AND(L51="4D4",OR(L53=2,L53=4,L53=6),L55="AC"),LOOKUP(L84,T!$X74:$X90,T!$V74:$V90),IF(AND(L51="4D4",OR(L53=3,L53=5,L53=7),L55="AC"),LOOKUP(L84,T!$X74:$X90,T!$W74:$W90),IF(AND(L51="4D5",AND(L53&gt;=2,L53&lt;=7)),LOOKUP(L84,T!$I96:$I102,T!$H96:$H102),0))))))))))))))))))))),IF(ISNUMBER(SEARCH("4E",L51)),IF(AND(L51="4E1",OR(L53=2,L53=4,L53=6,L53=8,L53=11),L55="DC"),LOOKUP(L84,T!$AC108:$AC129,T!$U108:$U129),IF(AND(L51="4E1",OR(L53=2,L53=4),L55="AC"),LOOKUP(L84,T!$AC108:$AC129,T!$V108:$V129),IF(AND(L51="4E1",OR(L53=6,L53=8),L55="AC"),LOOKUP(L84,T!$AC108:$AC129,T!$W108:$W129),IF(AND(L51="4E1",OR(L53=11,L53=12),L55="AC",L57=1),LOOKUP(L84,T!$AC108:$AC127,T!$X108:$X129),IF(AND(L51="4E1",OR(L53=3,L53=5),L55="AC"),LOOKUP(L84,T!$AC108:$AC129,T!$Y108:$Y129),IF(AND(L51="4E1",OR(L53=7,L53=10),L55="AC"),LOOKUP(L84,T!$AC108:$AC129,T!$Z108:$Z129),IF(AND(L51="4E1",L53=9,L55="AC"),LOOKUP(L84,T!$AC115:$AC129,T!$AA115:$AA129),IF(AND(L51="4E1",OR(L53=11,L53=12),L55="AC",L57=3),LOOKUP(L84,T!$AC115:$AC129,T!$AB115:$AB129),IF(AND(L51="4E2",OR(L53=2,L53=4,L53=6,L53=8),L55="DC"),LOOKUP(L84,T!$X134:$X152,T!$U134:$U152),IF(AND(L51="4E2",OR(L53=2,L53=4,L53=6,L53=8),L55="AC"),LOOKUP(L84,T!$X134:$X152,T!$V134:$V152),IF(AND(L51="4E2",OR(L53=3,L53=5,L53=7,L53=9),L55="AC"),LOOKUP(L84,T!$X134:$X152,T!$W134:$W152),IF(AND(L51="4E3",OR(L53=2,L53=4,L53=7,L53=8),L55="DC"),LOOKUP(L84,T!$AA158:$AA170,T!$U158:$U170),IF(AND(L51="4E3",OR(L53=2,L53=4),L55="AC"),LOOKUP(L84,T!$AA158:$AA170,T!$V158:$V170),IF(AND(L51="4E3",OR(L53=9,L53=10),L55="AC"),LOOKUP(L84,T!$AA158:$AA170,T!$W158:$W170),IF(AND(L51="4E3",L53=6,L55="AC"),LOOKUP(L84,T!$AA158:$AA170,T!$X158:$X170),IF(AND(L51="4E3",OR(L53=3,L53=5),L55="AC"),LOOKUP(L84,T!$AA158:$AA170,T!$Y158:$Y170),IF(AND(L51="4E3",OR(L53=11,L53=12),L55="AC"),LOOKUP(L84,T!$AA158:$AA170,T!$Z158:$Z170),IF(AND(L51="4E4",OR(L53=2,L53=4,L53=6),L55="DC"),LOOKUP(L84,T!$X176:$X192,T!$U176:$U192),IF(AND(L51="4E4",OR(L53=2,L53=4,L53=6),L55="AC"),LOOKUP(L84,T!$X176:$X192,T!$V176:$V192),IF(AND(L51="4E4",OR(L53=3,L53=5,L53=7),L55="AC"),LOOKUP(L84,T!$X176:$X192,T!$W176:$W192),0)))))))))))))))))))),IF(ISNUMBER(SEARCH("4F",L51)),IF(AND(L51="4F1",L53=2,L55="DC"),LOOKUP(L84,T!$Z198:$Z214,T!$U198:$U214),IF(AND(L51="4F1",L53=2,L55="AC"),LOOKUP(L84,T!$Z198:$Z214,T!$V198:$V214),IF(AND(L51="4F1",L53=3,L55="AC"),LOOKUP(L84,T!$Z198:$Z214,T!$W198:$W214),IF(AND(L51="4F1",L53=4,L55="DC"),LOOKUP(L84,T!$Z198:$Z214,T!$X198:$X214),IF(AND(L51="4F1",L53=4,L55="AC"),LOOKUP(L84,T!$Z198:$Z214,T!$Y198:$Y214),IF(AND(L51="4F2",L53=2,L55="DC"),LOOKUP(L84,T!$Y220:$Y236,T!$U220:$U236),IF(AND(L51="4F2",L53=2,L55="AC"),LOOKUP(L84,T!$Y220:$Y236,T!$V220:$V236),IF(AND(L51="4F2",L53=3,L55="AC"),LOOKUP(L84,T!$Y220:$Y236,T!$W220:$W236),IF(AND(L51="4F2",L53=4,L55="DC"),LOOKUP(L84,T!$Y220:$Y236,T!$X220:$X236),IF(AND(L51="4F3",L53=2),LOOKUP(L84,T!$W242:$W248,T!$U242:$U248),IF(AND(L51="4F3",L53=3,L55="AC"),LOOKUP(L84,T!$W242:$W248,T!$V242:$V248),0))))))))))),IF(ISNUMBER(SEARCH("4G",L51)),IF(AND(L51="4G1",OR(L53=2,L53=5)),LOOKUP(L84,T!$AA254:$AA269,T!$U254:$U269),IF(AND(L51="4G1",OR(L53=3,L53=6)),LOOKUP(L84,T!$AA254:$AA269,T!$X254:$X269),IF(AND(L51="4G1",OR(L53=4,L53=7)),LOOKUP(L84,T!$AA254:$AA269,T!$Y254:$Y269),IF(AND(L51="4G1",OR(L53=8,L53=9)),LOOKUP(L84,T!$AA254:$AA269,T!$Z254:$Z269),IF(AND(L51="4G2",OR(L53=2,L53=5)),LOOKUP(L84,T!$AA281:$AA296,T!$U281:$U296),IF(AND(L51="4G2",OR(L53=3,L53=6)),LOOKUP(L84,T!$AA281:$AA296,T!$X281:$X296),IF(AND(L51="4G2",OR(L53=4,L53=7)),LOOKUP(L84,T!$AA281:$AA296,T!$Y281:$Y296),IF(AND(L51="4G2",OR(L53=8,L53=9)),LOOKUP(L84,T!$AA281:$AA296,T!$Z281:$Z296),0)))))))),0)))))*L23*L69)/1000))</f>
        <v>1.8803339999999997</v>
      </c>
      <c r="M102" s="161" t="str">
        <f>IF(M29="","",IF(OR(COUNT(M19:M21)=3,COUNT(M19:M21)=1),(IF(M29="",0,IF(ISNUMBER(SEARCH("4D",M51)),IF(AND(M51="4D1",OR(M53=2,M53=4,M53=6,M53=8,M53=11),M55="DC"),LOOKUP(M84,T!$AC6:$AC27,T!$U6:$U27),IF(AND(M51="4D1",OR(M53=2,M53=4),M55="AC"),LOOKUP(M84,T!$AC6:$AC27,T!$V6:$V27),IF(AND(M51="4D1",OR(M53=6,M53=8),M55="AC"),LOOKUP(M84,T!$AC6:$AC27,T!$W6:$W27),IF(AND(M51="4D1",OR(M53=11,M53=12),M55="AC",M57=1),LOOKUP(M84,T!$AC6:$AC27,T!$X6:$X27),IF(AND(M51="4D1",OR(M53=3,M53=5),M55="AC"),LOOKUP(M84,T!$AC6:$AC27,T!$Y6:$Y27),IF(AND(M51="4D1",OR(M53=7,M53=10),M55="AC"),LOOKUP(M84,T!$AC6:$AC27,T!$Z6:$Z27),IF(AND(M51="4D1",M53=9,M55="AC"),LOOKUP(M84,T!$AC6:$AC27,T!$AA6:$AA27),IF(AND(M51="4D1",OR(M53=11,M53=12),M55="AC",M57=3),LOOKUP(M84,T!$AC13:$AC27,T!$AB13:$AB27),IF(AND(M51="4D2",OR(M53=2,M53=4,M53=6,M53=8),M55="DC"),LOOKUP(M84,T!$X33:$X50,T!$U33:$U50),IF(AND(M51="4D2",OR(M53=2,M53=4,M53=6,M53=8),M55="AC"),LOOKUP(M84,T!$X33:$X50,T!$V33:$V50),IF(AND(M51="4D2",OR(M53=3,M53=5,M53=7,M53=9),M55="AC"),LOOKUP(M84,T!$X33:$X50,T!$W33:$W50),IF(AND(M51="4D3",OR(M53=2,M53=4,M53=7,M53=8),M55="DC"),LOOKUP(M84,T!$AA56:$AA68,T!$U56:$U68),IF(AND(M51="4D3",OR(M53=2,M53=4),M55="AC"),LOOKUP(M84,T!$AA56:$AA68,T!$V56:$V68),IF(AND(M51="4D3",OR(M53=9,M53=10),M55="AC"),LOOKUP(M84,T!$AA56:$AA$68,T!$W56:$W68),IF(AND(M51="4D3",M53=6,M55="AC"),LOOKUP(M84,T!$AA56:$AA68,T!$X56:$X68),IF(AND(M51="4D3",OR(M53=3,M53=5),M55="AC"),LOOKUP(M84,T!$AA56:$AA68,T!$Y56:$Y68),IF(AND(M51="4D3",OR(M53=11,M53=12),M55="AC"),LOOKUP(M84,T!$AA56:$AA68,T!$Z56:$Z68),IF(AND(M51="4D4",OR(M53=2,M53=4,M53=6),M55="DC"),LOOKUP(M84,T!$X74:$X90,T!$U74:$U90),IF(AND(M51="4D4",OR(M53=2,M53=4,M53=6),M55="AC"),LOOKUP(M84,T!$X74:$X90,T!$V74:$V90),IF(AND(M51="4D4",OR(M53=3,M53=5,M53=7),M55="AC"),LOOKUP(M84,T!$X74:$X90,T!$W74:$W90),IF(AND(M51="4D5",AND(M53&gt;=2,M53&lt;=7)),LOOKUP(M84,T!$I96:$I102,T!$H96:$H102),0))))))))))))))))))))),IF(ISNUMBER(SEARCH("4E",M51)),IF(AND(M51="4E1",OR(M53=2,M53=4,M53=6,M53=8,M53=11),M55="DC"),LOOKUP(M84,T!$AC108:$AC129,T!$U108:$U129),IF(AND(M51="4E1",OR(M53=2,M53=4),M55="AC"),LOOKUP(M84,T!$AC108:$AC129,T!$V108:$V129),IF(AND(M51="4E1",OR(M53=6,M53=8),M55="AC"),LOOKUP(M84,T!$AC108:$AC129,T!$W108:$W129),IF(AND(M51="4E1",OR(M53=11,M53=12),M55="AC",M57=1),LOOKUP(M84,T!$AC108:$AC127,T!$X108:$X129),IF(AND(M51="4E1",OR(M53=3,M53=5),M55="AC"),LOOKUP(M84,T!$AC108:$AC129,T!$Y108:$Y129),IF(AND(M51="4E1",OR(M53=7,M53=10),M55="AC"),LOOKUP(M84,T!$AC108:$AC129,T!$Z108:$Z129),IF(AND(M51="4E1",M53=9,M55="AC"),LOOKUP(M84,T!$AC115:$AC129,T!$AA115:$AA129),IF(AND(M51="4E1",OR(M53=11,M53=12),M55="AC",M57=3),LOOKUP(M84,T!$AC115:$AC129,T!$AB115:$AB129),IF(AND(M51="4E2",OR(M53=2,M53=4,M53=6,M53=8),M55="DC"),LOOKUP(M84,T!$X134:$X152,T!$U134:$U152),IF(AND(M51="4E2",OR(M53=2,M53=4,M53=6,M53=8),M55="AC"),LOOKUP(M84,T!$X134:$X152,T!$V134:$V152),IF(AND(M51="4E2",OR(M53=3,M53=5,M53=7,M53=9),M55="AC"),LOOKUP(M84,T!$X134:$X152,T!$W134:$W152),IF(AND(M51="4E3",OR(M53=2,M53=4,M53=7,M53=8),M55="DC"),LOOKUP(M84,T!$AA158:$AA170,T!$U158:$U170),IF(AND(M51="4E3",OR(M53=2,M53=4),M55="AC"),LOOKUP(M84,T!$AA158:$AA170,T!$V158:$V170),IF(AND(M51="4E3",OR(M53=9,M53=10),M55="AC"),LOOKUP(M84,T!$AA158:$AA170,T!$W158:$W170),IF(AND(M51="4E3",M53=6,M55="AC"),LOOKUP(M84,T!$AA158:$AA170,T!$X158:$X170),IF(AND(M51="4E3",OR(M53=3,M53=5),M55="AC"),LOOKUP(M84,T!$AA158:$AA170,T!$Y158:$Y170),IF(AND(M51="4E3",OR(M53=11,M53=12),M55="AC"),LOOKUP(M84,T!$AA158:$AA170,T!$Z158:$Z170),IF(AND(M51="4E4",OR(M53=2,M53=4,M53=6),M55="DC"),LOOKUP(M84,T!$X176:$X192,T!$U176:$U192),IF(AND(M51="4E4",OR(M53=2,M53=4,M53=6),M55="AC"),LOOKUP(M84,T!$X176:$X192,T!$V176:$V192),IF(AND(M51="4E4",OR(M53=3,M53=5,M53=7),M55="AC"),LOOKUP(M84,T!$X176:$X192,T!$W176:$W192),0)))))))))))))))))))),IF(ISNUMBER(SEARCH("4F",M51)),IF(AND(M51="4F1",M53=2,M55="DC"),LOOKUP(M84,T!$Z198:$Z214,T!$U198:$U214),IF(AND(M51="4F1",M53=2,M55="AC"),LOOKUP(M84,T!$Z198:$Z214,T!$V198:$V214),IF(AND(M51="4F1",M53=3,M55="AC"),LOOKUP(M84,T!$Z198:$Z214,T!$W198:$W214),IF(AND(M51="4F1",M53=4,M55="DC"),LOOKUP(M84,T!$Z198:$Z214,T!$X198:$X214),IF(AND(M51="4F1",M53=4,M55="AC"),LOOKUP(M84,T!$Z198:$Z214,T!$Y198:$Y214),IF(AND(M51="4F2",M53=2,M55="DC"),LOOKUP(M84,T!$Y220:$Y236,T!$U220:$U236),IF(AND(M51="4F2",M53=2,M55="AC"),LOOKUP(M84,T!$Y220:$Y236,T!$V220:$V236),IF(AND(M51="4F2",M53=3,M55="AC"),LOOKUP(M84,T!$Y220:$Y236,T!$W220:$W236),IF(AND(M51="4F2",M53=4,M55="DC"),LOOKUP(M84,T!$Y220:$Y236,T!$X220:$X236),IF(AND(M51="4F3",M53=2),LOOKUP(M84,T!$W242:$W248,T!$U242:$U248),IF(AND(M51="4F3",M53=3,M55="AC"),LOOKUP(M84,T!$W242:$W248,T!$V242:$V248),0))))))))))),IF(ISNUMBER(SEARCH("4G",M51)),IF(AND(M51="4G1",OR(M53=2,M53=5)),LOOKUP(M84,T!$AA254:$AA269,T!$U254:$U269),IF(AND(M51="4G1",OR(M53=3,M53=6)),LOOKUP(M84,T!$AA254:$AA269,T!$X254:$X269),IF(AND(M51="4G1",OR(M53=4,M53=7)),LOOKUP(M84,T!$AA254:$AA269,T!$Y254:$Y269),IF(AND(M51="4G1",OR(M53=8,M53=9)),LOOKUP(M84,T!$AA254:$AA269,T!$Z254:$Z269),IF(AND(M51="4G2",OR(M53=2,M53=5)),LOOKUP(M84,T!$AA281:$AA296,T!$U281:$U296),IF(AND(M51="4G2",OR(M53=3,M53=6)),LOOKUP(M84,T!$AA281:$AA296,T!$X281:$X296),IF(AND(M51="4G2",OR(M53=4,M53=7)),LOOKUP(M84,T!$AA281:$AA296,T!$Y281:$Y296),IF(AND(M51="4G2",OR(M53=8,M53=9)),LOOKUP(M84,T!$AA281:$AA296,T!$Z281:$Z296),0)))))))),0)))))*M23*M69)/1000))</f>
        <v/>
      </c>
      <c r="N102" s="161">
        <f>IF(N29="","",IF(OR(COUNT(N19:N21)=3,COUNT(N19:N21)=1),(IF(N29="",0,IF(ISNUMBER(SEARCH("4D",N51)),IF(AND(N51="4D1",OR(N53=2,N53=4,N53=6,N53=8,N53=11),N55="DC"),LOOKUP(N84,T!$AC6:$AC27,T!$U6:$U27),IF(AND(N51="4D1",OR(N53=2,N53=4),N55="AC"),LOOKUP(N84,T!$AC6:$AC27,T!$V6:$V27),IF(AND(N51="4D1",OR(N53=6,N53=8),N55="AC"),LOOKUP(N84,T!$AC6:$AC27,T!$W6:$W27),IF(AND(N51="4D1",OR(N53=11,N53=12),N55="AC",N57=1),LOOKUP(N84,T!$AC6:$AC27,T!$X6:$X27),IF(AND(N51="4D1",OR(N53=3,N53=5),N55="AC"),LOOKUP(N84,T!$AC6:$AC27,T!$Y6:$Y27),IF(AND(N51="4D1",OR(N53=7,N53=10),N55="AC"),LOOKUP(N84,T!$AC6:$AC27,T!$Z6:$Z27),IF(AND(N51="4D1",N53=9,N55="AC"),LOOKUP(N84,T!$AC6:$AC27,T!$AA6:$AA27),IF(AND(N51="4D1",OR(N53=11,N53=12),N55="AC",N57=3),LOOKUP(N84,T!$AC13:$AC27,T!$AB13:$AB27),IF(AND(N51="4D2",OR(N53=2,N53=4,N53=6,N53=8),N55="DC"),LOOKUP(N84,T!$X33:$X50,T!$U33:$U50),IF(AND(N51="4D2",OR(N53=2,N53=4,N53=6,N53=8),N55="AC"),LOOKUP(N84,T!$X33:$X50,T!$V33:$V50),IF(AND(N51="4D2",OR(N53=3,N53=5,N53=7,N53=9),N55="AC"),LOOKUP(N84,T!$X33:$X50,T!$W33:$W50),IF(AND(N51="4D3",OR(N53=2,N53=4,N53=7,N53=8),N55="DC"),LOOKUP(N84,T!$AA56:$AA68,T!$U56:$U68),IF(AND(N51="4D3",OR(N53=2,N53=4),N55="AC"),LOOKUP(N84,T!$AA56:$AA68,T!$V56:$V68),IF(AND(N51="4D3",OR(N53=9,N53=10),N55="AC"),LOOKUP(N84,T!$AA56:$AA$68,T!$W56:$W68),IF(AND(N51="4D3",N53=6,N55="AC"),LOOKUP(N84,T!$AA56:$AA68,T!$X56:$X68),IF(AND(N51="4D3",OR(N53=3,N53=5),N55="AC"),LOOKUP(N84,T!$AA56:$AA68,T!$Y56:$Y68),IF(AND(N51="4D3",OR(N53=11,N53=12),N55="AC"),LOOKUP(N84,T!$AA56:$AA68,T!$Z56:$Z68),IF(AND(N51="4D4",OR(N53=2,N53=4,N53=6),N55="DC"),LOOKUP(N84,T!$X74:$X90,T!$U74:$U90),IF(AND(N51="4D4",OR(N53=2,N53=4,N53=6),N55="AC"),LOOKUP(N84,T!$X74:$X90,T!$V74:$V90),IF(AND(N51="4D4",OR(N53=3,N53=5,N53=7),N55="AC"),LOOKUP(N84,T!$X74:$X90,T!$W74:$W90),IF(AND(N51="4D5",AND(N53&gt;=2,N53&lt;=7)),LOOKUP(N84,T!$I96:$I102,T!$H96:$H102),0))))))))))))))))))))),IF(ISNUMBER(SEARCH("4E",N51)),IF(AND(N51="4E1",OR(N53=2,N53=4,N53=6,N53=8,N53=11),N55="DC"),LOOKUP(N84,T!$AC108:$AC129,T!$U108:$U129),IF(AND(N51="4E1",OR(N53=2,N53=4),N55="AC"),LOOKUP(N84,T!$AC108:$AC129,T!$V108:$V129),IF(AND(N51="4E1",OR(N53=6,N53=8),N55="AC"),LOOKUP(N84,T!$AC108:$AC129,T!$W108:$W129),IF(AND(N51="4E1",OR(N53=11,N53=12),N55="AC",N57=1),LOOKUP(N84,T!$AC108:$AC127,T!$X108:$X129),IF(AND(N51="4E1",OR(N53=3,N53=5),N55="AC"),LOOKUP(N84,T!$AC108:$AC129,T!$Y108:$Y129),IF(AND(N51="4E1",OR(N53=7,N53=10),N55="AC"),LOOKUP(N84,T!$AC108:$AC129,T!$Z108:$Z129),IF(AND(N51="4E1",N53=9,N55="AC"),LOOKUP(N84,T!$AC115:$AC129,T!$AA115:$AA129),IF(AND(N51="4E1",OR(N53=11,N53=12),N55="AC",N57=3),LOOKUP(N84,T!$AC115:$AC129,T!$AB115:$AB129),IF(AND(N51="4E2",OR(N53=2,N53=4,N53=6,N53=8),N55="DC"),LOOKUP(N84,T!$X134:$X152,T!$U134:$U152),IF(AND(N51="4E2",OR(N53=2,N53=4,N53=6,N53=8),N55="AC"),LOOKUP(N84,T!$X134:$X152,T!$V134:$V152),IF(AND(N51="4E2",OR(N53=3,N53=5,N53=7,N53=9),N55="AC"),LOOKUP(N84,T!$X134:$X152,T!$W134:$W152),IF(AND(N51="4E3",OR(N53=2,N53=4,N53=7,N53=8),N55="DC"),LOOKUP(N84,T!$AA158:$AA170,T!$U158:$U170),IF(AND(N51="4E3",OR(N53=2,N53=4),N55="AC"),LOOKUP(N84,T!$AA158:$AA170,T!$V158:$V170),IF(AND(N51="4E3",OR(N53=9,N53=10),N55="AC"),LOOKUP(N84,T!$AA158:$AA170,T!$W158:$W170),IF(AND(N51="4E3",N53=6,N55="AC"),LOOKUP(N84,T!$AA158:$AA170,T!$X158:$X170),IF(AND(N51="4E3",OR(N53=3,N53=5),N55="AC"),LOOKUP(N84,T!$AA158:$AA170,T!$Y158:$Y170),IF(AND(N51="4E3",OR(N53=11,N53=12),N55="AC"),LOOKUP(N84,T!$AA158:$AA170,T!$Z158:$Z170),IF(AND(N51="4E4",OR(N53=2,N53=4,N53=6),N55="DC"),LOOKUP(N84,T!$X176:$X192,T!$U176:$U192),IF(AND(N51="4E4",OR(N53=2,N53=4,N53=6),N55="AC"),LOOKUP(N84,T!$X176:$X192,T!$V176:$V192),IF(AND(N51="4E4",OR(N53=3,N53=5,N53=7),N55="AC"),LOOKUP(N84,T!$X176:$X192,T!$W176:$W192),0)))))))))))))))))))),IF(ISNUMBER(SEARCH("4F",N51)),IF(AND(N51="4F1",N53=2,N55="DC"),LOOKUP(N84,T!$Z198:$Z214,T!$U198:$U214),IF(AND(N51="4F1",N53=2,N55="AC"),LOOKUP(N84,T!$Z198:$Z214,T!$V198:$V214),IF(AND(N51="4F1",N53=3,N55="AC"),LOOKUP(N84,T!$Z198:$Z214,T!$W198:$W214),IF(AND(N51="4F1",N53=4,N55="DC"),LOOKUP(N84,T!$Z198:$Z214,T!$X198:$X214),IF(AND(N51="4F1",N53=4,N55="AC"),LOOKUP(N84,T!$Z198:$Z214,T!$Y198:$Y214),IF(AND(N51="4F2",N53=2,N55="DC"),LOOKUP(N84,T!$Y220:$Y236,T!$U220:$U236),IF(AND(N51="4F2",N53=2,N55="AC"),LOOKUP(N84,T!$Y220:$Y236,T!$V220:$V236),IF(AND(N51="4F2",N53=3,N55="AC"),LOOKUP(N84,T!$Y220:$Y236,T!$W220:$W236),IF(AND(N51="4F2",N53=4,N55="DC"),LOOKUP(N84,T!$Y220:$Y236,T!$X220:$X236),IF(AND(N51="4F3",N53=2),LOOKUP(N84,T!$W242:$W248,T!$U242:$U248),IF(AND(N51="4F3",N53=3,N55="AC"),LOOKUP(N84,T!$W242:$W248,T!$V242:$V248),0))))))))))),IF(ISNUMBER(SEARCH("4G",N51)),IF(AND(N51="4G1",OR(N53=2,N53=5)),LOOKUP(N84,T!$AA254:$AA269,T!$U254:$U269),IF(AND(N51="4G1",OR(N53=3,N53=6)),LOOKUP(N84,T!$AA254:$AA269,T!$X254:$X269),IF(AND(N51="4G1",OR(N53=4,N53=7)),LOOKUP(N84,T!$AA254:$AA269,T!$Y254:$Y269),IF(AND(N51="4G1",OR(N53=8,N53=9)),LOOKUP(N84,T!$AA254:$AA269,T!$Z254:$Z269),IF(AND(N51="4G2",OR(N53=2,N53=5)),LOOKUP(N84,T!$AA281:$AA296,T!$U281:$U296),IF(AND(N51="4G2",OR(N53=3,N53=6)),LOOKUP(N84,T!$AA281:$AA296,T!$X281:$X296),IF(AND(N51="4G2",OR(N53=4,N53=7)),LOOKUP(N84,T!$AA281:$AA296,T!$Y281:$Y296),IF(AND(N51="4G2",OR(N53=8,N53=9)),LOOKUP(N84,T!$AA281:$AA296,T!$Z281:$Z296),0)))))))),0)))))*N23*N69)/1000))</f>
        <v>5.0083396845365131</v>
      </c>
      <c r="O102" s="148" t="str">
        <f>IF(O$9="","",IF(L102&lt;&gt;0,"mV/A/m",""))</f>
        <v>mV/A/m</v>
      </c>
    </row>
    <row r="103" spans="1:58" s="173" customFormat="1" ht="17">
      <c r="A103" s="141" t="s">
        <v>2137</v>
      </c>
      <c r="B103" s="400"/>
      <c r="C103" s="397"/>
      <c r="D103" s="164">
        <f>IF(D29="","",IF(OR(COUNT(D19:D21)=3,COUNT(D19:D21)=1),(IF(D29="",0,IF(ISNUMBER(SEARCH("4H",D51)),IF(AND(D51="4H1",OR(D53=2,D53=4,D53=6,D53=8,D53=11),D55="DC"),LOOKUP(D84,T!$AC308:$AC321,T!$U308:$U321),IF(AND(D51="4H1",OR(D53=2,D53=4),D55="AC"),LOOKUP(D84,T!$AC308:$AC321,T!$V308:$V321),IF(AND(D51="4H1",OR(D53=6,D53=8),D55="AC"),LOOKUP(D84,T!$AC308:$AC321,T!$W308:$W321),IF(AND(D51="4H1",OR(D53=11,D53=12),D55="AC",D57=1),LOOKUP(D84,T!$AC308:$AC321,T!$X308:$X321),IF(AND(D51="4H1",OR(D53=3,D53=5),D55="AC"),LOOKUP(D84,T!$AC308:$AC321,T!$Y308:$Y321),IF(AND(D51="4H1",OR(D53=7,D53=10),D55="AC"),LOOKUP(D84,T!$AC308:$AC321,T!$Z308:$Z321),IF(AND(D51="4H1",D53=9,D55="AC"),LOOKUP(D84,T!$AC308:$AC321,T!$AA308:$AA321),IF(AND(D51="4H1",OR(D53=11,D53=12),D55="AC",D57=3),LOOKUP(D84,T!$AC308:$AC321,T!$AB308:$AB321),IF(AND(D51="4H2",OR(D53=2,D53=4,D53=6,D53=8),D55="DC"),LOOKUP(D84,T!$X327:$X337,T!$U327:$U337),IF(AND(D51="4H2",OR(D53=2,D53=4,D53=6,D53=8),D55="AC"),LOOKUP(D84,T!$X327:$X337,T!$V327:$V337),IF(AND(D51="4H2",OR(D53=3,D53=5,D53=7,D53=9),D55="AC"),LOOKUP(D84,T!$X327:$X337,T!$W327:$W337),IF(AND(D51="4H3",OR(D53=2,D53=4,D53=7,D53=8),D55="DC"),LOOKUP(D84,T!$AA343:$AA356,T!$U343:$U356),IF(AND(D51="4H3",OR(D53=2,D53=4),D55="AC"),LOOKUP(D84,T!$AA343:$AA356,T!$V343:$V356),IF(AND(D51="4H3",OR(D53=9,D53=10),D55="AC"),LOOKUP(D84,T!$AA343:$AA$356,T!$W343:$W356),IF(AND(D51="4H3",D53=6,D55="AC"),LOOKUP(D84,T!$AA343:$AA356,T!$X343:$X356),IF(AND(D51="4H3",OR(D53=3,D53=5),D55="AC"),LOOKUP(D84,T!$AA343:$AA356,T!$Y343:$Y356),IF(AND(D51="4H3",OR(D53=11,D53=12),D55="AC"),LOOKUP(D84,T!$AA343:$AA356,T!$Z343:$Z356),IF(AND(D51="4H4",OR(D53=2,D53=4,D53=6),D55="DC"),LOOKUP(D84,T!$X362:$X372,T!$U362:$U372),IF(AND(D51="4H4",OR(D53=2,D53=4,D53=6),D55="AC"),LOOKUP(D84,T!$X362:$X372,T!$V362:$V372),IF(AND(D51="4H4",OR(D53=3,D53=5,D53=7),D55="AC"),LOOKUP(D84,T!$X362:$X372,T!$W362:$W372),0)))))))))))))))))))),IF(ISNUMBER(SEARCH("4J",D51)),IF(AND(D51="4J1",OR(D53=2,D53=4,D53=6,D53=8,D53=11),D55="DC"),LOOKUP(D84,T!$AC378:$AC391,T!$U378:$U391),IF(AND(D51="4J1",OR(D53=2,D53=4),D55="AC"),LOOKUP(D84,T!$AC378:$AC391,T!$V378:$V391),IF(AND(D51="4J1",OR(D53=6,D53=8),D55="AC"),LOOKUP(D84,T!$AC378:$AC391,T!$W378:$W391),IF(AND(D51="4J1",OR(D53=11,D53=12),D55="AC",D57=1),LOOKUP(D84,T!$AC378:$AC391,T!$X378:$X391),IF(AND(D51="4J1",OR(D53=3,D53=5),D55="AC"),LOOKUP(D84,T!$AC378:$AC391,T!$Y378:$Y391),IF(AND(D51="4J1",OR(D53=7,D53=10),D55="AC"),LOOKUP(D84,T!$AC378:$AC391,T!$Z378:$Z391),IF(AND(D51="4J1",D53=9,D55="AC"),LOOKUP(D84,T!$AC378:$AC391,T!$AA378:$AA391),IF(AND(D51="4J1",OR(D53=11,D53=12),D55="AC",D57=3),LOOKUP(D84,T!$AC378:$AC391,T!$AB378:$AB391),IF(AND(D51="4J2",OR(D53=2,D53=4,D53=6,D53=8),D55="DC"),LOOKUP(D84,T!$X397:$X407,T!$U397:$U407),IF(AND(D51="4J2",OR(D53=2,D53=4,D53=6,D53=8),D55="AC"),LOOKUP(D84,T!$X397:$X407,T!$V397:$V407),IF(AND(D51="4J2",OR(D53=3,D53=5,D53=7,D53=9),D55="AC"),LOOKUP(D84,T!$X397:$X407,T!$W397:$W407),IF(AND(D51="4J3",OR(D53=2,D53=4,D53=7,D53=8),D55="DC"),LOOKUP(D84,T!$AA413:$AA426,T!$U413:$U426),IF(AND(D51="4J3",OR(D53=2,D53=4),D55="AC"),LOOKUP(D84,T!$AA413:$AA426,T!$V413:$V426),IF(AND(D51="4J3",OR(D53=9,D53=10),D55="AC"),LOOKUP(D84,T!$AA413:$AA426,T!$W413:$W426),IF(AND(D51="4J3",D53=6,D55="AC"),LOOKUP(D84,T!$AA413:$AA426,T!$X413:$X426),IF(AND(D51="4J3",OR(D53=3,D53=5),D55="AC"),LOOKUP(D84,T!$AA413:$AA426,T!$Y413:$Y426),IF(AND(D51="4J3",OR(D53=11,D53=12),D55="AC"),LOOKUP(D84,T!$AA413:$AA426,T!$Z413:$Z426),IF(AND(D51="4J4",OR(D53=2,D53=4,D53=6),D55="DC"),LOOKUP(D84,T!$X432:$X442,T!$U432:$U442),IF(AND(D51="4J4",OR(D53=2,D53=4,D53=6),D55="AC"),LOOKUP(D84,T!$X432:$X442,T!$V432:$V442),IF(AND(D51="4J4",OR(D53=3,D53=5,D53=7),D55="AC"),LOOKUP(D84,T!$X432:$X442,T!$W432:$W442),0)))))))))))))))))))),0)))*D23*D69)/1000))</f>
        <v>0</v>
      </c>
      <c r="E103" s="164">
        <f ca="1">IF(E29="","",IF(OR(COUNT(E19:E21)=3,COUNT(E19:E21)=1),(IF(E29="",0,IF(ISNUMBER(SEARCH("4H",E51)),IF(AND(E51="4H1",OR(E53=2,E53=4,E53=6,E53=8,E53=11),E55="DC"),LOOKUP(E84,T!$AC308:$AC321,T!$U308:$U321),IF(AND(E51="4H1",OR(E53=2,E53=4),E55="AC"),LOOKUP(E84,T!$AC308:$AC321,T!$V308:$V321),IF(AND(E51="4H1",OR(E53=6,E53=8),E55="AC"),LOOKUP(E84,T!$AC308:$AC321,T!$W308:$W321),IF(AND(E51="4H1",OR(E53=11,E53=12),E55="AC",E57=1),LOOKUP(E84,T!$AC308:$AC321,T!$X308:$X321),IF(AND(E51="4H1",OR(E53=3,E53=5),E55="AC"),LOOKUP(E84,T!$AC308:$AC321,T!$Y308:$Y321),IF(AND(E51="4H1",OR(E53=7,E53=10),E55="AC"),LOOKUP(E84,T!$AC308:$AC321,T!$Z308:$Z321),IF(AND(E51="4H1",E53=9,E55="AC"),LOOKUP(E84,T!$AC308:$AC321,T!$AA308:$AA321),IF(AND(E51="4H1",OR(E53=11,E53=12),E55="AC",E57=3),LOOKUP(E84,T!$AC308:$AC321,T!$AB308:$AB321),IF(AND(E51="4H2",OR(E53=2,E53=4,E53=6,E53=8),E55="DC"),LOOKUP(E84,T!$X327:$X337,T!$U327:$U337),IF(AND(E51="4H2",OR(E53=2,E53=4,E53=6,E53=8),E55="AC"),LOOKUP(E84,T!$X327:$X337,T!$V327:$V337),IF(AND(E51="4H2",OR(E53=3,E53=5,E53=7,E53=9),E55="AC"),LOOKUP(E84,T!$X327:$X337,T!$W327:$W337),IF(AND(E51="4H3",OR(E53=2,E53=4,E53=7,E53=8),E55="DC"),LOOKUP(E84,T!$AA343:$AA356,T!$U343:$U356),IF(AND(E51="4H3",OR(E53=2,E53=4),E55="AC"),LOOKUP(E84,T!$AA343:$AA356,T!$V343:$V356),IF(AND(E51="4H3",OR(E53=9,E53=10),E55="AC"),LOOKUP(E84,T!$AA343:$AA$356,T!$W343:$W356),IF(AND(E51="4H3",E53=6,E55="AC"),LOOKUP(E84,T!$AA343:$AA356,T!$X343:$X356),IF(AND(E51="4H3",OR(E53=3,E53=5),E55="AC"),LOOKUP(E84,T!$AA343:$AA356,T!$Y343:$Y356),IF(AND(E51="4H3",OR(E53=11,E53=12),E55="AC"),LOOKUP(E84,T!$AA343:$AA356,T!$Z343:$Z356),IF(AND(E51="4H4",OR(E53=2,E53=4,E53=6),E55="DC"),LOOKUP(E84,T!$X362:$X372,T!$U362:$U372),IF(AND(E51="4H4",OR(E53=2,E53=4,E53=6),E55="AC"),LOOKUP(E84,T!$X362:$X372,T!$V362:$V372),IF(AND(E51="4H4",OR(E53=3,E53=5,E53=7),E55="AC"),LOOKUP(E84,T!$X362:$X372,T!$W362:$W372),0)))))))))))))))))))),IF(ISNUMBER(SEARCH("4J",E51)),IF(AND(E51="4J1",OR(E53=2,E53=4,E53=6,E53=8,E53=11),E55="DC"),LOOKUP(E84,T!$AC378:$AC391,T!$U378:$U391),IF(AND(E51="4J1",OR(E53=2,E53=4),E55="AC"),LOOKUP(E84,T!$AC378:$AC391,T!$V378:$V391),IF(AND(E51="4J1",OR(E53=6,E53=8),E55="AC"),LOOKUP(E84,T!$AC378:$AC391,T!$W378:$W391),IF(AND(E51="4J1",OR(E53=11,E53=12),E55="AC",E57=1),LOOKUP(E84,T!$AC378:$AC391,T!$X378:$X391),IF(AND(E51="4J1",OR(E53=3,E53=5),E55="AC"),LOOKUP(E84,T!$AC378:$AC391,T!$Y378:$Y391),IF(AND(E51="4J1",OR(E53=7,E53=10),E55="AC"),LOOKUP(E84,T!$AC378:$AC391,T!$Z378:$Z391),IF(AND(E51="4J1",E53=9,E55="AC"),LOOKUP(E84,T!$AC378:$AC391,T!$AA378:$AA391),IF(AND(E51="4J1",OR(E53=11,E53=12),E55="AC",E57=3),LOOKUP(E84,T!$AC378:$AC391,T!$AB378:$AB391),IF(AND(E51="4J2",OR(E53=2,E53=4,E53=6,E53=8),E55="DC"),LOOKUP(E84,T!$X397:$X407,T!$U397:$U407),IF(AND(E51="4J2",OR(E53=2,E53=4,E53=6,E53=8),E55="AC"),LOOKUP(E84,T!$X397:$X407,T!$V397:$V407),IF(AND(E51="4J2",OR(E53=3,E53=5,E53=7,E53=9),E55="AC"),LOOKUP(E84,T!$X397:$X407,T!$W397:$W407),IF(AND(E51="4J3",OR(E53=2,E53=4,E53=7,E53=8),E55="DC"),LOOKUP(E84,T!$AA413:$AA426,T!$U413:$U426),IF(AND(E51="4J3",OR(E53=2,E53=4),E55="AC"),LOOKUP(E84,T!$AA413:$AA426,T!$V413:$V426),IF(AND(E51="4J3",OR(E53=9,E53=10),E55="AC"),LOOKUP(E84,T!$AA413:$AA426,T!$W413:$W426),IF(AND(E51="4J3",E53=6,E55="AC"),LOOKUP(E84,T!$AA413:$AA426,T!$X413:$X426),IF(AND(E51="4J3",OR(E53=3,E53=5),E55="AC"),LOOKUP(E84,T!$AA413:$AA426,T!$Y413:$Y426),IF(AND(E51="4J3",OR(E53=11,E53=12),E55="AC"),LOOKUP(E84,T!$AA413:$AA426,T!$Z413:$Z426),IF(AND(E51="4J4",OR(E53=2,E53=4,E53=6),E55="DC"),LOOKUP(E84,T!$X432:$X442,T!$U432:$U442),IF(AND(E51="4J4",OR(E53=2,E53=4,E53=6),E55="AC"),LOOKUP(E84,T!$X432:$X442,T!$V432:$V442),IF(AND(E51="4J4",OR(E53=3,E53=5,E53=7),E55="AC"),LOOKUP(E84,T!$X432:$X442,T!$W432:$W442),0)))))))))))))))))))),0)))*E23*E69)/1000))</f>
        <v>0</v>
      </c>
      <c r="F103" s="164">
        <f ca="1">IF(F29="","",IF(OR(COUNT(F19:F21)=3,COUNT(F19:F21)=1),(IF(F29="",0,IF(ISNUMBER(SEARCH("4H",F51)),IF(AND(F51="4H1",OR(F53=2,F53=4,F53=6,F53=8,F53=11),F55="DC"),LOOKUP(F84,T!$AC308:$AC321,T!$U308:$U321),IF(AND(F51="4H1",OR(F53=2,F53=4),F55="AC"),LOOKUP(F84,T!$AC308:$AC321,T!$V308:$V321),IF(AND(F51="4H1",OR(F53=6,F53=8),F55="AC"),LOOKUP(F84,T!$AC308:$AC321,T!$W308:$W321),IF(AND(F51="4H1",OR(F53=11,F53=12),F55="AC",F57=1),LOOKUP(F84,T!$AC308:$AC321,T!$X308:$X321),IF(AND(F51="4H1",OR(F53=3,F53=5),F55="AC"),LOOKUP(F84,T!$AC308:$AC321,T!$Y308:$Y321),IF(AND(F51="4H1",OR(F53=7,F53=10),F55="AC"),LOOKUP(F84,T!$AC308:$AC321,T!$Z308:$Z321),IF(AND(F51="4H1",F53=9,F55="AC"),LOOKUP(F84,T!$AC308:$AC321,T!$AA308:$AA321),IF(AND(F51="4H1",OR(F53=11,F53=12),F55="AC",F57=3),LOOKUP(F84,T!$AC308:$AC321,T!$AB308:$AB321),IF(AND(F51="4H2",OR(F53=2,F53=4,F53=6,F53=8),F55="DC"),LOOKUP(F84,T!$X327:$X337,T!$U327:$U337),IF(AND(F51="4H2",OR(F53=2,F53=4,F53=6,F53=8),F55="AC"),LOOKUP(F84,T!$X327:$X337,T!$V327:$V337),IF(AND(F51="4H2",OR(F53=3,F53=5,F53=7,F53=9),F55="AC"),LOOKUP(F84,T!$X327:$X337,T!$W327:$W337),IF(AND(F51="4H3",OR(F53=2,F53=4,F53=7,F53=8),F55="DC"),LOOKUP(F84,T!$AA343:$AA356,T!$U343:$U356),IF(AND(F51="4H3",OR(F53=2,F53=4),F55="AC"),LOOKUP(F84,T!$AA343:$AA356,T!$V343:$V356),IF(AND(F51="4H3",OR(F53=9,F53=10),F55="AC"),LOOKUP(F84,T!$AA343:$AA$356,T!$W343:$W356),IF(AND(F51="4H3",F53=6,F55="AC"),LOOKUP(F84,T!$AA343:$AA356,T!$X343:$X356),IF(AND(F51="4H3",OR(F53=3,F53=5),F55="AC"),LOOKUP(F84,T!$AA343:$AA356,T!$Y343:$Y356),IF(AND(F51="4H3",OR(F53=11,F53=12),F55="AC"),LOOKUP(F84,T!$AA343:$AA356,T!$Z343:$Z356),IF(AND(F51="4H4",OR(F53=2,F53=4,F53=6),F55="DC"),LOOKUP(F84,T!$X362:$X372,T!$U362:$U372),IF(AND(F51="4H4",OR(F53=2,F53=4,F53=6),F55="AC"),LOOKUP(F84,T!$X362:$X372,T!$V362:$V372),IF(AND(F51="4H4",OR(F53=3,F53=5,F53=7),F55="AC"),LOOKUP(F84,T!$X362:$X372,T!$W362:$W372),0)))))))))))))))))))),IF(ISNUMBER(SEARCH("4J",F51)),IF(AND(F51="4J1",OR(F53=2,F53=4,F53=6,F53=8,F53=11),F55="DC"),LOOKUP(F84,T!$AC378:$AC391,T!$U378:$U391),IF(AND(F51="4J1",OR(F53=2,F53=4),F55="AC"),LOOKUP(F84,T!$AC378:$AC391,T!$V378:$V391),IF(AND(F51="4J1",OR(F53=6,F53=8),F55="AC"),LOOKUP(F84,T!$AC378:$AC391,T!$W378:$W391),IF(AND(F51="4J1",OR(F53=11,F53=12),F55="AC",F57=1),LOOKUP(F84,T!$AC378:$AC391,T!$X378:$X391),IF(AND(F51="4J1",OR(F53=3,F53=5),F55="AC"),LOOKUP(F84,T!$AC378:$AC391,T!$Y378:$Y391),IF(AND(F51="4J1",OR(F53=7,F53=10),F55="AC"),LOOKUP(F84,T!$AC378:$AC391,T!$Z378:$Z391),IF(AND(F51="4J1",F53=9,F55="AC"),LOOKUP(F84,T!$AC378:$AC391,T!$AA378:$AA391),IF(AND(F51="4J1",OR(F53=11,F53=12),F55="AC",F57=3),LOOKUP(F84,T!$AC378:$AC391,T!$AB378:$AB391),IF(AND(F51="4J2",OR(F53=2,F53=4,F53=6,F53=8),F55="DC"),LOOKUP(F84,T!$X397:$X407,T!$U397:$U407),IF(AND(F51="4J2",OR(F53=2,F53=4,F53=6,F53=8),F55="AC"),LOOKUP(F84,T!$X397:$X407,T!$V397:$V407),IF(AND(F51="4J2",OR(F53=3,F53=5,F53=7,F53=9),F55="AC"),LOOKUP(F84,T!$X397:$X407,T!$W397:$W407),IF(AND(F51="4J3",OR(F53=2,F53=4,F53=7,F53=8),F55="DC"),LOOKUP(F84,T!$AA413:$AA426,T!$U413:$U426),IF(AND(F51="4J3",OR(F53=2,F53=4),F55="AC"),LOOKUP(F84,T!$AA413:$AA426,T!$V413:$V426),IF(AND(F51="4J3",OR(F53=9,F53=10),F55="AC"),LOOKUP(F84,T!$AA413:$AA426,T!$W413:$W426),IF(AND(F51="4J3",F53=6,F55="AC"),LOOKUP(F84,T!$AA413:$AA426,T!$X413:$X426),IF(AND(F51="4J3",OR(F53=3,F53=5),F55="AC"),LOOKUP(F84,T!$AA413:$AA426,T!$Y413:$Y426),IF(AND(F51="4J3",OR(F53=11,F53=12),F55="AC"),LOOKUP(F84,T!$AA413:$AA426,T!$Z413:$Z426),IF(AND(F51="4J4",OR(F53=2,F53=4,F53=6),F55="DC"),LOOKUP(F84,T!$X432:$X442,T!$U432:$U442),IF(AND(F51="4J4",OR(F53=2,F53=4,F53=6),F55="AC"),LOOKUP(F84,T!$X432:$X442,T!$V432:$V442),IF(AND(F51="4J4",OR(F53=3,F53=5,F53=7),F55="AC"),LOOKUP(F84,T!$X432:$X442,T!$W432:$W442),0)))))))))))))))))))),0)))*F23*F69)/1000))</f>
        <v>0</v>
      </c>
      <c r="G103" s="164">
        <f ca="1">IF(G29="","",IF(OR(COUNT(G19:G21)=3,COUNT(G19:G21)=1),(IF(G29="",0,IF(ISNUMBER(SEARCH("4H",G51)),IF(AND(G51="4H1",OR(G53=2,G53=4,G53=6,G53=8,G53=11),G55="DC"),LOOKUP(G84,T!$AC308:$AC321,T!$U308:$U321),IF(AND(G51="4H1",OR(G53=2,G53=4),G55="AC"),LOOKUP(G84,T!$AC308:$AC321,T!$V308:$V321),IF(AND(G51="4H1",OR(G53=6,G53=8),G55="AC"),LOOKUP(G84,T!$AC308:$AC321,T!$W308:$W321),IF(AND(G51="4H1",OR(G53=11,G53=12),G55="AC",G57=1),LOOKUP(G84,T!$AC308:$AC321,T!$X308:$X321),IF(AND(G51="4H1",OR(G53=3,G53=5),G55="AC"),LOOKUP(G84,T!$AC308:$AC321,T!$Y308:$Y321),IF(AND(G51="4H1",OR(G53=7,G53=10),G55="AC"),LOOKUP(G84,T!$AC308:$AC321,T!$Z308:$Z321),IF(AND(G51="4H1",G53=9,G55="AC"),LOOKUP(G84,T!$AC308:$AC321,T!$AA308:$AA321),IF(AND(G51="4H1",OR(G53=11,G53=12),G55="AC",G57=3),LOOKUP(G84,T!$AC308:$AC321,T!$AB308:$AB321),IF(AND(G51="4H2",OR(G53=2,G53=4,G53=6,G53=8),G55="DC"),LOOKUP(G84,T!$X327:$X337,T!$U327:$U337),IF(AND(G51="4H2",OR(G53=2,G53=4,G53=6,G53=8),G55="AC"),LOOKUP(G84,T!$X327:$X337,T!$V327:$V337),IF(AND(G51="4H2",OR(G53=3,G53=5,G53=7,G53=9),G55="AC"),LOOKUP(G84,T!$X327:$X337,T!$W327:$W337),IF(AND(G51="4H3",OR(G53=2,G53=4,G53=7,G53=8),G55="DC"),LOOKUP(G84,T!$AA343:$AA356,T!$U343:$U356),IF(AND(G51="4H3",OR(G53=2,G53=4),G55="AC"),LOOKUP(G84,T!$AA343:$AA356,T!$V343:$V356),IF(AND(G51="4H3",OR(G53=9,G53=10),G55="AC"),LOOKUP(G84,T!$AA343:$AA$356,T!$W343:$W356),IF(AND(G51="4H3",G53=6,G55="AC"),LOOKUP(G84,T!$AA343:$AA356,T!$X343:$X356),IF(AND(G51="4H3",OR(G53=3,G53=5),G55="AC"),LOOKUP(G84,T!$AA343:$AA356,T!$Y343:$Y356),IF(AND(G51="4H3",OR(G53=11,G53=12),G55="AC"),LOOKUP(G84,T!$AA343:$AA356,T!$Z343:$Z356),IF(AND(G51="4H4",OR(G53=2,G53=4,G53=6),G55="DC"),LOOKUP(G84,T!$X362:$X372,T!$U362:$U372),IF(AND(G51="4H4",OR(G53=2,G53=4,G53=6),G55="AC"),LOOKUP(G84,T!$X362:$X372,T!$V362:$V372),IF(AND(G51="4H4",OR(G53=3,G53=5,G53=7),G55="AC"),LOOKUP(G84,T!$X362:$X372,T!$W362:$W372),0)))))))))))))))))))),IF(ISNUMBER(SEARCH("4J",G51)),IF(AND(G51="4J1",OR(G53=2,G53=4,G53=6,G53=8,G53=11),G55="DC"),LOOKUP(G84,T!$AC378:$AC391,T!$U378:$U391),IF(AND(G51="4J1",OR(G53=2,G53=4),G55="AC"),LOOKUP(G84,T!$AC378:$AC391,T!$V378:$V391),IF(AND(G51="4J1",OR(G53=6,G53=8),G55="AC"),LOOKUP(G84,T!$AC378:$AC391,T!$W378:$W391),IF(AND(G51="4J1",OR(G53=11,G53=12),G55="AC",G57=1),LOOKUP(G84,T!$AC378:$AC391,T!$X378:$X391),IF(AND(G51="4J1",OR(G53=3,G53=5),G55="AC"),LOOKUP(G84,T!$AC378:$AC391,T!$Y378:$Y391),IF(AND(G51="4J1",OR(G53=7,G53=10),G55="AC"),LOOKUP(G84,T!$AC378:$AC391,T!$Z378:$Z391),IF(AND(G51="4J1",G53=9,G55="AC"),LOOKUP(G84,T!$AC378:$AC391,T!$AA378:$AA391),IF(AND(G51="4J1",OR(G53=11,G53=12),G55="AC",G57=3),LOOKUP(G84,T!$AC378:$AC391,T!$AB378:$AB391),IF(AND(G51="4J2",OR(G53=2,G53=4,G53=6,G53=8),G55="DC"),LOOKUP(G84,T!$X397:$X407,T!$U397:$U407),IF(AND(G51="4J2",OR(G53=2,G53=4,G53=6,G53=8),G55="AC"),LOOKUP(G84,T!$X397:$X407,T!$V397:$V407),IF(AND(G51="4J2",OR(G53=3,G53=5,G53=7,G53=9),G55="AC"),LOOKUP(G84,T!$X397:$X407,T!$W397:$W407),IF(AND(G51="4J3",OR(G53=2,G53=4,G53=7,G53=8),G55="DC"),LOOKUP(G84,T!$AA413:$AA426,T!$U413:$U426),IF(AND(G51="4J3",OR(G53=2,G53=4),G55="AC"),LOOKUP(G84,T!$AA413:$AA426,T!$V413:$V426),IF(AND(G51="4J3",OR(G53=9,G53=10),G55="AC"),LOOKUP(G84,T!$AA413:$AA426,T!$W413:$W426),IF(AND(G51="4J3",G53=6,G55="AC"),LOOKUP(G84,T!$AA413:$AA426,T!$X413:$X426),IF(AND(G51="4J3",OR(G53=3,G53=5),G55="AC"),LOOKUP(G84,T!$AA413:$AA426,T!$Y413:$Y426),IF(AND(G51="4J3",OR(G53=11,G53=12),G55="AC"),LOOKUP(G84,T!$AA413:$AA426,T!$Z413:$Z426),IF(AND(G51="4J4",OR(G53=2,G53=4,G53=6),G55="DC"),LOOKUP(G84,T!$X432:$X442,T!$U432:$U442),IF(AND(G51="4J4",OR(G53=2,G53=4,G53=6),G55="AC"),LOOKUP(G84,T!$X432:$X442,T!$V432:$V442),IF(AND(G51="4J4",OR(G53=3,G53=5,G53=7),G55="AC"),LOOKUP(G84,T!$X432:$X442,T!$W432:$W442),0)))))))))))))))))))),0)))*G23*G69)/1000))</f>
        <v>0</v>
      </c>
      <c r="H103" s="164">
        <f ca="1">IF(H29="","",IF(OR(COUNT(H19:H21)=3,COUNT(H19:H21)=1),(IF(H29="",0,IF(ISNUMBER(SEARCH("4H",H51)),IF(AND(H51="4H1",OR(H53=2,H53=4,H53=6,H53=8,H53=11),H55="DC"),LOOKUP(H84,T!$AC308:$AC321,T!$U308:$U321),IF(AND(H51="4H1",OR(H53=2,H53=4),H55="AC"),LOOKUP(H84,T!$AC308:$AC321,T!$V308:$V321),IF(AND(H51="4H1",OR(H53=6,H53=8),H55="AC"),LOOKUP(H84,T!$AC308:$AC321,T!$W308:$W321),IF(AND(H51="4H1",OR(H53=11,H53=12),H55="AC",H57=1),LOOKUP(H84,T!$AC308:$AC321,T!$X308:$X321),IF(AND(H51="4H1",OR(H53=3,H53=5),H55="AC"),LOOKUP(H84,T!$AC308:$AC321,T!$Y308:$Y321),IF(AND(H51="4H1",OR(H53=7,H53=10),H55="AC"),LOOKUP(H84,T!$AC308:$AC321,T!$Z308:$Z321),IF(AND(H51="4H1",H53=9,H55="AC"),LOOKUP(H84,T!$AC308:$AC321,T!$AA308:$AA321),IF(AND(H51="4H1",OR(H53=11,H53=12),H55="AC",H57=3),LOOKUP(H84,T!$AC308:$AC321,T!$AB308:$AB321),IF(AND(H51="4H2",OR(H53=2,H53=4,H53=6,H53=8),H55="DC"),LOOKUP(H84,T!$X327:$X337,T!$U327:$U337),IF(AND(H51="4H2",OR(H53=2,H53=4,H53=6,H53=8),H55="AC"),LOOKUP(H84,T!$X327:$X337,T!$V327:$V337),IF(AND(H51="4H2",OR(H53=3,H53=5,H53=7,H53=9),H55="AC"),LOOKUP(H84,T!$X327:$X337,T!$W327:$W337),IF(AND(H51="4H3",OR(H53=2,H53=4,H53=7,H53=8),H55="DC"),LOOKUP(H84,T!$AA343:$AA356,T!$U343:$U356),IF(AND(H51="4H3",OR(H53=2,H53=4),H55="AC"),LOOKUP(H84,T!$AA343:$AA356,T!$V343:$V356),IF(AND(H51="4H3",OR(H53=9,H53=10),H55="AC"),LOOKUP(H84,T!$AA343:$AA$356,T!$W343:$W356),IF(AND(H51="4H3",H53=6,H55="AC"),LOOKUP(H84,T!$AA343:$AA356,T!$X343:$X356),IF(AND(H51="4H3",OR(H53=3,H53=5),H55="AC"),LOOKUP(H84,T!$AA343:$AA356,T!$Y343:$Y356),IF(AND(H51="4H3",OR(H53=11,H53=12),H55="AC"),LOOKUP(H84,T!$AA343:$AA356,T!$Z343:$Z356),IF(AND(H51="4H4",OR(H53=2,H53=4,H53=6),H55="DC"),LOOKUP(H84,T!$X362:$X372,T!$U362:$U372),IF(AND(H51="4H4",OR(H53=2,H53=4,H53=6),H55="AC"),LOOKUP(H84,T!$X362:$X372,T!$V362:$V372),IF(AND(H51="4H4",OR(H53=3,H53=5,H53=7),H55="AC"),LOOKUP(H84,T!$X362:$X372,T!$W362:$W372),0)))))))))))))))))))),IF(ISNUMBER(SEARCH("4J",H51)),IF(AND(H51="4J1",OR(H53=2,H53=4,H53=6,H53=8,H53=11),H55="DC"),LOOKUP(H84,T!$AC378:$AC391,T!$U378:$U391),IF(AND(H51="4J1",OR(H53=2,H53=4),H55="AC"),LOOKUP(H84,T!$AC378:$AC391,T!$V378:$V391),IF(AND(H51="4J1",OR(H53=6,H53=8),H55="AC"),LOOKUP(H84,T!$AC378:$AC391,T!$W378:$W391),IF(AND(H51="4J1",OR(H53=11,H53=12),H55="AC",H57=1),LOOKUP(H84,T!$AC378:$AC391,T!$X378:$X391),IF(AND(H51="4J1",OR(H53=3,H53=5),H55="AC"),LOOKUP(H84,T!$AC378:$AC391,T!$Y378:$Y391),IF(AND(H51="4J1",OR(H53=7,H53=10),H55="AC"),LOOKUP(H84,T!$AC378:$AC391,T!$Z378:$Z391),IF(AND(H51="4J1",H53=9,H55="AC"),LOOKUP(H84,T!$AC378:$AC391,T!$AA378:$AA391),IF(AND(H51="4J1",OR(H53=11,H53=12),H55="AC",H57=3),LOOKUP(H84,T!$AC378:$AC391,T!$AB378:$AB391),IF(AND(H51="4J2",OR(H53=2,H53=4,H53=6,H53=8),H55="DC"),LOOKUP(H84,T!$X397:$X407,T!$U397:$U407),IF(AND(H51="4J2",OR(H53=2,H53=4,H53=6,H53=8),H55="AC"),LOOKUP(H84,T!$X397:$X407,T!$V397:$V407),IF(AND(H51="4J2",OR(H53=3,H53=5,H53=7,H53=9),H55="AC"),LOOKUP(H84,T!$X397:$X407,T!$W397:$W407),IF(AND(H51="4J3",OR(H53=2,H53=4,H53=7,H53=8),H55="DC"),LOOKUP(H84,T!$AA413:$AA426,T!$U413:$U426),IF(AND(H51="4J3",OR(H53=2,H53=4),H55="AC"),LOOKUP(H84,T!$AA413:$AA426,T!$V413:$V426),IF(AND(H51="4J3",OR(H53=9,H53=10),H55="AC"),LOOKUP(H84,T!$AA413:$AA426,T!$W413:$W426),IF(AND(H51="4J3",H53=6,H55="AC"),LOOKUP(H84,T!$AA413:$AA426,T!$X413:$X426),IF(AND(H51="4J3",OR(H53=3,H53=5),H55="AC"),LOOKUP(H84,T!$AA413:$AA426,T!$Y413:$Y426),IF(AND(H51="4J3",OR(H53=11,H53=12),H55="AC"),LOOKUP(H84,T!$AA413:$AA426,T!$Z413:$Z426),IF(AND(H51="4J4",OR(H53=2,H53=4,H53=6),H55="DC"),LOOKUP(H84,T!$X432:$X442,T!$U432:$U442),IF(AND(H51="4J4",OR(H53=2,H53=4,H53=6),H55="AC"),LOOKUP(H84,T!$X432:$X442,T!$V432:$V442),IF(AND(H51="4J4",OR(H53=3,H53=5,H53=7),H55="AC"),LOOKUP(H84,T!$X432:$X442,T!$W432:$W442),0)))))))))))))))))))),0)))*H23*H69)/1000))</f>
        <v>0</v>
      </c>
      <c r="I103" s="164">
        <f>IF(I29="","",IF(OR(COUNT(I19:I21)=3,COUNT(I19:I21)=1),(IF(I29="",0,IF(ISNUMBER(SEARCH("4H",I51)),IF(AND(I51="4H1",OR(I53=2,I53=4,I53=6,I53=8,I53=11),I55="DC"),LOOKUP(I84,T!$AC308:$AC321,T!$U308:$U321),IF(AND(I51="4H1",OR(I53=2,I53=4),I55="AC"),LOOKUP(I84,T!$AC308:$AC321,T!$V308:$V321),IF(AND(I51="4H1",OR(I53=6,I53=8),I55="AC"),LOOKUP(I84,T!$AC308:$AC321,T!$W308:$W321),IF(AND(I51="4H1",OR(I53=11,I53=12),I55="AC",I57=1),LOOKUP(I84,T!$AC308:$AC321,T!$X308:$X321),IF(AND(I51="4H1",OR(I53=3,I53=5),I55="AC"),LOOKUP(I84,T!$AC308:$AC321,T!$Y308:$Y321),IF(AND(I51="4H1",OR(I53=7,I53=10),I55="AC"),LOOKUP(I84,T!$AC308:$AC321,T!$Z308:$Z321),IF(AND(I51="4H1",I53=9,I55="AC"),LOOKUP(I84,T!$AC308:$AC321,T!$AA308:$AA321),IF(AND(I51="4H1",OR(I53=11,I53=12),I55="AC",I57=3),LOOKUP(I84,T!$AC308:$AC321,T!$AB308:$AB321),IF(AND(I51="4H2",OR(I53=2,I53=4,I53=6,I53=8),I55="DC"),LOOKUP(I84,T!$X327:$X337,T!$U327:$U337),IF(AND(I51="4H2",OR(I53=2,I53=4,I53=6,I53=8),I55="AC"),LOOKUP(I84,T!$X327:$X337,T!$V327:$V337),IF(AND(I51="4H2",OR(I53=3,I53=5,I53=7,I53=9),I55="AC"),LOOKUP(I84,T!$X327:$X337,T!$W327:$W337),IF(AND(I51="4H3",OR(I53=2,I53=4,I53=7,I53=8),I55="DC"),LOOKUP(I84,T!$AA343:$AA356,T!$U343:$U356),IF(AND(I51="4H3",OR(I53=2,I53=4),I55="AC"),LOOKUP(I84,T!$AA343:$AA356,T!$V343:$V356),IF(AND(I51="4H3",OR(I53=9,I53=10),I55="AC"),LOOKUP(I84,T!$AA343:$AA$356,T!$W343:$W356),IF(AND(I51="4H3",I53=6,I55="AC"),LOOKUP(I84,T!$AA343:$AA356,T!$X343:$X356),IF(AND(I51="4H3",OR(I53=3,I53=5),I55="AC"),LOOKUP(I84,T!$AA343:$AA356,T!$Y343:$Y356),IF(AND(I51="4H3",OR(I53=11,I53=12),I55="AC"),LOOKUP(I84,T!$AA343:$AA356,T!$Z343:$Z356),IF(AND(I51="4H4",OR(I53=2,I53=4,I53=6),I55="DC"),LOOKUP(I84,T!$X362:$X372,T!$U362:$U372),IF(AND(I51="4H4",OR(I53=2,I53=4,I53=6),I55="AC"),LOOKUP(I84,T!$X362:$X372,T!$V362:$V372),IF(AND(I51="4H4",OR(I53=3,I53=5,I53=7),I55="AC"),LOOKUP(I84,T!$X362:$X372,T!$W362:$W372),0)))))))))))))))))))),IF(ISNUMBER(SEARCH("4J",I51)),IF(AND(I51="4J1",OR(I53=2,I53=4,I53=6,I53=8,I53=11),I55="DC"),LOOKUP(I84,T!$AC378:$AC391,T!$U378:$U391),IF(AND(I51="4J1",OR(I53=2,I53=4),I55="AC"),LOOKUP(I84,T!$AC378:$AC391,T!$V378:$V391),IF(AND(I51="4J1",OR(I53=6,I53=8),I55="AC"),LOOKUP(I84,T!$AC378:$AC391,T!$W378:$W391),IF(AND(I51="4J1",OR(I53=11,I53=12),I55="AC",I57=1),LOOKUP(I84,T!$AC378:$AC391,T!$X378:$X391),IF(AND(I51="4J1",OR(I53=3,I53=5),I55="AC"),LOOKUP(I84,T!$AC378:$AC391,T!$Y378:$Y391),IF(AND(I51="4J1",OR(I53=7,I53=10),I55="AC"),LOOKUP(I84,T!$AC378:$AC391,T!$Z378:$Z391),IF(AND(I51="4J1",I53=9,I55="AC"),LOOKUP(I84,T!$AC378:$AC391,T!$AA378:$AA391),IF(AND(I51="4J1",OR(I53=11,I53=12),I55="AC",I57=3),LOOKUP(I84,T!$AC378:$AC391,T!$AB378:$AB391),IF(AND(I51="4J2",OR(I53=2,I53=4,I53=6,I53=8),I55="DC"),LOOKUP(I84,T!$X397:$X407,T!$U397:$U407),IF(AND(I51="4J2",OR(I53=2,I53=4,I53=6,I53=8),I55="AC"),LOOKUP(I84,T!$X397:$X407,T!$V397:$V407),IF(AND(I51="4J2",OR(I53=3,I53=5,I53=7,I53=9),I55="AC"),LOOKUP(I84,T!$X397:$X407,T!$W397:$W407),IF(AND(I51="4J3",OR(I53=2,I53=4,I53=7,I53=8),I55="DC"),LOOKUP(I84,T!$AA413:$AA426,T!$U413:$U426),IF(AND(I51="4J3",OR(I53=2,I53=4),I55="AC"),LOOKUP(I84,T!$AA413:$AA426,T!$V413:$V426),IF(AND(I51="4J3",OR(I53=9,I53=10),I55="AC"),LOOKUP(I84,T!$AA413:$AA426,T!$W413:$W426),IF(AND(I51="4J3",I53=6,I55="AC"),LOOKUP(I84,T!$AA413:$AA426,T!$X413:$X426),IF(AND(I51="4J3",OR(I53=3,I53=5),I55="AC"),LOOKUP(I84,T!$AA413:$AA426,T!$Y413:$Y426),IF(AND(I51="4J3",OR(I53=11,I53=12),I55="AC"),LOOKUP(I84,T!$AA413:$AA426,T!$Z413:$Z426),IF(AND(I51="4J4",OR(I53=2,I53=4,I53=6),I55="DC"),LOOKUP(I84,T!$X432:$X442,T!$U432:$U442),IF(AND(I51="4J4",OR(I53=2,I53=4,I53=6),I55="AC"),LOOKUP(I84,T!$X432:$X442,T!$V432:$V442),IF(AND(I51="4J4",OR(I53=3,I53=5,I53=7),I55="AC"),LOOKUP(I84,T!$X432:$X442,T!$W432:$W442),0)))))))))))))))))))),0)))*I23*I69)/1000))</f>
        <v>0</v>
      </c>
      <c r="J103" s="164">
        <f>IF(J29="","",IF(OR(COUNT(J19:J21)=3,COUNT(J19:J21)=1),(IF(J29="",0,IF(ISNUMBER(SEARCH("4H",J51)),IF(AND(J51="4H1",OR(J53=2,J53=4,J53=6,J53=8,J53=11),J55="DC"),LOOKUP(J84,T!$AC308:$AC321,T!$U308:$U321),IF(AND(J51="4H1",OR(J53=2,J53=4),J55="AC"),LOOKUP(J84,T!$AC308:$AC321,T!$V308:$V321),IF(AND(J51="4H1",OR(J53=6,J53=8),J55="AC"),LOOKUP(J84,T!$AC308:$AC321,T!$W308:$W321),IF(AND(J51="4H1",OR(J53=11,J53=12),J55="AC",J57=1),LOOKUP(J84,T!$AC308:$AC321,T!$X308:$X321),IF(AND(J51="4H1",OR(J53=3,J53=5),J55="AC"),LOOKUP(J84,T!$AC308:$AC321,T!$Y308:$Y321),IF(AND(J51="4H1",OR(J53=7,J53=10),J55="AC"),LOOKUP(J84,T!$AC308:$AC321,T!$Z308:$Z321),IF(AND(J51="4H1",J53=9,J55="AC"),LOOKUP(J84,T!$AC308:$AC321,T!$AA308:$AA321),IF(AND(J51="4H1",OR(J53=11,J53=12),J55="AC",J57=3),LOOKUP(J84,T!$AC308:$AC321,T!$AB308:$AB321),IF(AND(J51="4H2",OR(J53=2,J53=4,J53=6,J53=8),J55="DC"),LOOKUP(J84,T!$X327:$X337,T!$U327:$U337),IF(AND(J51="4H2",OR(J53=2,J53=4,J53=6,J53=8),J55="AC"),LOOKUP(J84,T!$X327:$X337,T!$V327:$V337),IF(AND(J51="4H2",OR(J53=3,J53=5,J53=7,J53=9),J55="AC"),LOOKUP(J84,T!$X327:$X337,T!$W327:$W337),IF(AND(J51="4H3",OR(J53=2,J53=4,J53=7,J53=8),J55="DC"),LOOKUP(J84,T!$AA343:$AA356,T!$U343:$U356),IF(AND(J51="4H3",OR(J53=2,J53=4),J55="AC"),LOOKUP(J84,T!$AA343:$AA356,T!$V343:$V356),IF(AND(J51="4H3",OR(J53=9,J53=10),J55="AC"),LOOKUP(J84,T!$AA343:$AA$356,T!$W343:$W356),IF(AND(J51="4H3",J53=6,J55="AC"),LOOKUP(J84,T!$AA343:$AA356,T!$X343:$X356),IF(AND(J51="4H3",OR(J53=3,J53=5),J55="AC"),LOOKUP(J84,T!$AA343:$AA356,T!$Y343:$Y356),IF(AND(J51="4H3",OR(J53=11,J53=12),J55="AC"),LOOKUP(J84,T!$AA343:$AA356,T!$Z343:$Z356),IF(AND(J51="4H4",OR(J53=2,J53=4,J53=6),J55="DC"),LOOKUP(J84,T!$X362:$X372,T!$U362:$U372),IF(AND(J51="4H4",OR(J53=2,J53=4,J53=6),J55="AC"),LOOKUP(J84,T!$X362:$X372,T!$V362:$V372),IF(AND(J51="4H4",OR(J53=3,J53=5,J53=7),J55="AC"),LOOKUP(J84,T!$X362:$X372,T!$W362:$W372),0)))))))))))))))))))),IF(ISNUMBER(SEARCH("4J",J51)),IF(AND(J51="4J1",OR(J53=2,J53=4,J53=6,J53=8,J53=11),J55="DC"),LOOKUP(J84,T!$AC378:$AC391,T!$U378:$U391),IF(AND(J51="4J1",OR(J53=2,J53=4),J55="AC"),LOOKUP(J84,T!$AC378:$AC391,T!$V378:$V391),IF(AND(J51="4J1",OR(J53=6,J53=8),J55="AC"),LOOKUP(J84,T!$AC378:$AC391,T!$W378:$W391),IF(AND(J51="4J1",OR(J53=11,J53=12),J55="AC",J57=1),LOOKUP(J84,T!$AC378:$AC391,T!$X378:$X391),IF(AND(J51="4J1",OR(J53=3,J53=5),J55="AC"),LOOKUP(J84,T!$AC378:$AC391,T!$Y378:$Y391),IF(AND(J51="4J1",OR(J53=7,J53=10),J55="AC"),LOOKUP(J84,T!$AC378:$AC391,T!$Z378:$Z391),IF(AND(J51="4J1",J53=9,J55="AC"),LOOKUP(J84,T!$AC378:$AC391,T!$AA378:$AA391),IF(AND(J51="4J1",OR(J53=11,J53=12),J55="AC",J57=3),LOOKUP(J84,T!$AC378:$AC391,T!$AB378:$AB391),IF(AND(J51="4J2",OR(J53=2,J53=4,J53=6,J53=8),J55="DC"),LOOKUP(J84,T!$X397:$X407,T!$U397:$U407),IF(AND(J51="4J2",OR(J53=2,J53=4,J53=6,J53=8),J55="AC"),LOOKUP(J84,T!$X397:$X407,T!$V397:$V407),IF(AND(J51="4J2",OR(J53=3,J53=5,J53=7,J53=9),J55="AC"),LOOKUP(J84,T!$X397:$X407,T!$W397:$W407),IF(AND(J51="4J3",OR(J53=2,J53=4,J53=7,J53=8),J55="DC"),LOOKUP(J84,T!$AA413:$AA426,T!$U413:$U426),IF(AND(J51="4J3",OR(J53=2,J53=4),J55="AC"),LOOKUP(J84,T!$AA413:$AA426,T!$V413:$V426),IF(AND(J51="4J3",OR(J53=9,J53=10),J55="AC"),LOOKUP(J84,T!$AA413:$AA426,T!$W413:$W426),IF(AND(J51="4J3",J53=6,J55="AC"),LOOKUP(J84,T!$AA413:$AA426,T!$X413:$X426),IF(AND(J51="4J3",OR(J53=3,J53=5),J55="AC"),LOOKUP(J84,T!$AA413:$AA426,T!$Y413:$Y426),IF(AND(J51="4J3",OR(J53=11,J53=12),J55="AC"),LOOKUP(J84,T!$AA413:$AA426,T!$Z413:$Z426),IF(AND(J51="4J4",OR(J53=2,J53=4,J53=6),J55="DC"),LOOKUP(J84,T!$X432:$X442,T!$U432:$U442),IF(AND(J51="4J4",OR(J53=2,J53=4,J53=6),J55="AC"),LOOKUP(J84,T!$X432:$X442,T!$V432:$V442),IF(AND(J51="4J4",OR(J53=3,J53=5,J53=7),J55="AC"),LOOKUP(J84,T!$X432:$X442,T!$W432:$W442),0)))))))))))))))))))),0)))*J23*J69)/1000))</f>
        <v>0</v>
      </c>
      <c r="K103" s="164">
        <f>IF(K29="","",IF(OR(COUNT(K19:K21)=3,COUNT(K19:K21)=1),(IF(K29="",0,IF(ISNUMBER(SEARCH("4H",K51)),IF(AND(K51="4H1",OR(K53=2,K53=4,K53=6,K53=8,K53=11),K55="DC"),LOOKUP(K84,T!$AC308:$AC321,T!$U308:$U321),IF(AND(K51="4H1",OR(K53=2,K53=4),K55="AC"),LOOKUP(K84,T!$AC308:$AC321,T!$V308:$V321),IF(AND(K51="4H1",OR(K53=6,K53=8),K55="AC"),LOOKUP(K84,T!$AC308:$AC321,T!$W308:$W321),IF(AND(K51="4H1",OR(K53=11,K53=12),K55="AC",K57=1),LOOKUP(K84,T!$AC308:$AC321,T!$X308:$X321),IF(AND(K51="4H1",OR(K53=3,K53=5),K55="AC"),LOOKUP(K84,T!$AC308:$AC321,T!$Y308:$Y321),IF(AND(K51="4H1",OR(K53=7,K53=10),K55="AC"),LOOKUP(K84,T!$AC308:$AC321,T!$Z308:$Z321),IF(AND(K51="4H1",K53=9,K55="AC"),LOOKUP(K84,T!$AC308:$AC321,T!$AA308:$AA321),IF(AND(K51="4H1",OR(K53=11,K53=12),K55="AC",K57=3),LOOKUP(K84,T!$AC308:$AC321,T!$AB308:$AB321),IF(AND(K51="4H2",OR(K53=2,K53=4,K53=6,K53=8),K55="DC"),LOOKUP(K84,T!$X327:$X337,T!$U327:$U337),IF(AND(K51="4H2",OR(K53=2,K53=4,K53=6,K53=8),K55="AC"),LOOKUP(K84,T!$X327:$X337,T!$V327:$V337),IF(AND(K51="4H2",OR(K53=3,K53=5,K53=7,K53=9),K55="AC"),LOOKUP(K84,T!$X327:$X337,T!$W327:$W337),IF(AND(K51="4H3",OR(K53=2,K53=4,K53=7,K53=8),K55="DC"),LOOKUP(K84,T!$AA343:$AA356,T!$U343:$U356),IF(AND(K51="4H3",OR(K53=2,K53=4),K55="AC"),LOOKUP(K84,T!$AA343:$AA356,T!$V343:$V356),IF(AND(K51="4H3",OR(K53=9,K53=10),K55="AC"),LOOKUP(K84,T!$AA343:$AA$356,T!$W343:$W356),IF(AND(K51="4H3",K53=6,K55="AC"),LOOKUP(K84,T!$AA343:$AA356,T!$X343:$X356),IF(AND(K51="4H3",OR(K53=3,K53=5),K55="AC"),LOOKUP(K84,T!$AA343:$AA356,T!$Y343:$Y356),IF(AND(K51="4H3",OR(K53=11,K53=12),K55="AC"),LOOKUP(K84,T!$AA343:$AA356,T!$Z343:$Z356),IF(AND(K51="4H4",OR(K53=2,K53=4,K53=6),K55="DC"),LOOKUP(K84,T!$X362:$X372,T!$U362:$U372),IF(AND(K51="4H4",OR(K53=2,K53=4,K53=6),K55="AC"),LOOKUP(K84,T!$X362:$X372,T!$V362:$V372),IF(AND(K51="4H4",OR(K53=3,K53=5,K53=7),K55="AC"),LOOKUP(K84,T!$X362:$X372,T!$W362:$W372),0)))))))))))))))))))),IF(ISNUMBER(SEARCH("4J",K51)),IF(AND(K51="4J1",OR(K53=2,K53=4,K53=6,K53=8,K53=11),K55="DC"),LOOKUP(K84,T!$AC378:$AC391,T!$U378:$U391),IF(AND(K51="4J1",OR(K53=2,K53=4),K55="AC"),LOOKUP(K84,T!$AC378:$AC391,T!$V378:$V391),IF(AND(K51="4J1",OR(K53=6,K53=8),K55="AC"),LOOKUP(K84,T!$AC378:$AC391,T!$W378:$W391),IF(AND(K51="4J1",OR(K53=11,K53=12),K55="AC",K57=1),LOOKUP(K84,T!$AC378:$AC391,T!$X378:$X391),IF(AND(K51="4J1",OR(K53=3,K53=5),K55="AC"),LOOKUP(K84,T!$AC378:$AC391,T!$Y378:$Y391),IF(AND(K51="4J1",OR(K53=7,K53=10),K55="AC"),LOOKUP(K84,T!$AC378:$AC391,T!$Z378:$Z391),IF(AND(K51="4J1",K53=9,K55="AC"),LOOKUP(K84,T!$AC378:$AC391,T!$AA378:$AA391),IF(AND(K51="4J1",OR(K53=11,K53=12),K55="AC",K57=3),LOOKUP(K84,T!$AC378:$AC391,T!$AB378:$AB391),IF(AND(K51="4J2",OR(K53=2,K53=4,K53=6,K53=8),K55="DC"),LOOKUP(K84,T!$X397:$X407,T!$U397:$U407),IF(AND(K51="4J2",OR(K53=2,K53=4,K53=6,K53=8),K55="AC"),LOOKUP(K84,T!$X397:$X407,T!$V397:$V407),IF(AND(K51="4J2",OR(K53=3,K53=5,K53=7,K53=9),K55="AC"),LOOKUP(K84,T!$X397:$X407,T!$W397:$W407),IF(AND(K51="4J3",OR(K53=2,K53=4,K53=7,K53=8),K55="DC"),LOOKUP(K84,T!$AA413:$AA426,T!$U413:$U426),IF(AND(K51="4J3",OR(K53=2,K53=4),K55="AC"),LOOKUP(K84,T!$AA413:$AA426,T!$V413:$V426),IF(AND(K51="4J3",OR(K53=9,K53=10),K55="AC"),LOOKUP(K84,T!$AA413:$AA426,T!$W413:$W426),IF(AND(K51="4J3",K53=6,K55="AC"),LOOKUP(K84,T!$AA413:$AA426,T!$X413:$X426),IF(AND(K51="4J3",OR(K53=3,K53=5),K55="AC"),LOOKUP(K84,T!$AA413:$AA426,T!$Y413:$Y426),IF(AND(K51="4J3",OR(K53=11,K53=12),K55="AC"),LOOKUP(K84,T!$AA413:$AA426,T!$Z413:$Z426),IF(AND(K51="4J4",OR(K53=2,K53=4,K53=6),K55="DC"),LOOKUP(K84,T!$X432:$X442,T!$U432:$U442),IF(AND(K51="4J4",OR(K53=2,K53=4,K53=6),K55="AC"),LOOKUP(K84,T!$X432:$X442,T!$V432:$V442),IF(AND(K51="4J4",OR(K53=3,K53=5,K53=7),K55="AC"),LOOKUP(K84,T!$X432:$X442,T!$W432:$W442),0)))))))))))))))))))),0)))*K23*K69)/1000))</f>
        <v>0</v>
      </c>
      <c r="L103" s="164">
        <f>IF(L29="","",IF(OR(COUNT(L19:L21)=3,COUNT(L19:L21)=1),(IF(L29="",0,IF(ISNUMBER(SEARCH("4H",L51)),IF(AND(L51="4H1",OR(L53=2,L53=4,L53=6,L53=8,L53=11),L55="DC"),LOOKUP(L84,T!$AC308:$AC321,T!$U308:$U321),IF(AND(L51="4H1",OR(L53=2,L53=4),L55="AC"),LOOKUP(L84,T!$AC308:$AC321,T!$V308:$V321),IF(AND(L51="4H1",OR(L53=6,L53=8),L55="AC"),LOOKUP(L84,T!$AC308:$AC321,T!$W308:$W321),IF(AND(L51="4H1",OR(L53=11,L53=12),L55="AC",L57=1),LOOKUP(L84,T!$AC308:$AC321,T!$X308:$X321),IF(AND(L51="4H1",OR(L53=3,L53=5),L55="AC"),LOOKUP(L84,T!$AC308:$AC321,T!$Y308:$Y321),IF(AND(L51="4H1",OR(L53=7,L53=10),L55="AC"),LOOKUP(L84,T!$AC308:$AC321,T!$Z308:$Z321),IF(AND(L51="4H1",L53=9,L55="AC"),LOOKUP(L84,T!$AC308:$AC321,T!$AA308:$AA321),IF(AND(L51="4H1",OR(L53=11,L53=12),L55="AC",L57=3),LOOKUP(L84,T!$AC308:$AC321,T!$AB308:$AB321),IF(AND(L51="4H2",OR(L53=2,L53=4,L53=6,L53=8),L55="DC"),LOOKUP(L84,T!$X327:$X337,T!$U327:$U337),IF(AND(L51="4H2",OR(L53=2,L53=4,L53=6,L53=8),L55="AC"),LOOKUP(L84,T!$X327:$X337,T!$V327:$V337),IF(AND(L51="4H2",OR(L53=3,L53=5,L53=7,L53=9),L55="AC"),LOOKUP(L84,T!$X327:$X337,T!$W327:$W337),IF(AND(L51="4H3",OR(L53=2,L53=4,L53=7,L53=8),L55="DC"),LOOKUP(L84,T!$AA343:$AA356,T!$U343:$U356),IF(AND(L51="4H3",OR(L53=2,L53=4),L55="AC"),LOOKUP(L84,T!$AA343:$AA356,T!$V343:$V356),IF(AND(L51="4H3",OR(L53=9,L53=10),L55="AC"),LOOKUP(L84,T!$AA343:$AA$356,T!$W343:$W356),IF(AND(L51="4H3",L53=6,L55="AC"),LOOKUP(L84,T!$AA343:$AA356,T!$X343:$X356),IF(AND(L51="4H3",OR(L53=3,L53=5),L55="AC"),LOOKUP(L84,T!$AA343:$AA356,T!$Y343:$Y356),IF(AND(L51="4H3",OR(L53=11,L53=12),L55="AC"),LOOKUP(L84,T!$AA343:$AA356,T!$Z343:$Z356),IF(AND(L51="4H4",OR(L53=2,L53=4,L53=6),L55="DC"),LOOKUP(L84,T!$X362:$X372,T!$U362:$U372),IF(AND(L51="4H4",OR(L53=2,L53=4,L53=6),L55="AC"),LOOKUP(L84,T!$X362:$X372,T!$V362:$V372),IF(AND(L51="4H4",OR(L53=3,L53=5,L53=7),L55="AC"),LOOKUP(L84,T!$X362:$X372,T!$W362:$W372),0)))))))))))))))))))),IF(ISNUMBER(SEARCH("4J",L51)),IF(AND(L51="4J1",OR(L53=2,L53=4,L53=6,L53=8,L53=11),L55="DC"),LOOKUP(L84,T!$AC378:$AC391,T!$U378:$U391),IF(AND(L51="4J1",OR(L53=2,L53=4),L55="AC"),LOOKUP(L84,T!$AC378:$AC391,T!$V378:$V391),IF(AND(L51="4J1",OR(L53=6,L53=8),L55="AC"),LOOKUP(L84,T!$AC378:$AC391,T!$W378:$W391),IF(AND(L51="4J1",OR(L53=11,L53=12),L55="AC",L57=1),LOOKUP(L84,T!$AC378:$AC391,T!$X378:$X391),IF(AND(L51="4J1",OR(L53=3,L53=5),L55="AC"),LOOKUP(L84,T!$AC378:$AC391,T!$Y378:$Y391),IF(AND(L51="4J1",OR(L53=7,L53=10),L55="AC"),LOOKUP(L84,T!$AC378:$AC391,T!$Z378:$Z391),IF(AND(L51="4J1",L53=9,L55="AC"),LOOKUP(L84,T!$AC378:$AC391,T!$AA378:$AA391),IF(AND(L51="4J1",OR(L53=11,L53=12),L55="AC",L57=3),LOOKUP(L84,T!$AC378:$AC391,T!$AB378:$AB391),IF(AND(L51="4J2",OR(L53=2,L53=4,L53=6,L53=8),L55="DC"),LOOKUP(L84,T!$X397:$X407,T!$U397:$U407),IF(AND(L51="4J2",OR(L53=2,L53=4,L53=6,L53=8),L55="AC"),LOOKUP(L84,T!$X397:$X407,T!$V397:$V407),IF(AND(L51="4J2",OR(L53=3,L53=5,L53=7,L53=9),L55="AC"),LOOKUP(L84,T!$X397:$X407,T!$W397:$W407),IF(AND(L51="4J3",OR(L53=2,L53=4,L53=7,L53=8),L55="DC"),LOOKUP(L84,T!$AA413:$AA426,T!$U413:$U426),IF(AND(L51="4J3",OR(L53=2,L53=4),L55="AC"),LOOKUP(L84,T!$AA413:$AA426,T!$V413:$V426),IF(AND(L51="4J3",OR(L53=9,L53=10),L55="AC"),LOOKUP(L84,T!$AA413:$AA426,T!$W413:$W426),IF(AND(L51="4J3",L53=6,L55="AC"),LOOKUP(L84,T!$AA413:$AA426,T!$X413:$X426),IF(AND(L51="4J3",OR(L53=3,L53=5),L55="AC"),LOOKUP(L84,T!$AA413:$AA426,T!$Y413:$Y426),IF(AND(L51="4J3",OR(L53=11,L53=12),L55="AC"),LOOKUP(L84,T!$AA413:$AA426,T!$Z413:$Z426),IF(AND(L51="4J4",OR(L53=2,L53=4,L53=6),L55="DC"),LOOKUP(L84,T!$X432:$X442,T!$U432:$U442),IF(AND(L51="4J4",OR(L53=2,L53=4,L53=6),L55="AC"),LOOKUP(L84,T!$X432:$X442,T!$V432:$V442),IF(AND(L51="4J4",OR(L53=3,L53=5,L53=7),L55="AC"),LOOKUP(L84,T!$X432:$X442,T!$W432:$W442),0)))))))))))))))))))),0)))*L23*L69)/1000))</f>
        <v>0</v>
      </c>
      <c r="M103" s="164" t="str">
        <f>IF(M29="","",IF(OR(COUNT(M19:M21)=3,COUNT(M19:M21)=1),(IF(M29="",0,IF(ISNUMBER(SEARCH("4H",M51)),IF(AND(M51="4H1",OR(M53=2,M53=4,M53=6,M53=8,M53=11),M55="DC"),LOOKUP(M84,T!$AC308:$AC321,T!$U308:$U321),IF(AND(M51="4H1",OR(M53=2,M53=4),M55="AC"),LOOKUP(M84,T!$AC308:$AC321,T!$V308:$V321),IF(AND(M51="4H1",OR(M53=6,M53=8),M55="AC"),LOOKUP(M84,T!$AC308:$AC321,T!$W308:$W321),IF(AND(M51="4H1",OR(M53=11,M53=12),M55="AC",M57=1),LOOKUP(M84,T!$AC308:$AC321,T!$X308:$X321),IF(AND(M51="4H1",OR(M53=3,M53=5),M55="AC"),LOOKUP(M84,T!$AC308:$AC321,T!$Y308:$Y321),IF(AND(M51="4H1",OR(M53=7,M53=10),M55="AC"),LOOKUP(M84,T!$AC308:$AC321,T!$Z308:$Z321),IF(AND(M51="4H1",M53=9,M55="AC"),LOOKUP(M84,T!$AC308:$AC321,T!$AA308:$AA321),IF(AND(M51="4H1",OR(M53=11,M53=12),M55="AC",M57=3),LOOKUP(M84,T!$AC308:$AC321,T!$AB308:$AB321),IF(AND(M51="4H2",OR(M53=2,M53=4,M53=6,M53=8),M55="DC"),LOOKUP(M84,T!$X327:$X337,T!$U327:$U337),IF(AND(M51="4H2",OR(M53=2,M53=4,M53=6,M53=8),M55="AC"),LOOKUP(M84,T!$X327:$X337,T!$V327:$V337),IF(AND(M51="4H2",OR(M53=3,M53=5,M53=7,M53=9),M55="AC"),LOOKUP(M84,T!$X327:$X337,T!$W327:$W337),IF(AND(M51="4H3",OR(M53=2,M53=4,M53=7,M53=8),M55="DC"),LOOKUP(M84,T!$AA343:$AA356,T!$U343:$U356),IF(AND(M51="4H3",OR(M53=2,M53=4),M55="AC"),LOOKUP(M84,T!$AA343:$AA356,T!$V343:$V356),IF(AND(M51="4H3",OR(M53=9,M53=10),M55="AC"),LOOKUP(M84,T!$AA343:$AA$356,T!$W343:$W356),IF(AND(M51="4H3",M53=6,M55="AC"),LOOKUP(M84,T!$AA343:$AA356,T!$X343:$X356),IF(AND(M51="4H3",OR(M53=3,M53=5),M55="AC"),LOOKUP(M84,T!$AA343:$AA356,T!$Y343:$Y356),IF(AND(M51="4H3",OR(M53=11,M53=12),M55="AC"),LOOKUP(M84,T!$AA343:$AA356,T!$Z343:$Z356),IF(AND(M51="4H4",OR(M53=2,M53=4,M53=6),M55="DC"),LOOKUP(M84,T!$X362:$X372,T!$U362:$U372),IF(AND(M51="4H4",OR(M53=2,M53=4,M53=6),M55="AC"),LOOKUP(M84,T!$X362:$X372,T!$V362:$V372),IF(AND(M51="4H4",OR(M53=3,M53=5,M53=7),M55="AC"),LOOKUP(M84,T!$X362:$X372,T!$W362:$W372),0)))))))))))))))))))),IF(ISNUMBER(SEARCH("4J",M51)),IF(AND(M51="4J1",OR(M53=2,M53=4,M53=6,M53=8,M53=11),M55="DC"),LOOKUP(M84,T!$AC378:$AC391,T!$U378:$U391),IF(AND(M51="4J1",OR(M53=2,M53=4),M55="AC"),LOOKUP(M84,T!$AC378:$AC391,T!$V378:$V391),IF(AND(M51="4J1",OR(M53=6,M53=8),M55="AC"),LOOKUP(M84,T!$AC378:$AC391,T!$W378:$W391),IF(AND(M51="4J1",OR(M53=11,M53=12),M55="AC",M57=1),LOOKUP(M84,T!$AC378:$AC391,T!$X378:$X391),IF(AND(M51="4J1",OR(M53=3,M53=5),M55="AC"),LOOKUP(M84,T!$AC378:$AC391,T!$Y378:$Y391),IF(AND(M51="4J1",OR(M53=7,M53=10),M55="AC"),LOOKUP(M84,T!$AC378:$AC391,T!$Z378:$Z391),IF(AND(M51="4J1",M53=9,M55="AC"),LOOKUP(M84,T!$AC378:$AC391,T!$AA378:$AA391),IF(AND(M51="4J1",OR(M53=11,M53=12),M55="AC",M57=3),LOOKUP(M84,T!$AC378:$AC391,T!$AB378:$AB391),IF(AND(M51="4J2",OR(M53=2,M53=4,M53=6,M53=8),M55="DC"),LOOKUP(M84,T!$X397:$X407,T!$U397:$U407),IF(AND(M51="4J2",OR(M53=2,M53=4,M53=6,M53=8),M55="AC"),LOOKUP(M84,T!$X397:$X407,T!$V397:$V407),IF(AND(M51="4J2",OR(M53=3,M53=5,M53=7,M53=9),M55="AC"),LOOKUP(M84,T!$X397:$X407,T!$W397:$W407),IF(AND(M51="4J3",OR(M53=2,M53=4,M53=7,M53=8),M55="DC"),LOOKUP(M84,T!$AA413:$AA426,T!$U413:$U426),IF(AND(M51="4J3",OR(M53=2,M53=4),M55="AC"),LOOKUP(M84,T!$AA413:$AA426,T!$V413:$V426),IF(AND(M51="4J3",OR(M53=9,M53=10),M55="AC"),LOOKUP(M84,T!$AA413:$AA426,T!$W413:$W426),IF(AND(M51="4J3",M53=6,M55="AC"),LOOKUP(M84,T!$AA413:$AA426,T!$X413:$X426),IF(AND(M51="4J3",OR(M53=3,M53=5),M55="AC"),LOOKUP(M84,T!$AA413:$AA426,T!$Y413:$Y426),IF(AND(M51="4J3",OR(M53=11,M53=12),M55="AC"),LOOKUP(M84,T!$AA413:$AA426,T!$Z413:$Z426),IF(AND(M51="4J4",OR(M53=2,M53=4,M53=6),M55="DC"),LOOKUP(M84,T!$X432:$X442,T!$U432:$U442),IF(AND(M51="4J4",OR(M53=2,M53=4,M53=6),M55="AC"),LOOKUP(M84,T!$X432:$X442,T!$V432:$V442),IF(AND(M51="4J4",OR(M53=3,M53=5,M53=7),M55="AC"),LOOKUP(M84,T!$X432:$X442,T!$W432:$W442),0)))))))))))))))))))),0)))*M23*M69)/1000))</f>
        <v/>
      </c>
      <c r="N103" s="164">
        <f>IF(N29="","",IF(OR(COUNT(N19:N21)=3,COUNT(N19:N21)=1),(IF(N29="",0,IF(ISNUMBER(SEARCH("4H",N51)),IF(AND(N51="4H1",OR(N53=2,N53=4,N53=6,N53=8,N53=11),N55="DC"),LOOKUP(N84,T!$AC308:$AC321,T!$U308:$U321),IF(AND(N51="4H1",OR(N53=2,N53=4),N55="AC"),LOOKUP(N84,T!$AC308:$AC321,T!$V308:$V321),IF(AND(N51="4H1",OR(N53=6,N53=8),N55="AC"),LOOKUP(N84,T!$AC308:$AC321,T!$W308:$W321),IF(AND(N51="4H1",OR(N53=11,N53=12),N55="AC",N57=1),LOOKUP(N84,T!$AC308:$AC321,T!$X308:$X321),IF(AND(N51="4H1",OR(N53=3,N53=5),N55="AC"),LOOKUP(N84,T!$AC308:$AC321,T!$Y308:$Y321),IF(AND(N51="4H1",OR(N53=7,N53=10),N55="AC"),LOOKUP(N84,T!$AC308:$AC321,T!$Z308:$Z321),IF(AND(N51="4H1",N53=9,N55="AC"),LOOKUP(N84,T!$AC308:$AC321,T!$AA308:$AA321),IF(AND(N51="4H1",OR(N53=11,N53=12),N55="AC",N57=3),LOOKUP(N84,T!$AC308:$AC321,T!$AB308:$AB321),IF(AND(N51="4H2",OR(N53=2,N53=4,N53=6,N53=8),N55="DC"),LOOKUP(N84,T!$X327:$X337,T!$U327:$U337),IF(AND(N51="4H2",OR(N53=2,N53=4,N53=6,N53=8),N55="AC"),LOOKUP(N84,T!$X327:$X337,T!$V327:$V337),IF(AND(N51="4H2",OR(N53=3,N53=5,N53=7,N53=9),N55="AC"),LOOKUP(N84,T!$X327:$X337,T!$W327:$W337),IF(AND(N51="4H3",OR(N53=2,N53=4,N53=7,N53=8),N55="DC"),LOOKUP(N84,T!$AA343:$AA356,T!$U343:$U356),IF(AND(N51="4H3",OR(N53=2,N53=4),N55="AC"),LOOKUP(N84,T!$AA343:$AA356,T!$V343:$V356),IF(AND(N51="4H3",OR(N53=9,N53=10),N55="AC"),LOOKUP(N84,T!$AA343:$AA$356,T!$W343:$W356),IF(AND(N51="4H3",N53=6,N55="AC"),LOOKUP(N84,T!$AA343:$AA356,T!$X343:$X356),IF(AND(N51="4H3",OR(N53=3,N53=5),N55="AC"),LOOKUP(N84,T!$AA343:$AA356,T!$Y343:$Y356),IF(AND(N51="4H3",OR(N53=11,N53=12),N55="AC"),LOOKUP(N84,T!$AA343:$AA356,T!$Z343:$Z356),IF(AND(N51="4H4",OR(N53=2,N53=4,N53=6),N55="DC"),LOOKUP(N84,T!$X362:$X372,T!$U362:$U372),IF(AND(N51="4H4",OR(N53=2,N53=4,N53=6),N55="AC"),LOOKUP(N84,T!$X362:$X372,T!$V362:$V372),IF(AND(N51="4H4",OR(N53=3,N53=5,N53=7),N55="AC"),LOOKUP(N84,T!$X362:$X372,T!$W362:$W372),0)))))))))))))))))))),IF(ISNUMBER(SEARCH("4J",N51)),IF(AND(N51="4J1",OR(N53=2,N53=4,N53=6,N53=8,N53=11),N55="DC"),LOOKUP(N84,T!$AC378:$AC391,T!$U378:$U391),IF(AND(N51="4J1",OR(N53=2,N53=4),N55="AC"),LOOKUP(N84,T!$AC378:$AC391,T!$V378:$V391),IF(AND(N51="4J1",OR(N53=6,N53=8),N55="AC"),LOOKUP(N84,T!$AC378:$AC391,T!$W378:$W391),IF(AND(N51="4J1",OR(N53=11,N53=12),N55="AC",N57=1),LOOKUP(N84,T!$AC378:$AC391,T!$X378:$X391),IF(AND(N51="4J1",OR(N53=3,N53=5),N55="AC"),LOOKUP(N84,T!$AC378:$AC391,T!$Y378:$Y391),IF(AND(N51="4J1",OR(N53=7,N53=10),N55="AC"),LOOKUP(N84,T!$AC378:$AC391,T!$Z378:$Z391),IF(AND(N51="4J1",N53=9,N55="AC"),LOOKUP(N84,T!$AC378:$AC391,T!$AA378:$AA391),IF(AND(N51="4J1",OR(N53=11,N53=12),N55="AC",N57=3),LOOKUP(N84,T!$AC378:$AC391,T!$AB378:$AB391),IF(AND(N51="4J2",OR(N53=2,N53=4,N53=6,N53=8),N55="DC"),LOOKUP(N84,T!$X397:$X407,T!$U397:$U407),IF(AND(N51="4J2",OR(N53=2,N53=4,N53=6,N53=8),N55="AC"),LOOKUP(N84,T!$X397:$X407,T!$V397:$V407),IF(AND(N51="4J2",OR(N53=3,N53=5,N53=7,N53=9),N55="AC"),LOOKUP(N84,T!$X397:$X407,T!$W397:$W407),IF(AND(N51="4J3",OR(N53=2,N53=4,N53=7,N53=8),N55="DC"),LOOKUP(N84,T!$AA413:$AA426,T!$U413:$U426),IF(AND(N51="4J3",OR(N53=2,N53=4),N55="AC"),LOOKUP(N84,T!$AA413:$AA426,T!$V413:$V426),IF(AND(N51="4J3",OR(N53=9,N53=10),N55="AC"),LOOKUP(N84,T!$AA413:$AA426,T!$W413:$W426),IF(AND(N51="4J3",N53=6,N55="AC"),LOOKUP(N84,T!$AA413:$AA426,T!$X413:$X426),IF(AND(N51="4J3",OR(N53=3,N53=5),N55="AC"),LOOKUP(N84,T!$AA413:$AA426,T!$Y413:$Y426),IF(AND(N51="4J3",OR(N53=11,N53=12),N55="AC"),LOOKUP(N84,T!$AA413:$AA426,T!$Z413:$Z426),IF(AND(N51="4J4",OR(N53=2,N53=4,N53=6),N55="DC"),LOOKUP(N84,T!$X432:$X442,T!$U432:$U442),IF(AND(N51="4J4",OR(N53=2,N53=4,N53=6),N55="AC"),LOOKUP(N84,T!$X432:$X442,T!$V432:$V442),IF(AND(N51="4J4",OR(N53=3,N53=5,N53=7),N55="AC"),LOOKUP(N84,T!$X432:$X442,T!$W432:$W442),0)))))))))))))))))))),0)))*N23*N69)/1000))</f>
        <v>0</v>
      </c>
      <c r="O103" s="140" t="str">
        <f>IF(O$9="","",IF(N103&lt;&gt;0,"mV/A/m",""))</f>
        <v/>
      </c>
      <c r="P103" s="195"/>
    </row>
    <row r="104" spans="1:58" s="173" customFormat="1" ht="16">
      <c r="A104" s="196" t="s">
        <v>2502</v>
      </c>
      <c r="B104" s="197"/>
      <c r="C104" s="198"/>
      <c r="D104" s="198"/>
      <c r="E104" s="199">
        <f ca="1">IFERROR((IF(E84&gt;=E83,E102,99999)/((SUMPRODUCT(Items!$A$242:$A$254,Items!$AQ$242:$AQ$254)/SUM(Items!$A$242:$A$254))*Items!$N$1)),"")</f>
        <v>495.04455445544556</v>
      </c>
      <c r="F104" s="199">
        <f ca="1">IFERROR((IF(F84&gt;=F83,F102,99999)/((SUMPRODUCT(Items!$A$242:$A$254,Items!$AQ$242:$AQ$254)/SUM(Items!$A$242:$A$254))*Items!$N$1)),"")</f>
        <v>495.04455445544556</v>
      </c>
      <c r="G104" s="199">
        <f ca="1">IFERROR((IF(G84&gt;=G83,G102,99999)/((SUMPRODUCT(Items!$A$242:$A$254,Items!$AQ$242:$AQ$254)/SUM(Items!$A$242:$A$254))*Items!$N$1)),"")</f>
        <v>1.6831960396039604E-2</v>
      </c>
      <c r="H104" s="199">
        <f ca="1">IFERROR((IF(H84&gt;=H83,H102,99999)/((SUMPRODUCT(Items!$A$242:$A$254,Items!$AQ$242:$AQ$254)/SUM(Items!$A$242:$A$254))*Items!$N$1)),"")</f>
        <v>1.0711247524752473E-2</v>
      </c>
      <c r="I104" s="198"/>
      <c r="J104" s="198"/>
      <c r="K104" s="199">
        <f ca="1">IFERROR((IF(K84&gt;=K83,K102,99999)/((SUMPRODUCT(Items!$A$242:$A$254,Items!$AQ$242:$AQ$254)/SUM(Items!$A$242:$A$254))*Items!$N$1)),"")</f>
        <v>1.4026633663366336E-2</v>
      </c>
      <c r="L104" s="199">
        <f ca="1">IFERROR((IF(L84&gt;=L83,L102,99999)/((SUMPRODUCT(Items!$A$242:$A$254,Items!$AQ$242:$AQ$254)/SUM(Items!$A$242:$A$254))*Items!$N$1)),"")</f>
        <v>9.3085841584158394E-3</v>
      </c>
      <c r="M104" s="198"/>
      <c r="N104" s="198"/>
      <c r="O104" s="198"/>
    </row>
    <row r="105" spans="1:58" s="129" customFormat="1" ht="16">
      <c r="A105" s="130"/>
      <c r="C105" s="128"/>
      <c r="D105" s="128"/>
      <c r="E105" s="128"/>
      <c r="F105" s="128"/>
      <c r="G105" s="128"/>
      <c r="H105" s="128"/>
      <c r="I105" s="128"/>
      <c r="O105" s="128"/>
      <c r="P105" s="128"/>
      <c r="Q105" s="128"/>
      <c r="R105" s="128"/>
      <c r="S105" s="128"/>
      <c r="T105" s="128"/>
      <c r="U105" s="128"/>
      <c r="V105" s="130"/>
      <c r="W105" s="130"/>
      <c r="X105" s="130"/>
      <c r="Y105" s="130"/>
      <c r="Z105" s="130"/>
      <c r="AA105" s="130"/>
      <c r="AB105" s="130"/>
      <c r="AC105" s="130"/>
      <c r="AD105" s="130"/>
      <c r="AE105" s="130"/>
      <c r="AF105" s="130"/>
      <c r="AG105" s="130"/>
      <c r="AH105" s="130"/>
      <c r="AI105" s="130"/>
      <c r="AJ105" s="130"/>
      <c r="AK105" s="130"/>
      <c r="AL105" s="130"/>
      <c r="AM105" s="130"/>
      <c r="AN105" s="130"/>
      <c r="AO105" s="130"/>
      <c r="AP105" s="130"/>
      <c r="AQ105" s="130"/>
      <c r="AR105" s="130"/>
      <c r="AS105" s="130"/>
      <c r="AT105" s="130"/>
      <c r="AU105" s="130"/>
      <c r="AV105" s="130"/>
      <c r="AW105" s="130"/>
      <c r="AX105" s="130"/>
      <c r="AY105" s="130"/>
      <c r="AZ105" s="130"/>
      <c r="BA105" s="130"/>
      <c r="BB105" s="130"/>
      <c r="BC105" s="130"/>
      <c r="BD105" s="130"/>
      <c r="BE105" s="130"/>
      <c r="BF105" s="130"/>
    </row>
    <row r="106" spans="1:58" s="129" customFormat="1" ht="55">
      <c r="A106" s="392" t="s">
        <v>2107</v>
      </c>
      <c r="B106" s="200" t="s">
        <v>2139</v>
      </c>
      <c r="C106" s="189">
        <v>2</v>
      </c>
      <c r="D106" s="189">
        <v>3</v>
      </c>
      <c r="E106" s="189">
        <v>4</v>
      </c>
      <c r="F106" s="189">
        <v>5</v>
      </c>
      <c r="G106" s="189">
        <v>6</v>
      </c>
      <c r="H106" s="189"/>
      <c r="I106" s="189">
        <v>7</v>
      </c>
      <c r="J106" s="189">
        <v>9</v>
      </c>
      <c r="K106" s="189"/>
      <c r="L106" s="189">
        <v>12</v>
      </c>
      <c r="M106" s="128"/>
      <c r="N106" s="201" t="s">
        <v>2140</v>
      </c>
      <c r="O106" s="201" t="s">
        <v>2141</v>
      </c>
      <c r="P106" s="201" t="s">
        <v>2096</v>
      </c>
      <c r="Q106" s="201" t="s">
        <v>2142</v>
      </c>
      <c r="R106" s="201" t="s">
        <v>2143</v>
      </c>
      <c r="S106" s="201" t="s">
        <v>2144</v>
      </c>
      <c r="T106" s="201" t="s">
        <v>2145</v>
      </c>
      <c r="U106" s="201">
        <v>100</v>
      </c>
      <c r="V106" s="201">
        <v>101</v>
      </c>
      <c r="W106" s="201">
        <v>102</v>
      </c>
      <c r="X106" s="201">
        <v>103</v>
      </c>
      <c r="Y106" s="130"/>
      <c r="Z106" s="130"/>
      <c r="AA106" s="130"/>
      <c r="AB106" s="130"/>
      <c r="AC106" s="130"/>
      <c r="AD106" s="130"/>
      <c r="AE106" s="130"/>
      <c r="AF106" s="130"/>
      <c r="AG106" s="130"/>
      <c r="AH106" s="130"/>
      <c r="AI106" s="130"/>
      <c r="AJ106" s="130"/>
      <c r="AK106" s="130"/>
      <c r="AL106" s="130"/>
      <c r="AM106" s="130"/>
      <c r="AN106" s="130"/>
      <c r="AO106" s="130"/>
      <c r="AP106" s="130"/>
      <c r="AQ106" s="130"/>
      <c r="AR106" s="130"/>
      <c r="AS106" s="130"/>
      <c r="AT106" s="130"/>
      <c r="AU106" s="130"/>
      <c r="AV106" s="130"/>
      <c r="AW106" s="130"/>
      <c r="AX106" s="130"/>
      <c r="AY106" s="130"/>
      <c r="AZ106" s="130"/>
      <c r="BA106" s="130"/>
      <c r="BB106" s="130"/>
      <c r="BC106" s="130"/>
      <c r="BD106" s="130"/>
      <c r="BE106" s="130"/>
      <c r="BF106" s="130"/>
    </row>
    <row r="107" spans="1:58" s="129" customFormat="1" ht="16">
      <c r="A107" s="393"/>
      <c r="B107" s="156" t="s">
        <v>2146</v>
      </c>
      <c r="C107" s="157" t="s">
        <v>2140</v>
      </c>
      <c r="D107" s="157" t="s">
        <v>2140</v>
      </c>
      <c r="E107" s="157" t="s">
        <v>2141</v>
      </c>
      <c r="F107" s="157" t="s">
        <v>2141</v>
      </c>
      <c r="G107" s="157" t="s">
        <v>2096</v>
      </c>
      <c r="H107" s="157"/>
      <c r="I107" s="157" t="s">
        <v>2096</v>
      </c>
      <c r="J107" s="157" t="s">
        <v>2144</v>
      </c>
      <c r="K107" s="157"/>
      <c r="L107" s="157" t="s">
        <v>2144</v>
      </c>
      <c r="M107" s="128"/>
      <c r="N107" s="202"/>
      <c r="O107" s="203"/>
      <c r="P107" s="203"/>
      <c r="Q107" s="203"/>
      <c r="R107" s="204" t="s">
        <v>2147</v>
      </c>
      <c r="S107" s="204"/>
      <c r="T107" s="203"/>
      <c r="U107" s="203"/>
      <c r="V107" s="205"/>
      <c r="W107" s="205"/>
      <c r="X107" s="206"/>
      <c r="Y107" s="130"/>
      <c r="Z107" s="130"/>
      <c r="AA107" s="130"/>
      <c r="AB107" s="130"/>
      <c r="AC107" s="130"/>
      <c r="AD107" s="130"/>
      <c r="AE107" s="130"/>
      <c r="AF107" s="130"/>
      <c r="AG107" s="130"/>
      <c r="AH107" s="130"/>
      <c r="AI107" s="130"/>
      <c r="AJ107" s="130"/>
      <c r="AK107" s="130"/>
      <c r="AL107" s="130"/>
      <c r="AM107" s="130"/>
      <c r="AN107" s="130"/>
      <c r="AO107" s="130"/>
      <c r="AP107" s="130"/>
      <c r="AQ107" s="130"/>
      <c r="AR107" s="130"/>
      <c r="AS107" s="130"/>
      <c r="AT107" s="130"/>
      <c r="AU107" s="130"/>
      <c r="AV107" s="130"/>
      <c r="AW107" s="130"/>
      <c r="AX107" s="130"/>
      <c r="AY107" s="130"/>
      <c r="AZ107" s="130"/>
      <c r="BA107" s="130"/>
      <c r="BB107" s="130"/>
      <c r="BC107" s="130"/>
      <c r="BD107" s="130"/>
      <c r="BE107" s="130"/>
      <c r="BF107" s="130"/>
    </row>
    <row r="108" spans="1:58" s="129" customFormat="1" ht="16">
      <c r="A108" s="393"/>
      <c r="B108" s="156" t="s">
        <v>2148</v>
      </c>
      <c r="C108" s="157">
        <v>2</v>
      </c>
      <c r="D108" s="157" t="s">
        <v>2149</v>
      </c>
      <c r="E108" s="157">
        <v>2</v>
      </c>
      <c r="F108" s="157" t="s">
        <v>2149</v>
      </c>
      <c r="G108" s="157">
        <v>2</v>
      </c>
      <c r="H108" s="157"/>
      <c r="I108" s="157" t="s">
        <v>2149</v>
      </c>
      <c r="J108" s="157">
        <v>3</v>
      </c>
      <c r="K108" s="157"/>
      <c r="L108" s="157" t="s">
        <v>2150</v>
      </c>
      <c r="M108" s="128"/>
      <c r="N108" s="128"/>
      <c r="O108" s="128"/>
      <c r="P108" s="128"/>
      <c r="Q108" s="128"/>
      <c r="R108" s="128"/>
      <c r="S108" s="128"/>
      <c r="T108" s="128"/>
      <c r="U108" s="128"/>
      <c r="V108" s="130"/>
      <c r="W108" s="130"/>
      <c r="X108" s="130"/>
      <c r="Y108" s="130"/>
      <c r="Z108" s="130"/>
      <c r="AA108" s="130"/>
      <c r="AB108" s="130"/>
      <c r="AC108" s="130"/>
      <c r="AD108" s="130"/>
      <c r="AE108" s="130"/>
      <c r="AF108" s="130"/>
      <c r="AG108" s="130"/>
      <c r="AH108" s="130"/>
      <c r="AI108" s="130"/>
      <c r="AJ108" s="130"/>
      <c r="AK108" s="130"/>
      <c r="AL108" s="130"/>
      <c r="AM108" s="130"/>
      <c r="AN108" s="130"/>
      <c r="AO108" s="130"/>
      <c r="AP108" s="130"/>
      <c r="AQ108" s="130"/>
      <c r="AR108" s="130"/>
      <c r="AS108" s="130"/>
      <c r="AT108" s="130"/>
      <c r="AU108" s="130"/>
      <c r="AV108" s="130"/>
      <c r="AW108" s="130"/>
      <c r="AX108" s="130"/>
      <c r="AY108" s="130"/>
      <c r="AZ108" s="130"/>
      <c r="BA108" s="130"/>
      <c r="BB108" s="130"/>
      <c r="BC108" s="130"/>
      <c r="BD108" s="130"/>
      <c r="BE108" s="130"/>
      <c r="BF108" s="130"/>
    </row>
    <row r="109" spans="1:58" s="129" customFormat="1" ht="16">
      <c r="A109" s="393"/>
      <c r="B109" s="156" t="s">
        <v>2151</v>
      </c>
      <c r="C109" s="157"/>
      <c r="D109" s="157"/>
      <c r="E109" s="157"/>
      <c r="F109" s="157"/>
      <c r="G109" s="157" t="s">
        <v>2152</v>
      </c>
      <c r="H109" s="157"/>
      <c r="I109" s="157" t="s">
        <v>2152</v>
      </c>
      <c r="J109" s="157" t="s">
        <v>2152</v>
      </c>
      <c r="K109" s="157"/>
      <c r="L109" s="157" t="s">
        <v>2153</v>
      </c>
      <c r="M109" s="128"/>
      <c r="N109" s="128"/>
      <c r="O109" s="128"/>
      <c r="P109" s="128"/>
      <c r="Q109" s="128"/>
      <c r="R109" s="128"/>
      <c r="S109" s="128"/>
      <c r="T109" s="128"/>
      <c r="U109" s="128"/>
      <c r="V109" s="130"/>
      <c r="W109" s="130"/>
      <c r="X109" s="130"/>
      <c r="Y109" s="130"/>
      <c r="Z109" s="130"/>
      <c r="AA109" s="130"/>
      <c r="AB109" s="130"/>
      <c r="AC109" s="130"/>
      <c r="AD109" s="130"/>
      <c r="AE109" s="130"/>
      <c r="AF109" s="130"/>
      <c r="AG109" s="130"/>
      <c r="AH109" s="130"/>
      <c r="AI109" s="130"/>
      <c r="AJ109" s="130"/>
      <c r="AK109" s="130"/>
      <c r="AL109" s="130"/>
      <c r="AM109" s="130"/>
      <c r="AN109" s="130"/>
      <c r="AO109" s="130"/>
      <c r="AP109" s="130"/>
      <c r="AQ109" s="130"/>
      <c r="AR109" s="130"/>
      <c r="AS109" s="130"/>
      <c r="AT109" s="130"/>
      <c r="AU109" s="130"/>
      <c r="AV109" s="130"/>
      <c r="AW109" s="130"/>
      <c r="AX109" s="130"/>
      <c r="AY109" s="130"/>
      <c r="AZ109" s="130"/>
      <c r="BA109" s="130"/>
      <c r="BB109" s="130"/>
      <c r="BC109" s="130"/>
      <c r="BD109" s="130"/>
      <c r="BE109" s="130"/>
      <c r="BF109" s="130"/>
    </row>
    <row r="110" spans="1:58" s="129" customFormat="1" ht="16">
      <c r="A110" s="393"/>
      <c r="B110" s="156" t="s">
        <v>2154</v>
      </c>
      <c r="C110" s="157"/>
      <c r="D110" s="157"/>
      <c r="E110" s="157"/>
      <c r="F110" s="157"/>
      <c r="G110" s="157" t="s">
        <v>2155</v>
      </c>
      <c r="H110" s="157"/>
      <c r="I110" s="157"/>
      <c r="J110" s="157" t="s">
        <v>2155</v>
      </c>
      <c r="K110" s="157"/>
      <c r="L110" s="157" t="s">
        <v>2155</v>
      </c>
      <c r="M110" s="128"/>
      <c r="N110" s="128"/>
      <c r="O110" s="128"/>
      <c r="P110" s="128"/>
      <c r="Q110" s="128"/>
      <c r="R110" s="128"/>
      <c r="S110" s="128"/>
      <c r="T110" s="128"/>
      <c r="U110" s="128"/>
      <c r="V110" s="130"/>
      <c r="W110" s="130"/>
      <c r="X110" s="130"/>
      <c r="Y110" s="130"/>
      <c r="Z110" s="130"/>
      <c r="AA110" s="130"/>
      <c r="AB110" s="130"/>
      <c r="AC110" s="130"/>
      <c r="AD110" s="130"/>
      <c r="AE110" s="130"/>
      <c r="AF110" s="130"/>
      <c r="AG110" s="130"/>
      <c r="AH110" s="130"/>
      <c r="AI110" s="130"/>
      <c r="AJ110" s="130"/>
      <c r="AK110" s="130"/>
      <c r="AL110" s="130"/>
      <c r="AM110" s="130"/>
      <c r="AN110" s="130"/>
      <c r="AO110" s="130"/>
      <c r="AP110" s="130"/>
      <c r="AQ110" s="130"/>
      <c r="AR110" s="130"/>
      <c r="AS110" s="130"/>
      <c r="AT110" s="130"/>
      <c r="AU110" s="130"/>
      <c r="AV110" s="130"/>
      <c r="AW110" s="130"/>
      <c r="AX110" s="130"/>
      <c r="AY110" s="130"/>
      <c r="AZ110" s="130"/>
      <c r="BA110" s="130"/>
      <c r="BB110" s="130"/>
      <c r="BC110" s="130"/>
      <c r="BD110" s="130"/>
      <c r="BE110" s="130"/>
      <c r="BF110" s="130"/>
    </row>
    <row r="111" spans="1:58" s="129" customFormat="1" ht="16">
      <c r="A111" s="393"/>
      <c r="B111" s="156" t="s">
        <v>2156</v>
      </c>
      <c r="C111" s="157"/>
      <c r="D111" s="157"/>
      <c r="E111" s="157"/>
      <c r="F111" s="157"/>
      <c r="G111" s="157"/>
      <c r="H111" s="157"/>
      <c r="I111" s="157"/>
      <c r="J111" s="157"/>
      <c r="K111" s="157"/>
      <c r="L111" s="157" t="s">
        <v>2157</v>
      </c>
      <c r="M111" s="128"/>
      <c r="N111" s="128"/>
      <c r="O111" s="128"/>
      <c r="P111" s="128"/>
      <c r="Q111" s="128"/>
      <c r="R111" s="128"/>
      <c r="S111" s="128"/>
      <c r="T111" s="128"/>
      <c r="U111" s="128"/>
      <c r="V111" s="130"/>
      <c r="W111" s="130"/>
      <c r="X111" s="130"/>
      <c r="Y111" s="130"/>
      <c r="Z111" s="130"/>
      <c r="AA111" s="130"/>
      <c r="AB111" s="130"/>
      <c r="AC111" s="130"/>
      <c r="AD111" s="130"/>
      <c r="AE111" s="130"/>
      <c r="AF111" s="130"/>
      <c r="AG111" s="130"/>
      <c r="AH111" s="130"/>
      <c r="AI111" s="130"/>
      <c r="AJ111" s="130"/>
      <c r="AK111" s="130"/>
      <c r="AL111" s="130"/>
      <c r="AM111" s="130"/>
      <c r="AN111" s="130"/>
      <c r="AO111" s="130"/>
      <c r="AP111" s="130"/>
      <c r="AQ111" s="130"/>
      <c r="AR111" s="130"/>
      <c r="AS111" s="130"/>
      <c r="AT111" s="130"/>
      <c r="AU111" s="130"/>
      <c r="AV111" s="130"/>
      <c r="AW111" s="130"/>
      <c r="AX111" s="130"/>
      <c r="AY111" s="130"/>
      <c r="AZ111" s="130"/>
      <c r="BA111" s="130"/>
      <c r="BB111" s="130"/>
      <c r="BC111" s="130"/>
      <c r="BD111" s="130"/>
      <c r="BE111" s="130"/>
      <c r="BF111" s="130"/>
    </row>
    <row r="112" spans="1:58" s="129" customFormat="1" ht="16">
      <c r="A112" s="394"/>
      <c r="B112" s="139" t="s">
        <v>2109</v>
      </c>
      <c r="C112" s="141"/>
      <c r="D112" s="141"/>
      <c r="E112" s="141"/>
      <c r="F112" s="141"/>
      <c r="G112" s="141"/>
      <c r="H112" s="141"/>
      <c r="I112" s="141"/>
      <c r="J112" s="141"/>
      <c r="K112" s="141"/>
      <c r="L112" s="141"/>
      <c r="M112" s="128"/>
      <c r="N112" s="128"/>
      <c r="O112" s="128"/>
      <c r="P112" s="128"/>
      <c r="Q112" s="128"/>
      <c r="R112" s="128"/>
      <c r="S112" s="128"/>
      <c r="T112" s="128"/>
      <c r="U112" s="128"/>
      <c r="V112" s="130"/>
      <c r="W112" s="130"/>
      <c r="X112" s="130"/>
      <c r="Y112" s="130"/>
      <c r="Z112" s="130"/>
      <c r="AA112" s="130"/>
      <c r="AB112" s="130"/>
      <c r="AC112" s="130"/>
      <c r="AD112" s="130"/>
      <c r="AE112" s="130"/>
      <c r="AF112" s="130"/>
      <c r="AG112" s="130"/>
      <c r="AH112" s="130"/>
      <c r="AI112" s="130"/>
      <c r="AJ112" s="130"/>
      <c r="AK112" s="130"/>
      <c r="AL112" s="130"/>
      <c r="AM112" s="130"/>
      <c r="AN112" s="130"/>
      <c r="AO112" s="130"/>
      <c r="AP112" s="130"/>
      <c r="AQ112" s="130"/>
      <c r="AR112" s="130"/>
      <c r="AS112" s="130"/>
      <c r="AT112" s="130"/>
      <c r="AU112" s="130"/>
      <c r="AV112" s="130"/>
      <c r="AW112" s="130"/>
      <c r="AX112" s="130"/>
      <c r="AY112" s="130"/>
      <c r="AZ112" s="130"/>
      <c r="BA112" s="130"/>
      <c r="BB112" s="130"/>
      <c r="BC112" s="130"/>
      <c r="BD112" s="130"/>
      <c r="BE112" s="130"/>
      <c r="BF112" s="130"/>
    </row>
    <row r="113" spans="1:58" s="129" customFormat="1" ht="16">
      <c r="A113" s="128"/>
      <c r="D113" s="128"/>
      <c r="E113" s="128"/>
      <c r="F113" s="128"/>
      <c r="G113" s="128"/>
      <c r="H113" s="128"/>
      <c r="I113" s="128"/>
      <c r="J113" s="128"/>
      <c r="K113" s="128"/>
      <c r="L113" s="128"/>
      <c r="M113" s="128"/>
      <c r="N113" s="128"/>
      <c r="O113" s="128"/>
      <c r="P113" s="128"/>
      <c r="Q113" s="128"/>
      <c r="R113" s="128"/>
      <c r="S113" s="128"/>
      <c r="T113" s="128"/>
      <c r="U113" s="128"/>
      <c r="V113" s="130"/>
      <c r="W113" s="130"/>
      <c r="X113" s="130"/>
      <c r="Y113" s="130"/>
      <c r="Z113" s="130"/>
      <c r="AA113" s="130"/>
      <c r="AB113" s="130"/>
      <c r="AC113" s="130"/>
      <c r="AD113" s="130"/>
      <c r="AE113" s="130"/>
      <c r="AF113" s="130"/>
      <c r="AG113" s="130"/>
      <c r="AH113" s="130"/>
      <c r="AI113" s="130"/>
      <c r="AJ113" s="130"/>
      <c r="AK113" s="130"/>
      <c r="AL113" s="130"/>
      <c r="AM113" s="130"/>
      <c r="AN113" s="130"/>
      <c r="AO113" s="130"/>
      <c r="AP113" s="130"/>
      <c r="AQ113" s="130"/>
      <c r="AR113" s="130"/>
      <c r="AS113" s="130"/>
      <c r="AT113" s="130"/>
      <c r="AU113" s="130"/>
      <c r="AV113" s="130"/>
      <c r="AW113" s="130"/>
      <c r="AX113" s="130"/>
      <c r="AY113" s="130"/>
      <c r="AZ113" s="130"/>
      <c r="BA113" s="130"/>
      <c r="BB113" s="130"/>
      <c r="BC113" s="130"/>
      <c r="BD113" s="130"/>
      <c r="BE113" s="130"/>
      <c r="BF113" s="130"/>
    </row>
    <row r="114" spans="1:58" s="129" customFormat="1" ht="55">
      <c r="A114" s="392" t="s">
        <v>2106</v>
      </c>
      <c r="B114" s="200" t="s">
        <v>2158</v>
      </c>
      <c r="C114" s="189">
        <v>2</v>
      </c>
      <c r="D114" s="189">
        <v>3</v>
      </c>
      <c r="E114" s="189">
        <v>4</v>
      </c>
      <c r="F114" s="189">
        <v>5</v>
      </c>
      <c r="G114" s="189">
        <v>6</v>
      </c>
      <c r="H114" s="189"/>
      <c r="I114" s="189">
        <v>7</v>
      </c>
      <c r="J114" s="189">
        <v>9</v>
      </c>
      <c r="K114" s="189"/>
      <c r="L114" s="189"/>
      <c r="M114" s="128"/>
      <c r="P114" s="128"/>
      <c r="Q114" s="128"/>
      <c r="R114" s="128"/>
      <c r="S114" s="128"/>
      <c r="T114" s="128"/>
      <c r="U114" s="128"/>
      <c r="V114" s="130"/>
      <c r="W114" s="130"/>
      <c r="X114" s="130"/>
      <c r="Y114" s="130"/>
      <c r="Z114" s="130"/>
      <c r="AA114" s="130"/>
      <c r="AB114" s="130"/>
      <c r="AC114" s="130"/>
      <c r="AD114" s="130"/>
      <c r="AE114" s="130"/>
      <c r="AF114" s="130"/>
      <c r="AG114" s="130"/>
      <c r="AH114" s="130"/>
      <c r="AI114" s="130"/>
      <c r="AJ114" s="130"/>
      <c r="AK114" s="130"/>
      <c r="AL114" s="130"/>
      <c r="AM114" s="130"/>
      <c r="AN114" s="130"/>
      <c r="AO114" s="130"/>
      <c r="AP114" s="130"/>
      <c r="AQ114" s="130"/>
      <c r="AR114" s="130"/>
      <c r="AS114" s="130"/>
      <c r="AT114" s="130"/>
      <c r="AU114" s="130"/>
      <c r="AV114" s="130"/>
      <c r="AW114" s="130"/>
      <c r="AX114" s="130"/>
      <c r="AY114" s="130"/>
      <c r="AZ114" s="130"/>
      <c r="BA114" s="130"/>
      <c r="BB114" s="130"/>
      <c r="BC114" s="130"/>
      <c r="BD114" s="130"/>
      <c r="BE114" s="130"/>
      <c r="BF114" s="130"/>
    </row>
    <row r="115" spans="1:58" s="129" customFormat="1" ht="16">
      <c r="A115" s="393"/>
      <c r="B115" s="156" t="s">
        <v>2146</v>
      </c>
      <c r="C115" s="157" t="s">
        <v>2140</v>
      </c>
      <c r="D115" s="157" t="s">
        <v>2140</v>
      </c>
      <c r="E115" s="157" t="s">
        <v>2141</v>
      </c>
      <c r="F115" s="157" t="s">
        <v>2141</v>
      </c>
      <c r="G115" s="157" t="s">
        <v>2096</v>
      </c>
      <c r="H115" s="157"/>
      <c r="I115" s="157" t="s">
        <v>2096</v>
      </c>
      <c r="J115" s="157" t="s">
        <v>2143</v>
      </c>
      <c r="K115" s="157"/>
      <c r="L115" s="157"/>
      <c r="P115" s="128"/>
      <c r="Q115" s="128"/>
      <c r="R115" s="128"/>
      <c r="S115" s="128"/>
      <c r="T115" s="128"/>
      <c r="U115" s="128"/>
      <c r="V115" s="130"/>
      <c r="W115" s="130"/>
      <c r="X115" s="130"/>
      <c r="Y115" s="130"/>
      <c r="Z115" s="130"/>
      <c r="AA115" s="130"/>
      <c r="AB115" s="130"/>
      <c r="AC115" s="130"/>
      <c r="AD115" s="130"/>
      <c r="AE115" s="130"/>
      <c r="AF115" s="130"/>
      <c r="AG115" s="130"/>
      <c r="AH115" s="130"/>
      <c r="AI115" s="130"/>
      <c r="AJ115" s="130"/>
      <c r="AK115" s="130"/>
      <c r="AL115" s="130"/>
      <c r="AM115" s="130"/>
      <c r="AN115" s="130"/>
      <c r="AO115" s="130"/>
      <c r="AP115" s="130"/>
      <c r="AQ115" s="130"/>
      <c r="AR115" s="130"/>
      <c r="AS115" s="130"/>
      <c r="AT115" s="130"/>
      <c r="AU115" s="130"/>
      <c r="AV115" s="130"/>
      <c r="AW115" s="130"/>
      <c r="AX115" s="130"/>
      <c r="AY115" s="130"/>
      <c r="AZ115" s="130"/>
      <c r="BA115" s="130"/>
      <c r="BB115" s="130"/>
      <c r="BC115" s="130"/>
      <c r="BD115" s="130"/>
      <c r="BE115" s="130"/>
      <c r="BF115" s="130"/>
    </row>
    <row r="116" spans="1:58" s="129" customFormat="1" ht="16">
      <c r="A116" s="393"/>
      <c r="B116" s="156" t="s">
        <v>2148</v>
      </c>
      <c r="C116" s="157">
        <v>2</v>
      </c>
      <c r="D116" s="157" t="s">
        <v>2149</v>
      </c>
      <c r="E116" s="157">
        <v>2</v>
      </c>
      <c r="F116" s="157" t="s">
        <v>2149</v>
      </c>
      <c r="G116" s="157">
        <v>2</v>
      </c>
      <c r="H116" s="157"/>
      <c r="I116" s="157" t="s">
        <v>2149</v>
      </c>
      <c r="J116" s="157" t="s">
        <v>2149</v>
      </c>
      <c r="K116" s="157"/>
      <c r="L116" s="157"/>
      <c r="P116" s="128"/>
      <c r="Q116" s="128"/>
      <c r="R116" s="128"/>
      <c r="S116" s="128"/>
      <c r="T116" s="128"/>
      <c r="U116" s="128"/>
      <c r="V116" s="130"/>
      <c r="W116" s="130"/>
      <c r="X116" s="130"/>
      <c r="Y116" s="130"/>
      <c r="Z116" s="130"/>
      <c r="AA116" s="130"/>
      <c r="AB116" s="130"/>
      <c r="AC116" s="130"/>
      <c r="AD116" s="130"/>
      <c r="AE116" s="130"/>
      <c r="AF116" s="130"/>
      <c r="AG116" s="130"/>
      <c r="AH116" s="130"/>
      <c r="AI116" s="130"/>
      <c r="AJ116" s="130"/>
      <c r="AK116" s="130"/>
      <c r="AL116" s="130"/>
      <c r="AM116" s="130"/>
      <c r="AN116" s="130"/>
      <c r="AO116" s="130"/>
      <c r="AP116" s="130"/>
      <c r="AQ116" s="130"/>
      <c r="AR116" s="130"/>
      <c r="AS116" s="130"/>
      <c r="AT116" s="130"/>
      <c r="AU116" s="130"/>
      <c r="AV116" s="130"/>
      <c r="AW116" s="130"/>
      <c r="AX116" s="130"/>
      <c r="AY116" s="130"/>
      <c r="AZ116" s="130"/>
      <c r="BA116" s="130"/>
      <c r="BB116" s="130"/>
      <c r="BC116" s="130"/>
      <c r="BD116" s="130"/>
      <c r="BE116" s="130"/>
      <c r="BF116" s="130"/>
    </row>
    <row r="117" spans="1:58" s="129" customFormat="1" ht="16">
      <c r="A117" s="393"/>
      <c r="B117" s="156" t="s">
        <v>2151</v>
      </c>
      <c r="C117" s="157"/>
      <c r="D117" s="157"/>
      <c r="E117" s="157"/>
      <c r="F117" s="157"/>
      <c r="G117" s="157"/>
      <c r="H117" s="157"/>
      <c r="I117" s="157"/>
      <c r="J117" s="157"/>
      <c r="K117" s="157"/>
      <c r="L117" s="157"/>
      <c r="P117" s="128"/>
      <c r="Q117" s="128"/>
      <c r="R117" s="128"/>
      <c r="S117" s="128"/>
      <c r="T117" s="128"/>
      <c r="U117" s="128"/>
      <c r="V117" s="130"/>
      <c r="W117" s="130"/>
      <c r="X117" s="130"/>
      <c r="Y117" s="130"/>
      <c r="Z117" s="130"/>
      <c r="AA117" s="130"/>
      <c r="AB117" s="130"/>
      <c r="AC117" s="130"/>
      <c r="AD117" s="130"/>
      <c r="AE117" s="130"/>
      <c r="AF117" s="130"/>
      <c r="AG117" s="130"/>
      <c r="AH117" s="130"/>
      <c r="AI117" s="130"/>
      <c r="AJ117" s="130"/>
      <c r="AK117" s="130"/>
      <c r="AL117" s="130"/>
      <c r="AM117" s="130"/>
      <c r="AN117" s="130"/>
      <c r="AO117" s="130"/>
      <c r="AP117" s="130"/>
      <c r="AQ117" s="130"/>
      <c r="AR117" s="130"/>
      <c r="AS117" s="130"/>
      <c r="AT117" s="130"/>
      <c r="AU117" s="130"/>
      <c r="AV117" s="130"/>
      <c r="AW117" s="130"/>
      <c r="AX117" s="130"/>
      <c r="AY117" s="130"/>
      <c r="AZ117" s="130"/>
      <c r="BA117" s="130"/>
      <c r="BB117" s="130"/>
      <c r="BC117" s="130"/>
      <c r="BD117" s="130"/>
      <c r="BE117" s="130"/>
      <c r="BF117" s="130"/>
    </row>
    <row r="118" spans="1:58" s="129" customFormat="1" ht="16">
      <c r="A118" s="393"/>
      <c r="B118" s="156" t="s">
        <v>2154</v>
      </c>
      <c r="C118" s="157"/>
      <c r="D118" s="157"/>
      <c r="E118" s="157"/>
      <c r="F118" s="157"/>
      <c r="G118" s="157"/>
      <c r="H118" s="157"/>
      <c r="I118" s="157"/>
      <c r="J118" s="157"/>
      <c r="K118" s="157"/>
      <c r="L118" s="157"/>
      <c r="P118" s="128"/>
      <c r="Q118" s="128"/>
      <c r="R118" s="128"/>
      <c r="S118" s="128"/>
      <c r="T118" s="128"/>
      <c r="U118" s="128"/>
      <c r="V118" s="130"/>
      <c r="W118" s="130"/>
      <c r="X118" s="130"/>
      <c r="Y118" s="130"/>
      <c r="Z118" s="130"/>
      <c r="AA118" s="130"/>
      <c r="AB118" s="130"/>
      <c r="AC118" s="130"/>
      <c r="AD118" s="130"/>
      <c r="AE118" s="130"/>
      <c r="AF118" s="130"/>
      <c r="AG118" s="130"/>
      <c r="AH118" s="130"/>
      <c r="AI118" s="130"/>
      <c r="AJ118" s="130"/>
      <c r="AK118" s="130"/>
      <c r="AL118" s="130"/>
      <c r="AM118" s="130"/>
      <c r="AN118" s="130"/>
      <c r="AO118" s="130"/>
      <c r="AP118" s="130"/>
      <c r="AQ118" s="130"/>
      <c r="AR118" s="130"/>
      <c r="AS118" s="130"/>
      <c r="AT118" s="130"/>
      <c r="AU118" s="130"/>
      <c r="AV118" s="130"/>
      <c r="AW118" s="130"/>
      <c r="AX118" s="130"/>
      <c r="AY118" s="130"/>
      <c r="AZ118" s="130"/>
      <c r="BA118" s="130"/>
      <c r="BB118" s="130"/>
      <c r="BC118" s="130"/>
      <c r="BD118" s="130"/>
      <c r="BE118" s="130"/>
      <c r="BF118" s="130"/>
    </row>
    <row r="119" spans="1:58" s="129" customFormat="1" ht="16">
      <c r="A119" s="393"/>
      <c r="B119" s="156" t="s">
        <v>2156</v>
      </c>
      <c r="C119" s="157"/>
      <c r="D119" s="157"/>
      <c r="E119" s="157"/>
      <c r="F119" s="157"/>
      <c r="G119" s="157"/>
      <c r="H119" s="157"/>
      <c r="I119" s="157"/>
      <c r="J119" s="157"/>
      <c r="K119" s="157"/>
      <c r="L119" s="157"/>
      <c r="P119" s="128"/>
      <c r="Q119" s="128"/>
      <c r="R119" s="128"/>
      <c r="S119" s="128"/>
      <c r="T119" s="128"/>
      <c r="U119" s="128"/>
      <c r="V119" s="130"/>
      <c r="W119" s="130"/>
      <c r="X119" s="130"/>
      <c r="Y119" s="130"/>
      <c r="Z119" s="130"/>
      <c r="AA119" s="130"/>
      <c r="AB119" s="130"/>
      <c r="AC119" s="130"/>
      <c r="AD119" s="130"/>
      <c r="AE119" s="130"/>
      <c r="AF119" s="130"/>
      <c r="AG119" s="130"/>
      <c r="AH119" s="130"/>
      <c r="AI119" s="130"/>
      <c r="AJ119" s="130"/>
      <c r="AK119" s="130"/>
      <c r="AL119" s="130"/>
      <c r="AM119" s="130"/>
      <c r="AN119" s="130"/>
      <c r="AO119" s="130"/>
      <c r="AP119" s="130"/>
      <c r="AQ119" s="130"/>
      <c r="AR119" s="130"/>
      <c r="AS119" s="130"/>
      <c r="AT119" s="130"/>
      <c r="AU119" s="130"/>
      <c r="AV119" s="130"/>
      <c r="AW119" s="130"/>
      <c r="AX119" s="130"/>
      <c r="AY119" s="130"/>
      <c r="AZ119" s="130"/>
      <c r="BA119" s="130"/>
      <c r="BB119" s="130"/>
      <c r="BC119" s="130"/>
      <c r="BD119" s="130"/>
      <c r="BE119" s="130"/>
      <c r="BF119" s="130"/>
    </row>
    <row r="120" spans="1:58" s="129" customFormat="1" ht="16">
      <c r="A120" s="394"/>
      <c r="B120" s="139" t="s">
        <v>2109</v>
      </c>
      <c r="C120" s="141"/>
      <c r="D120" s="141"/>
      <c r="E120" s="141"/>
      <c r="F120" s="141"/>
      <c r="G120" s="141"/>
      <c r="H120" s="141"/>
      <c r="I120" s="141"/>
      <c r="J120" s="141"/>
      <c r="K120" s="141"/>
      <c r="L120" s="141"/>
      <c r="P120" s="128"/>
      <c r="Q120" s="128"/>
      <c r="R120" s="128"/>
      <c r="S120" s="128"/>
      <c r="T120" s="128"/>
      <c r="U120" s="128"/>
      <c r="V120" s="130"/>
      <c r="W120" s="130"/>
      <c r="X120" s="130"/>
      <c r="Y120" s="130"/>
      <c r="Z120" s="130"/>
      <c r="AA120" s="130"/>
      <c r="AB120" s="130"/>
      <c r="AC120" s="130"/>
      <c r="AD120" s="130"/>
      <c r="AE120" s="130"/>
      <c r="AF120" s="130"/>
      <c r="AG120" s="130"/>
      <c r="AH120" s="130"/>
      <c r="AI120" s="130"/>
      <c r="AJ120" s="130"/>
      <c r="AK120" s="130"/>
      <c r="AL120" s="130"/>
      <c r="AM120" s="130"/>
      <c r="AN120" s="130"/>
      <c r="AO120" s="130"/>
      <c r="AP120" s="130"/>
      <c r="AQ120" s="130"/>
      <c r="AR120" s="130"/>
      <c r="AS120" s="130"/>
      <c r="AT120" s="130"/>
      <c r="AU120" s="130"/>
      <c r="AV120" s="130"/>
      <c r="AW120" s="130"/>
      <c r="AX120" s="130"/>
      <c r="AY120" s="130"/>
      <c r="AZ120" s="130"/>
      <c r="BA120" s="130"/>
      <c r="BB120" s="130"/>
      <c r="BC120" s="130"/>
      <c r="BD120" s="130"/>
      <c r="BE120" s="130"/>
      <c r="BF120" s="130"/>
    </row>
    <row r="121" spans="1:58" s="129" customFormat="1" ht="16">
      <c r="L121" s="128"/>
      <c r="M121" s="128"/>
      <c r="P121" s="128"/>
      <c r="Q121" s="128"/>
      <c r="R121" s="128"/>
      <c r="S121" s="128"/>
      <c r="T121" s="128"/>
      <c r="U121" s="128"/>
      <c r="V121" s="130"/>
      <c r="W121" s="130"/>
      <c r="X121" s="130"/>
      <c r="Y121" s="130"/>
      <c r="Z121" s="130"/>
      <c r="AA121" s="130"/>
      <c r="AB121" s="130"/>
      <c r="AC121" s="130"/>
      <c r="AD121" s="130"/>
      <c r="AE121" s="130"/>
      <c r="AF121" s="130"/>
      <c r="AG121" s="130"/>
      <c r="AH121" s="130"/>
      <c r="AI121" s="130"/>
      <c r="AJ121" s="130"/>
      <c r="AK121" s="130"/>
      <c r="AL121" s="130"/>
      <c r="AM121" s="130"/>
      <c r="AN121" s="130"/>
      <c r="AO121" s="130"/>
      <c r="AP121" s="130"/>
      <c r="AQ121" s="130"/>
      <c r="AR121" s="130"/>
      <c r="AS121" s="130"/>
      <c r="AT121" s="130"/>
      <c r="AU121" s="130"/>
      <c r="AV121" s="130"/>
      <c r="AW121" s="130"/>
      <c r="AX121" s="130"/>
      <c r="AY121" s="130"/>
      <c r="AZ121" s="130"/>
      <c r="BA121" s="130"/>
      <c r="BB121" s="130"/>
      <c r="BC121" s="130"/>
      <c r="BD121" s="130"/>
      <c r="BE121" s="130"/>
      <c r="BF121" s="130"/>
    </row>
    <row r="122" spans="1:58" s="129" customFormat="1" ht="55">
      <c r="A122" s="392" t="s">
        <v>2159</v>
      </c>
      <c r="B122" s="200" t="s">
        <v>2160</v>
      </c>
      <c r="C122" s="189">
        <v>2</v>
      </c>
      <c r="D122" s="189">
        <v>3</v>
      </c>
      <c r="E122" s="189">
        <v>4</v>
      </c>
      <c r="F122" s="189">
        <v>5</v>
      </c>
      <c r="G122" s="189">
        <v>6</v>
      </c>
      <c r="H122" s="189"/>
      <c r="I122" s="189">
        <v>7</v>
      </c>
      <c r="J122" s="189">
        <v>9</v>
      </c>
      <c r="K122" s="189"/>
      <c r="L122" s="189">
        <v>12</v>
      </c>
      <c r="M122" s="128"/>
      <c r="P122" s="128"/>
      <c r="Q122" s="128"/>
      <c r="R122" s="128"/>
      <c r="S122" s="128"/>
      <c r="T122" s="128"/>
      <c r="U122" s="128"/>
      <c r="V122" s="130"/>
      <c r="W122" s="130"/>
      <c r="X122" s="130"/>
      <c r="Y122" s="130"/>
      <c r="Z122" s="130"/>
      <c r="AA122" s="130"/>
      <c r="AB122" s="130"/>
      <c r="AC122" s="130"/>
      <c r="AD122" s="130"/>
      <c r="AE122" s="130"/>
      <c r="AF122" s="130"/>
      <c r="AG122" s="130"/>
      <c r="AH122" s="130"/>
      <c r="AI122" s="130"/>
      <c r="AJ122" s="130"/>
      <c r="AK122" s="130"/>
      <c r="AL122" s="130"/>
      <c r="AM122" s="130"/>
      <c r="AN122" s="130"/>
      <c r="AO122" s="130"/>
      <c r="AP122" s="130"/>
      <c r="AQ122" s="130"/>
      <c r="AR122" s="130"/>
      <c r="AS122" s="130"/>
      <c r="AT122" s="130"/>
      <c r="AU122" s="130"/>
      <c r="AV122" s="130"/>
      <c r="AW122" s="130"/>
      <c r="AX122" s="130"/>
      <c r="AY122" s="130"/>
      <c r="AZ122" s="130"/>
      <c r="BA122" s="130"/>
      <c r="BB122" s="130"/>
      <c r="BC122" s="130"/>
      <c r="BD122" s="130"/>
      <c r="BE122" s="130"/>
      <c r="BF122" s="130"/>
    </row>
    <row r="123" spans="1:58" s="129" customFormat="1" ht="16">
      <c r="A123" s="393"/>
      <c r="B123" s="156" t="s">
        <v>2146</v>
      </c>
      <c r="C123" s="157" t="s">
        <v>2096</v>
      </c>
      <c r="D123" s="157" t="s">
        <v>2096</v>
      </c>
      <c r="E123" s="157" t="s">
        <v>2144</v>
      </c>
      <c r="F123" s="157" t="s">
        <v>2144</v>
      </c>
      <c r="G123" s="157" t="s">
        <v>2144</v>
      </c>
      <c r="H123" s="157"/>
      <c r="I123" s="157" t="s">
        <v>2144</v>
      </c>
      <c r="J123" s="157" t="s">
        <v>2144</v>
      </c>
      <c r="K123" s="157"/>
      <c r="L123" s="157" t="s">
        <v>2144</v>
      </c>
      <c r="M123" s="128"/>
      <c r="P123" s="128"/>
      <c r="Q123" s="128"/>
      <c r="R123" s="128"/>
      <c r="S123" s="128"/>
      <c r="T123" s="128"/>
      <c r="U123" s="128"/>
      <c r="V123" s="130"/>
      <c r="W123" s="130"/>
      <c r="X123" s="130"/>
      <c r="Y123" s="130"/>
      <c r="Z123" s="130"/>
      <c r="AA123" s="130"/>
      <c r="AB123" s="130"/>
      <c r="AC123" s="130"/>
      <c r="AD123" s="130"/>
      <c r="AE123" s="130"/>
      <c r="AF123" s="130"/>
      <c r="AG123" s="130"/>
      <c r="AH123" s="130"/>
      <c r="AI123" s="130"/>
      <c r="AJ123" s="130"/>
      <c r="AK123" s="130"/>
      <c r="AL123" s="130"/>
      <c r="AM123" s="130"/>
      <c r="AN123" s="130"/>
      <c r="AO123" s="130"/>
      <c r="AP123" s="130"/>
      <c r="AQ123" s="130"/>
      <c r="AR123" s="130"/>
      <c r="AS123" s="130"/>
      <c r="AT123" s="130"/>
      <c r="AU123" s="130"/>
      <c r="AV123" s="130"/>
      <c r="AW123" s="130"/>
      <c r="AX123" s="130"/>
      <c r="AY123" s="130"/>
      <c r="AZ123" s="130"/>
      <c r="BA123" s="130"/>
      <c r="BB123" s="130"/>
      <c r="BC123" s="130"/>
      <c r="BD123" s="130"/>
      <c r="BE123" s="130"/>
      <c r="BF123" s="130"/>
    </row>
    <row r="124" spans="1:58" s="129" customFormat="1" ht="16">
      <c r="A124" s="393"/>
      <c r="B124" s="156" t="s">
        <v>2148</v>
      </c>
      <c r="C124" s="157">
        <v>2</v>
      </c>
      <c r="D124" s="157" t="s">
        <v>2149</v>
      </c>
      <c r="E124" s="157">
        <v>2</v>
      </c>
      <c r="F124" s="157" t="s">
        <v>2149</v>
      </c>
      <c r="G124" s="157" t="s">
        <v>2149</v>
      </c>
      <c r="H124" s="157"/>
      <c r="I124" s="157">
        <v>2</v>
      </c>
      <c r="J124" s="157">
        <v>2</v>
      </c>
      <c r="K124" s="157"/>
      <c r="L124" s="157" t="s">
        <v>2149</v>
      </c>
      <c r="M124" s="128"/>
      <c r="N124" s="128"/>
      <c r="O124" s="128"/>
      <c r="P124" s="128"/>
      <c r="Q124" s="128"/>
      <c r="R124" s="128"/>
      <c r="S124" s="128"/>
      <c r="T124" s="128"/>
      <c r="U124" s="128"/>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0"/>
      <c r="AU124" s="130"/>
      <c r="AV124" s="130"/>
      <c r="AW124" s="130"/>
      <c r="AX124" s="130"/>
      <c r="AY124" s="130"/>
      <c r="AZ124" s="130"/>
      <c r="BA124" s="130"/>
      <c r="BB124" s="130"/>
      <c r="BC124" s="130"/>
      <c r="BD124" s="130"/>
      <c r="BE124" s="130"/>
      <c r="BF124" s="130"/>
    </row>
    <row r="125" spans="1:58" s="129" customFormat="1" ht="16">
      <c r="A125" s="393"/>
      <c r="B125" s="156" t="s">
        <v>2151</v>
      </c>
      <c r="C125" s="157" t="s">
        <v>2152</v>
      </c>
      <c r="D125" s="157" t="s">
        <v>2152</v>
      </c>
      <c r="E125" s="157" t="s">
        <v>2152</v>
      </c>
      <c r="F125" s="157" t="s">
        <v>2152</v>
      </c>
      <c r="G125" s="157" t="s">
        <v>2152</v>
      </c>
      <c r="H125" s="157"/>
      <c r="I125" s="157" t="s">
        <v>2153</v>
      </c>
      <c r="J125" s="157" t="s">
        <v>2153</v>
      </c>
      <c r="K125" s="157"/>
      <c r="L125" s="157" t="s">
        <v>2153</v>
      </c>
      <c r="M125" s="128"/>
      <c r="N125" s="128"/>
      <c r="O125" s="128"/>
      <c r="P125" s="128"/>
      <c r="Q125" s="128"/>
      <c r="R125" s="128"/>
      <c r="S125" s="128"/>
      <c r="T125" s="128"/>
      <c r="U125" s="128"/>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0"/>
      <c r="AU125" s="130"/>
      <c r="AV125" s="130"/>
      <c r="AW125" s="130"/>
      <c r="AX125" s="130"/>
      <c r="AY125" s="130"/>
      <c r="AZ125" s="130"/>
      <c r="BA125" s="130"/>
      <c r="BB125" s="130"/>
      <c r="BC125" s="130"/>
      <c r="BD125" s="130"/>
      <c r="BE125" s="130"/>
      <c r="BF125" s="130"/>
    </row>
    <row r="126" spans="1:58" s="129" customFormat="1" ht="16">
      <c r="A126" s="393"/>
      <c r="B126" s="156" t="s">
        <v>2154</v>
      </c>
      <c r="C126" s="157" t="s">
        <v>2155</v>
      </c>
      <c r="D126" s="157" t="s">
        <v>2155</v>
      </c>
      <c r="E126" s="157" t="s">
        <v>2155</v>
      </c>
      <c r="F126" s="157" t="s">
        <v>2155</v>
      </c>
      <c r="G126" s="157" t="s">
        <v>2161</v>
      </c>
      <c r="H126" s="157"/>
      <c r="I126" s="157"/>
      <c r="J126" s="157"/>
      <c r="K126" s="157"/>
      <c r="L126" s="157"/>
      <c r="M126" s="128"/>
      <c r="N126" s="128"/>
      <c r="O126" s="128"/>
      <c r="P126" s="128"/>
      <c r="Q126" s="128"/>
      <c r="R126" s="128"/>
      <c r="S126" s="128"/>
      <c r="T126" s="128"/>
      <c r="U126" s="128"/>
      <c r="V126" s="130"/>
      <c r="W126" s="130"/>
      <c r="X126" s="130"/>
      <c r="Y126" s="130"/>
      <c r="Z126" s="130"/>
      <c r="AA126" s="130"/>
      <c r="AB126" s="130"/>
      <c r="AC126" s="130"/>
      <c r="AD126" s="130"/>
      <c r="AE126" s="130"/>
      <c r="AF126" s="130"/>
      <c r="AG126" s="130"/>
      <c r="AH126" s="130"/>
      <c r="AI126" s="130"/>
      <c r="AJ126" s="130"/>
      <c r="AK126" s="130"/>
      <c r="AL126" s="130"/>
      <c r="AM126" s="130"/>
      <c r="AN126" s="130"/>
      <c r="AO126" s="130"/>
      <c r="AP126" s="130"/>
      <c r="AQ126" s="130"/>
      <c r="AR126" s="130"/>
      <c r="AS126" s="130"/>
      <c r="AT126" s="130"/>
      <c r="AU126" s="130"/>
      <c r="AV126" s="130"/>
      <c r="AW126" s="130"/>
      <c r="AX126" s="130"/>
      <c r="AY126" s="130"/>
      <c r="AZ126" s="130"/>
      <c r="BA126" s="130"/>
      <c r="BB126" s="130"/>
      <c r="BC126" s="130"/>
      <c r="BD126" s="130"/>
      <c r="BE126" s="130"/>
      <c r="BF126" s="130"/>
    </row>
    <row r="127" spans="1:58" s="129" customFormat="1" ht="16">
      <c r="A127" s="393"/>
      <c r="B127" s="156" t="s">
        <v>2156</v>
      </c>
      <c r="C127" s="157"/>
      <c r="D127" s="157"/>
      <c r="E127" s="157"/>
      <c r="F127" s="157"/>
      <c r="G127" s="157"/>
      <c r="H127" s="157"/>
      <c r="I127" s="157" t="s">
        <v>2162</v>
      </c>
      <c r="J127" s="157" t="s">
        <v>2162</v>
      </c>
      <c r="K127" s="157"/>
      <c r="L127" s="157" t="s">
        <v>2157</v>
      </c>
      <c r="M127" s="128"/>
      <c r="N127" s="128"/>
      <c r="O127" s="128"/>
      <c r="P127" s="128"/>
      <c r="Q127" s="128"/>
      <c r="R127" s="128"/>
      <c r="S127" s="128"/>
      <c r="T127" s="128"/>
      <c r="U127" s="128"/>
      <c r="V127" s="130"/>
      <c r="W127" s="130"/>
      <c r="X127" s="130"/>
      <c r="Y127" s="130"/>
      <c r="Z127" s="130"/>
      <c r="AA127" s="130"/>
      <c r="AB127" s="130"/>
      <c r="AC127" s="130"/>
      <c r="AD127" s="130"/>
      <c r="AE127" s="130"/>
      <c r="AF127" s="130"/>
      <c r="AG127" s="130"/>
      <c r="AH127" s="130"/>
      <c r="AI127" s="130"/>
      <c r="AJ127" s="130"/>
      <c r="AK127" s="130"/>
      <c r="AL127" s="130"/>
      <c r="AM127" s="130"/>
      <c r="AN127" s="130"/>
      <c r="AO127" s="130"/>
      <c r="AP127" s="130"/>
      <c r="AQ127" s="130"/>
      <c r="AR127" s="130"/>
      <c r="AS127" s="130"/>
      <c r="AT127" s="130"/>
      <c r="AU127" s="130"/>
      <c r="AV127" s="130"/>
      <c r="AW127" s="130"/>
      <c r="AX127" s="130"/>
      <c r="AY127" s="130"/>
      <c r="AZ127" s="130"/>
      <c r="BA127" s="130"/>
      <c r="BB127" s="130"/>
      <c r="BC127" s="130"/>
      <c r="BD127" s="130"/>
      <c r="BE127" s="130"/>
      <c r="BF127" s="130"/>
    </row>
    <row r="128" spans="1:58" s="129" customFormat="1" ht="16">
      <c r="A128" s="394"/>
      <c r="B128" s="139" t="s">
        <v>2109</v>
      </c>
      <c r="C128" s="141"/>
      <c r="D128" s="141"/>
      <c r="E128" s="141"/>
      <c r="F128" s="141"/>
      <c r="G128" s="141"/>
      <c r="H128" s="141"/>
      <c r="I128" s="141" t="s">
        <v>2163</v>
      </c>
      <c r="J128" s="141" t="s">
        <v>2110</v>
      </c>
      <c r="K128" s="141"/>
      <c r="L128" s="141"/>
      <c r="M128" s="128"/>
      <c r="N128" s="128"/>
      <c r="O128" s="128"/>
      <c r="P128" s="128"/>
      <c r="Q128" s="128"/>
      <c r="R128" s="128"/>
      <c r="S128" s="128"/>
      <c r="T128" s="128"/>
      <c r="U128" s="128"/>
      <c r="V128" s="130"/>
      <c r="W128" s="130"/>
      <c r="X128" s="130"/>
      <c r="Y128" s="130"/>
      <c r="Z128" s="130"/>
      <c r="AA128" s="130"/>
      <c r="AB128" s="130"/>
      <c r="AC128" s="130"/>
      <c r="AD128" s="130"/>
      <c r="AE128" s="130"/>
      <c r="AF128" s="130"/>
      <c r="AG128" s="130"/>
      <c r="AH128" s="130"/>
      <c r="AI128" s="130"/>
      <c r="AJ128" s="130"/>
      <c r="AK128" s="130"/>
      <c r="AL128" s="130"/>
      <c r="AM128" s="130"/>
      <c r="AN128" s="130"/>
      <c r="AO128" s="130"/>
      <c r="AP128" s="130"/>
      <c r="AQ128" s="130"/>
      <c r="AR128" s="130"/>
      <c r="AS128" s="130"/>
      <c r="AT128" s="130"/>
      <c r="AU128" s="130"/>
      <c r="AV128" s="130"/>
      <c r="AW128" s="130"/>
      <c r="AX128" s="130"/>
      <c r="AY128" s="130"/>
      <c r="AZ128" s="130"/>
      <c r="BA128" s="130"/>
      <c r="BB128" s="130"/>
      <c r="BC128" s="130"/>
      <c r="BD128" s="130"/>
      <c r="BE128" s="130"/>
      <c r="BF128" s="130"/>
    </row>
    <row r="129" spans="1:58" s="129" customFormat="1" ht="16">
      <c r="C129" s="128"/>
      <c r="D129" s="128"/>
      <c r="E129" s="128"/>
      <c r="F129" s="128"/>
      <c r="G129" s="128"/>
      <c r="H129" s="128"/>
      <c r="I129" s="128"/>
      <c r="J129" s="128"/>
      <c r="K129" s="128"/>
      <c r="L129" s="128"/>
      <c r="M129" s="128"/>
      <c r="N129" s="128"/>
      <c r="O129" s="128"/>
      <c r="P129" s="128"/>
      <c r="Q129" s="128"/>
      <c r="R129" s="128"/>
      <c r="S129" s="128"/>
      <c r="T129" s="128"/>
      <c r="U129" s="128"/>
      <c r="V129" s="130"/>
      <c r="W129" s="130"/>
      <c r="X129" s="130"/>
      <c r="Y129" s="130"/>
      <c r="Z129" s="130"/>
      <c r="AA129" s="130"/>
      <c r="AB129" s="130"/>
      <c r="AC129" s="130"/>
      <c r="AD129" s="130"/>
      <c r="AE129" s="130"/>
      <c r="AF129" s="130"/>
      <c r="AG129" s="130"/>
      <c r="AH129" s="130"/>
      <c r="AI129" s="130"/>
      <c r="AJ129" s="130"/>
      <c r="AK129" s="130"/>
      <c r="AL129" s="130"/>
      <c r="AM129" s="130"/>
      <c r="AN129" s="130"/>
      <c r="AO129" s="130"/>
      <c r="AP129" s="130"/>
      <c r="AQ129" s="130"/>
      <c r="AR129" s="130"/>
      <c r="AS129" s="130"/>
      <c r="AT129" s="130"/>
      <c r="AU129" s="130"/>
      <c r="AV129" s="130"/>
      <c r="AW129" s="130"/>
      <c r="AX129" s="130"/>
      <c r="AY129" s="130"/>
      <c r="AZ129" s="130"/>
      <c r="BA129" s="130"/>
      <c r="BB129" s="130"/>
      <c r="BC129" s="130"/>
      <c r="BD129" s="130"/>
      <c r="BE129" s="130"/>
      <c r="BF129" s="130"/>
    </row>
    <row r="130" spans="1:58" s="129" customFormat="1" ht="74">
      <c r="A130" s="392" t="s">
        <v>2164</v>
      </c>
      <c r="B130" s="200" t="s">
        <v>2165</v>
      </c>
      <c r="C130" s="189">
        <v>2</v>
      </c>
      <c r="D130" s="189">
        <v>3</v>
      </c>
      <c r="E130" s="189">
        <v>4</v>
      </c>
      <c r="F130" s="189">
        <v>5</v>
      </c>
      <c r="G130" s="189">
        <v>6</v>
      </c>
      <c r="H130" s="189"/>
      <c r="I130" s="189">
        <v>7</v>
      </c>
      <c r="J130" s="189"/>
      <c r="K130" s="189"/>
      <c r="L130" s="189"/>
      <c r="M130" s="128"/>
      <c r="N130" s="128"/>
      <c r="O130" s="128"/>
      <c r="P130" s="128"/>
      <c r="Q130" s="128"/>
      <c r="R130" s="128"/>
      <c r="S130" s="128"/>
      <c r="T130" s="128"/>
      <c r="U130" s="128"/>
      <c r="V130" s="130"/>
      <c r="W130" s="130"/>
      <c r="X130" s="130"/>
      <c r="Y130" s="130"/>
      <c r="Z130" s="130"/>
      <c r="AA130" s="130"/>
      <c r="AB130" s="130"/>
      <c r="AC130" s="130"/>
      <c r="AD130" s="130"/>
      <c r="AE130" s="130"/>
      <c r="AF130" s="130"/>
      <c r="AG130" s="130"/>
      <c r="AH130" s="130"/>
      <c r="AI130" s="130"/>
      <c r="AJ130" s="130"/>
      <c r="AK130" s="130"/>
      <c r="AL130" s="130"/>
      <c r="AM130" s="130"/>
      <c r="AN130" s="130"/>
      <c r="AO130" s="130"/>
      <c r="AP130" s="130"/>
      <c r="AQ130" s="130"/>
      <c r="AR130" s="130"/>
      <c r="AS130" s="130"/>
      <c r="AT130" s="130"/>
      <c r="AU130" s="130"/>
      <c r="AV130" s="130"/>
      <c r="AW130" s="130"/>
      <c r="AX130" s="130"/>
      <c r="AY130" s="130"/>
      <c r="AZ130" s="130"/>
      <c r="BA130" s="130"/>
      <c r="BB130" s="130"/>
      <c r="BC130" s="130"/>
      <c r="BD130" s="130"/>
      <c r="BE130" s="130"/>
      <c r="BF130" s="130"/>
    </row>
    <row r="131" spans="1:58" s="129" customFormat="1" ht="16">
      <c r="A131" s="393"/>
      <c r="B131" s="156" t="s">
        <v>2146</v>
      </c>
      <c r="C131" s="157" t="s">
        <v>2096</v>
      </c>
      <c r="D131" s="157" t="s">
        <v>2096</v>
      </c>
      <c r="E131" s="157" t="s">
        <v>2143</v>
      </c>
      <c r="F131" s="157" t="s">
        <v>2143</v>
      </c>
      <c r="G131" s="157" t="s">
        <v>2142</v>
      </c>
      <c r="H131" s="157"/>
      <c r="I131" s="157" t="s">
        <v>2142</v>
      </c>
      <c r="J131" s="157"/>
      <c r="K131" s="157"/>
      <c r="L131" s="157"/>
      <c r="M131" s="128"/>
      <c r="N131" s="128"/>
      <c r="O131" s="128"/>
      <c r="P131" s="128"/>
      <c r="Q131" s="128"/>
      <c r="R131" s="128"/>
      <c r="S131" s="128"/>
      <c r="T131" s="128"/>
      <c r="U131" s="128"/>
      <c r="V131" s="130"/>
      <c r="W131" s="130"/>
      <c r="X131" s="130"/>
      <c r="Y131" s="130"/>
      <c r="Z131" s="130"/>
      <c r="AA131" s="130"/>
      <c r="AB131" s="130"/>
      <c r="AC131" s="130"/>
      <c r="AD131" s="130"/>
      <c r="AE131" s="130"/>
      <c r="AF131" s="130"/>
      <c r="AG131" s="130"/>
      <c r="AH131" s="130"/>
      <c r="AI131" s="130"/>
      <c r="AJ131" s="130"/>
      <c r="AK131" s="130"/>
      <c r="AL131" s="130"/>
      <c r="AM131" s="130"/>
      <c r="AN131" s="130"/>
      <c r="AO131" s="130"/>
      <c r="AP131" s="130"/>
      <c r="AQ131" s="130"/>
      <c r="AR131" s="130"/>
      <c r="AS131" s="130"/>
      <c r="AT131" s="130"/>
      <c r="AU131" s="130"/>
      <c r="AV131" s="130"/>
      <c r="AW131" s="130"/>
      <c r="AX131" s="130"/>
      <c r="AY131" s="130"/>
      <c r="AZ131" s="130"/>
      <c r="BA131" s="130"/>
      <c r="BB131" s="130"/>
      <c r="BC131" s="130"/>
      <c r="BD131" s="130"/>
      <c r="BE131" s="130"/>
      <c r="BF131" s="130"/>
    </row>
    <row r="132" spans="1:58" s="129" customFormat="1" ht="16">
      <c r="A132" s="393"/>
      <c r="B132" s="156" t="s">
        <v>2148</v>
      </c>
      <c r="C132" s="157">
        <v>2</v>
      </c>
      <c r="D132" s="157" t="s">
        <v>2149</v>
      </c>
      <c r="E132" s="157">
        <v>2</v>
      </c>
      <c r="F132" s="157" t="s">
        <v>2149</v>
      </c>
      <c r="G132" s="157">
        <v>2</v>
      </c>
      <c r="H132" s="157"/>
      <c r="I132" s="157" t="s">
        <v>2149</v>
      </c>
      <c r="J132" s="157"/>
      <c r="K132" s="157"/>
      <c r="L132" s="157"/>
      <c r="M132" s="128"/>
      <c r="N132" s="128"/>
      <c r="O132" s="128"/>
      <c r="P132" s="128"/>
      <c r="Q132" s="128"/>
      <c r="R132" s="128"/>
      <c r="S132" s="128"/>
      <c r="T132" s="128"/>
      <c r="U132" s="128"/>
      <c r="V132" s="130"/>
      <c r="W132" s="130"/>
      <c r="X132" s="130"/>
      <c r="Y132" s="130"/>
      <c r="Z132" s="130"/>
      <c r="AA132" s="130"/>
      <c r="AB132" s="130"/>
      <c r="AC132" s="130"/>
      <c r="AD132" s="130"/>
      <c r="AE132" s="130"/>
      <c r="AF132" s="130"/>
      <c r="AG132" s="130"/>
      <c r="AH132" s="130"/>
      <c r="AI132" s="130"/>
      <c r="AJ132" s="130"/>
      <c r="AK132" s="130"/>
      <c r="AL132" s="130"/>
      <c r="AM132" s="130"/>
      <c r="AN132" s="130"/>
      <c r="AO132" s="130"/>
      <c r="AP132" s="130"/>
      <c r="AQ132" s="130"/>
      <c r="AR132" s="130"/>
      <c r="AS132" s="130"/>
      <c r="AT132" s="130"/>
      <c r="AU132" s="130"/>
      <c r="AV132" s="130"/>
      <c r="AW132" s="130"/>
      <c r="AX132" s="130"/>
      <c r="AY132" s="130"/>
      <c r="AZ132" s="130"/>
      <c r="BA132" s="130"/>
      <c r="BB132" s="130"/>
      <c r="BC132" s="130"/>
      <c r="BD132" s="130"/>
      <c r="BE132" s="130"/>
      <c r="BF132" s="130"/>
    </row>
    <row r="133" spans="1:58" s="129" customFormat="1" ht="16">
      <c r="A133" s="393"/>
      <c r="B133" s="156" t="s">
        <v>2151</v>
      </c>
      <c r="C133" s="157"/>
      <c r="D133" s="157"/>
      <c r="E133" s="157"/>
      <c r="F133" s="157"/>
      <c r="G133" s="157"/>
      <c r="H133" s="157"/>
      <c r="I133" s="157"/>
      <c r="J133" s="157"/>
      <c r="K133" s="157"/>
      <c r="L133" s="157"/>
      <c r="M133" s="128"/>
      <c r="N133" s="128"/>
      <c r="O133" s="128"/>
      <c r="P133" s="128"/>
      <c r="Q133" s="128"/>
      <c r="R133" s="128"/>
      <c r="S133" s="128"/>
      <c r="T133" s="128"/>
      <c r="U133" s="128"/>
      <c r="V133" s="130"/>
      <c r="W133" s="130"/>
      <c r="X133" s="130"/>
      <c r="Y133" s="130"/>
      <c r="Z133" s="130"/>
      <c r="AA133" s="130"/>
      <c r="AB133" s="130"/>
      <c r="AC133" s="130"/>
      <c r="AD133" s="130"/>
      <c r="AE133" s="130"/>
      <c r="AF133" s="130"/>
      <c r="AG133" s="130"/>
      <c r="AH133" s="130"/>
      <c r="AI133" s="130"/>
      <c r="AJ133" s="130"/>
      <c r="AK133" s="130"/>
      <c r="AL133" s="130"/>
      <c r="AM133" s="130"/>
      <c r="AN133" s="130"/>
      <c r="AO133" s="130"/>
      <c r="AP133" s="130"/>
      <c r="AQ133" s="130"/>
      <c r="AR133" s="130"/>
      <c r="AS133" s="130"/>
      <c r="AT133" s="130"/>
      <c r="AU133" s="130"/>
      <c r="AV133" s="130"/>
      <c r="AW133" s="130"/>
      <c r="AX133" s="130"/>
      <c r="AY133" s="130"/>
      <c r="AZ133" s="130"/>
      <c r="BA133" s="130"/>
      <c r="BB133" s="130"/>
      <c r="BC133" s="130"/>
      <c r="BD133" s="130"/>
      <c r="BE133" s="130"/>
      <c r="BF133" s="130"/>
    </row>
    <row r="134" spans="1:58" s="129" customFormat="1" ht="16">
      <c r="A134" s="393"/>
      <c r="B134" s="156" t="s">
        <v>2154</v>
      </c>
      <c r="C134" s="157"/>
      <c r="D134" s="157"/>
      <c r="E134" s="157"/>
      <c r="F134" s="157"/>
      <c r="G134" s="157"/>
      <c r="H134" s="157"/>
      <c r="I134" s="157"/>
      <c r="J134" s="157"/>
      <c r="K134" s="157"/>
      <c r="L134" s="157"/>
      <c r="M134" s="128"/>
      <c r="N134" s="128"/>
      <c r="O134" s="128"/>
      <c r="P134" s="128"/>
      <c r="Q134" s="128"/>
      <c r="R134" s="128"/>
      <c r="S134" s="128"/>
      <c r="T134" s="128"/>
      <c r="U134" s="128"/>
      <c r="V134" s="130"/>
      <c r="W134" s="130"/>
      <c r="X134" s="130"/>
      <c r="Y134" s="130"/>
      <c r="Z134" s="130"/>
      <c r="AA134" s="130"/>
      <c r="AB134" s="130"/>
      <c r="AC134" s="130"/>
      <c r="AD134" s="130"/>
      <c r="AE134" s="130"/>
      <c r="AF134" s="130"/>
      <c r="AG134" s="130"/>
      <c r="AH134" s="130"/>
      <c r="AI134" s="130"/>
      <c r="AJ134" s="130"/>
      <c r="AK134" s="130"/>
      <c r="AL134" s="130"/>
      <c r="AM134" s="130"/>
      <c r="AN134" s="130"/>
      <c r="AO134" s="130"/>
      <c r="AP134" s="130"/>
      <c r="AQ134" s="130"/>
      <c r="AR134" s="130"/>
      <c r="AS134" s="130"/>
      <c r="AT134" s="130"/>
      <c r="AU134" s="130"/>
      <c r="AV134" s="130"/>
      <c r="AW134" s="130"/>
      <c r="AX134" s="130"/>
      <c r="AY134" s="130"/>
      <c r="AZ134" s="130"/>
      <c r="BA134" s="130"/>
      <c r="BB134" s="130"/>
      <c r="BC134" s="130"/>
      <c r="BD134" s="130"/>
      <c r="BE134" s="130"/>
      <c r="BF134" s="130"/>
    </row>
    <row r="135" spans="1:58" s="129" customFormat="1" ht="16">
      <c r="A135" s="393"/>
      <c r="B135" s="156" t="s">
        <v>2156</v>
      </c>
      <c r="C135" s="157"/>
      <c r="D135" s="157"/>
      <c r="E135" s="157"/>
      <c r="F135" s="157"/>
      <c r="G135" s="157"/>
      <c r="H135" s="157"/>
      <c r="I135" s="157"/>
      <c r="J135" s="157"/>
      <c r="K135" s="157"/>
      <c r="L135" s="157"/>
      <c r="M135" s="128"/>
      <c r="N135" s="128"/>
      <c r="O135" s="128"/>
      <c r="P135" s="128"/>
      <c r="Q135" s="128"/>
      <c r="R135" s="128"/>
      <c r="S135" s="128"/>
      <c r="T135" s="128"/>
      <c r="U135" s="128"/>
      <c r="V135" s="130"/>
      <c r="W135" s="130"/>
      <c r="X135" s="130"/>
      <c r="Y135" s="130"/>
      <c r="Z135" s="130"/>
      <c r="AA135" s="130"/>
      <c r="AB135" s="130"/>
      <c r="AC135" s="130"/>
      <c r="AD135" s="130"/>
      <c r="AE135" s="130"/>
      <c r="AF135" s="130"/>
      <c r="AG135" s="130"/>
      <c r="AH135" s="130"/>
      <c r="AI135" s="130"/>
      <c r="AJ135" s="130"/>
      <c r="AK135" s="130"/>
      <c r="AL135" s="130"/>
      <c r="AM135" s="130"/>
      <c r="AN135" s="130"/>
      <c r="AO135" s="130"/>
      <c r="AP135" s="130"/>
      <c r="AQ135" s="130"/>
      <c r="AR135" s="130"/>
      <c r="AS135" s="130"/>
      <c r="AT135" s="130"/>
      <c r="AU135" s="130"/>
      <c r="AV135" s="130"/>
      <c r="AW135" s="130"/>
      <c r="AX135" s="130"/>
      <c r="AY135" s="130"/>
      <c r="AZ135" s="130"/>
      <c r="BA135" s="130"/>
      <c r="BB135" s="130"/>
      <c r="BC135" s="130"/>
      <c r="BD135" s="130"/>
      <c r="BE135" s="130"/>
      <c r="BF135" s="130"/>
    </row>
    <row r="136" spans="1:58" s="129" customFormat="1" ht="16">
      <c r="A136" s="394"/>
      <c r="B136" s="139" t="s">
        <v>2109</v>
      </c>
      <c r="C136" s="141"/>
      <c r="D136" s="141"/>
      <c r="E136" s="141"/>
      <c r="F136" s="141"/>
      <c r="G136" s="141"/>
      <c r="H136" s="141"/>
      <c r="I136" s="141"/>
      <c r="J136" s="141"/>
      <c r="K136" s="141"/>
      <c r="L136" s="141"/>
      <c r="M136" s="128"/>
      <c r="N136" s="128"/>
      <c r="O136" s="128"/>
      <c r="P136" s="128"/>
      <c r="Q136" s="128"/>
      <c r="R136" s="128"/>
      <c r="S136" s="128"/>
      <c r="T136" s="128"/>
      <c r="U136" s="128"/>
      <c r="V136" s="130"/>
      <c r="W136" s="130"/>
      <c r="X136" s="130"/>
      <c r="Y136" s="130"/>
      <c r="Z136" s="130"/>
      <c r="AA136" s="130"/>
      <c r="AB136" s="130"/>
      <c r="AC136" s="130"/>
      <c r="AD136" s="130"/>
      <c r="AE136" s="130"/>
      <c r="AF136" s="130"/>
      <c r="AG136" s="130"/>
      <c r="AH136" s="130"/>
      <c r="AI136" s="130"/>
      <c r="AJ136" s="130"/>
      <c r="AK136" s="130"/>
      <c r="AL136" s="130"/>
      <c r="AM136" s="130"/>
      <c r="AN136" s="130"/>
      <c r="AO136" s="130"/>
      <c r="AP136" s="130"/>
      <c r="AQ136" s="130"/>
      <c r="AR136" s="130"/>
      <c r="AS136" s="130"/>
      <c r="AT136" s="130"/>
      <c r="AU136" s="130"/>
      <c r="AV136" s="130"/>
      <c r="AW136" s="130"/>
      <c r="AX136" s="130"/>
      <c r="AY136" s="130"/>
      <c r="AZ136" s="130"/>
      <c r="BA136" s="130"/>
      <c r="BB136" s="130"/>
      <c r="BC136" s="130"/>
      <c r="BD136" s="130"/>
      <c r="BE136" s="130"/>
      <c r="BF136" s="130"/>
    </row>
    <row r="137" spans="1:58" s="129" customFormat="1" ht="16">
      <c r="C137" s="128"/>
      <c r="D137" s="128"/>
      <c r="E137" s="128"/>
      <c r="F137" s="128"/>
      <c r="G137" s="128"/>
      <c r="H137" s="128"/>
      <c r="I137" s="128"/>
      <c r="J137" s="128"/>
      <c r="K137" s="128"/>
      <c r="L137" s="128"/>
      <c r="M137" s="128"/>
      <c r="N137" s="128"/>
      <c r="O137" s="128"/>
      <c r="P137" s="128"/>
      <c r="Q137" s="128"/>
      <c r="R137" s="128"/>
      <c r="S137" s="128"/>
      <c r="T137" s="128"/>
      <c r="U137" s="128"/>
      <c r="V137" s="130"/>
      <c r="W137" s="130"/>
      <c r="X137" s="130"/>
      <c r="Y137" s="130"/>
      <c r="Z137" s="130"/>
      <c r="AA137" s="130"/>
      <c r="AB137" s="130"/>
      <c r="AC137" s="130"/>
      <c r="AD137" s="130"/>
      <c r="AE137" s="130"/>
      <c r="AF137" s="130"/>
      <c r="AG137" s="130"/>
      <c r="AH137" s="130"/>
      <c r="AI137" s="130"/>
      <c r="AJ137" s="130"/>
      <c r="AK137" s="130"/>
      <c r="AL137" s="130"/>
      <c r="AM137" s="130"/>
      <c r="AN137" s="130"/>
      <c r="AO137" s="130"/>
      <c r="AP137" s="130"/>
      <c r="AQ137" s="130"/>
      <c r="AR137" s="130"/>
      <c r="AS137" s="130"/>
      <c r="AT137" s="130"/>
      <c r="AU137" s="130"/>
      <c r="AV137" s="130"/>
      <c r="AW137" s="130"/>
      <c r="AX137" s="130"/>
      <c r="AY137" s="130"/>
      <c r="AZ137" s="130"/>
      <c r="BA137" s="130"/>
      <c r="BB137" s="130"/>
      <c r="BC137" s="130"/>
      <c r="BD137" s="130"/>
      <c r="BE137" s="130"/>
      <c r="BF137" s="130"/>
    </row>
    <row r="138" spans="1:58" s="129" customFormat="1" ht="55">
      <c r="A138" s="392" t="s">
        <v>2166</v>
      </c>
      <c r="B138" s="200" t="s">
        <v>2167</v>
      </c>
      <c r="C138" s="189">
        <v>2</v>
      </c>
      <c r="D138" s="189">
        <v>3</v>
      </c>
      <c r="E138" s="189">
        <v>4</v>
      </c>
      <c r="F138" s="189">
        <v>5</v>
      </c>
      <c r="G138" s="189">
        <v>6</v>
      </c>
      <c r="H138" s="189"/>
      <c r="I138" s="189">
        <v>7</v>
      </c>
      <c r="J138" s="189"/>
      <c r="K138" s="189"/>
      <c r="L138" s="189"/>
      <c r="M138" s="128"/>
      <c r="N138" s="128"/>
      <c r="O138" s="128"/>
      <c r="P138" s="128"/>
      <c r="Q138" s="128"/>
      <c r="R138" s="128"/>
      <c r="S138" s="128"/>
      <c r="T138" s="128"/>
      <c r="U138" s="128"/>
      <c r="V138" s="130"/>
      <c r="W138" s="130"/>
      <c r="X138" s="130"/>
      <c r="Y138" s="130"/>
      <c r="Z138" s="130"/>
      <c r="AA138" s="130"/>
      <c r="AB138" s="130"/>
      <c r="AC138" s="130"/>
      <c r="AD138" s="130"/>
      <c r="AE138" s="130"/>
      <c r="AF138" s="130"/>
      <c r="AG138" s="130"/>
      <c r="AH138" s="130"/>
      <c r="AI138" s="130"/>
      <c r="AJ138" s="130"/>
      <c r="AK138" s="130"/>
      <c r="AL138" s="130"/>
      <c r="AM138" s="130"/>
      <c r="AN138" s="130"/>
      <c r="AO138" s="130"/>
      <c r="AP138" s="130"/>
      <c r="AQ138" s="130"/>
      <c r="AR138" s="130"/>
      <c r="AS138" s="130"/>
      <c r="AT138" s="130"/>
      <c r="AU138" s="130"/>
      <c r="AV138" s="130"/>
      <c r="AW138" s="130"/>
      <c r="AX138" s="130"/>
      <c r="AY138" s="130"/>
      <c r="AZ138" s="130"/>
      <c r="BA138" s="130"/>
      <c r="BB138" s="130"/>
      <c r="BC138" s="130"/>
      <c r="BD138" s="130"/>
      <c r="BE138" s="130"/>
      <c r="BF138" s="130"/>
    </row>
    <row r="139" spans="1:58" s="129" customFormat="1" ht="16">
      <c r="A139" s="393"/>
      <c r="B139" s="156" t="s">
        <v>2146</v>
      </c>
      <c r="C139" s="157">
        <v>100</v>
      </c>
      <c r="D139" s="157">
        <v>101</v>
      </c>
      <c r="E139" s="157">
        <v>102</v>
      </c>
      <c r="F139" s="157">
        <v>103</v>
      </c>
      <c r="G139" s="157" t="s">
        <v>2096</v>
      </c>
      <c r="H139" s="157"/>
      <c r="I139" s="157" t="s">
        <v>2140</v>
      </c>
      <c r="J139" s="157"/>
      <c r="K139" s="157"/>
      <c r="L139" s="157"/>
      <c r="M139" s="128"/>
      <c r="N139" s="128"/>
      <c r="O139" s="128"/>
      <c r="P139" s="128"/>
      <c r="Q139" s="128"/>
      <c r="R139" s="128"/>
      <c r="S139" s="128"/>
      <c r="T139" s="128"/>
      <c r="U139" s="128"/>
      <c r="V139" s="130"/>
      <c r="W139" s="130"/>
      <c r="X139" s="130"/>
      <c r="Y139" s="130"/>
      <c r="Z139" s="130"/>
      <c r="AA139" s="130"/>
      <c r="AB139" s="130"/>
      <c r="AC139" s="130"/>
      <c r="AD139" s="130"/>
      <c r="AE139" s="130"/>
      <c r="AF139" s="130"/>
      <c r="AG139" s="130"/>
      <c r="AH139" s="130"/>
      <c r="AI139" s="130"/>
      <c r="AJ139" s="130"/>
      <c r="AK139" s="130"/>
      <c r="AL139" s="130"/>
      <c r="AM139" s="130"/>
      <c r="AN139" s="130"/>
      <c r="AO139" s="130"/>
      <c r="AP139" s="130"/>
      <c r="AQ139" s="130"/>
      <c r="AR139" s="130"/>
      <c r="AS139" s="130"/>
      <c r="AT139" s="130"/>
      <c r="AU139" s="130"/>
      <c r="AV139" s="130"/>
      <c r="AW139" s="130"/>
      <c r="AX139" s="130"/>
      <c r="AY139" s="130"/>
      <c r="AZ139" s="130"/>
      <c r="BA139" s="130"/>
      <c r="BB139" s="130"/>
      <c r="BC139" s="130"/>
      <c r="BD139" s="130"/>
      <c r="BE139" s="130"/>
      <c r="BF139" s="130"/>
    </row>
    <row r="140" spans="1:58" s="129" customFormat="1" ht="16">
      <c r="A140" s="393"/>
      <c r="B140" s="156" t="s">
        <v>2148</v>
      </c>
      <c r="C140" s="157"/>
      <c r="D140" s="157"/>
      <c r="E140" s="157"/>
      <c r="F140" s="157"/>
      <c r="G140" s="157"/>
      <c r="H140" s="157"/>
      <c r="I140" s="157"/>
      <c r="J140" s="157"/>
      <c r="K140" s="157"/>
      <c r="L140" s="157"/>
      <c r="M140" s="128"/>
      <c r="N140" s="128"/>
      <c r="O140" s="128"/>
      <c r="P140" s="128"/>
      <c r="Q140" s="128"/>
      <c r="R140" s="128"/>
      <c r="S140" s="128"/>
      <c r="T140" s="128"/>
      <c r="U140" s="128"/>
      <c r="V140" s="130"/>
      <c r="W140" s="130"/>
      <c r="X140" s="130"/>
      <c r="Y140" s="130"/>
      <c r="Z140" s="130"/>
      <c r="AA140" s="130"/>
      <c r="AB140" s="130"/>
      <c r="AC140" s="130"/>
      <c r="AD140" s="130"/>
      <c r="AE140" s="130"/>
      <c r="AF140" s="130"/>
      <c r="AG140" s="130"/>
      <c r="AH140" s="130"/>
      <c r="AI140" s="130"/>
      <c r="AJ140" s="130"/>
      <c r="AK140" s="130"/>
      <c r="AL140" s="130"/>
      <c r="AM140" s="130"/>
      <c r="AN140" s="130"/>
      <c r="AO140" s="130"/>
      <c r="AP140" s="130"/>
      <c r="AQ140" s="130"/>
      <c r="AR140" s="130"/>
      <c r="AS140" s="130"/>
      <c r="AT140" s="130"/>
      <c r="AU140" s="130"/>
      <c r="AV140" s="130"/>
      <c r="AW140" s="130"/>
      <c r="AX140" s="130"/>
      <c r="AY140" s="130"/>
      <c r="AZ140" s="130"/>
      <c r="BA140" s="130"/>
      <c r="BB140" s="130"/>
      <c r="BC140" s="130"/>
      <c r="BD140" s="130"/>
      <c r="BE140" s="130"/>
      <c r="BF140" s="130"/>
    </row>
    <row r="141" spans="1:58" s="129" customFormat="1" ht="16">
      <c r="A141" s="393"/>
      <c r="B141" s="156" t="s">
        <v>2151</v>
      </c>
      <c r="C141" s="157"/>
      <c r="D141" s="157"/>
      <c r="E141" s="157"/>
      <c r="F141" s="157"/>
      <c r="G141" s="157"/>
      <c r="H141" s="157"/>
      <c r="I141" s="157"/>
      <c r="J141" s="157"/>
      <c r="K141" s="157"/>
      <c r="L141" s="157"/>
      <c r="M141" s="128"/>
      <c r="N141" s="128"/>
      <c r="O141" s="128"/>
      <c r="P141" s="128"/>
      <c r="Q141" s="128"/>
      <c r="R141" s="128"/>
      <c r="S141" s="128"/>
      <c r="T141" s="128"/>
      <c r="U141" s="128"/>
      <c r="V141" s="130"/>
      <c r="W141" s="130"/>
      <c r="X141" s="130"/>
      <c r="Y141" s="130"/>
      <c r="Z141" s="130"/>
      <c r="AA141" s="130"/>
      <c r="AB141" s="130"/>
      <c r="AC141" s="130"/>
      <c r="AD141" s="130"/>
      <c r="AE141" s="130"/>
      <c r="AF141" s="130"/>
      <c r="AG141" s="130"/>
      <c r="AH141" s="130"/>
      <c r="AI141" s="130"/>
      <c r="AJ141" s="130"/>
      <c r="AK141" s="130"/>
      <c r="AL141" s="130"/>
      <c r="AM141" s="130"/>
      <c r="AN141" s="130"/>
      <c r="AO141" s="130"/>
      <c r="AP141" s="130"/>
      <c r="AQ141" s="130"/>
      <c r="AR141" s="130"/>
      <c r="AS141" s="130"/>
      <c r="AT141" s="130"/>
      <c r="AU141" s="130"/>
      <c r="AV141" s="130"/>
      <c r="AW141" s="130"/>
      <c r="AX141" s="130"/>
      <c r="AY141" s="130"/>
      <c r="AZ141" s="130"/>
      <c r="BA141" s="130"/>
      <c r="BB141" s="130"/>
      <c r="BC141" s="130"/>
      <c r="BD141" s="130"/>
      <c r="BE141" s="130"/>
      <c r="BF141" s="130"/>
    </row>
    <row r="142" spans="1:58" s="129" customFormat="1" ht="16">
      <c r="A142" s="393"/>
      <c r="B142" s="156" t="s">
        <v>2154</v>
      </c>
      <c r="C142" s="157"/>
      <c r="D142" s="157"/>
      <c r="E142" s="157"/>
      <c r="F142" s="157"/>
      <c r="G142" s="157"/>
      <c r="H142" s="157"/>
      <c r="I142" s="157"/>
      <c r="J142" s="157"/>
      <c r="K142" s="157"/>
      <c r="L142" s="157"/>
      <c r="M142" s="128"/>
      <c r="N142" s="128"/>
      <c r="O142" s="128"/>
      <c r="P142" s="128"/>
      <c r="Q142" s="128"/>
      <c r="R142" s="128"/>
      <c r="S142" s="128"/>
      <c r="T142" s="128"/>
      <c r="U142" s="128"/>
      <c r="V142" s="130"/>
      <c r="W142" s="130"/>
      <c r="X142" s="130"/>
      <c r="Y142" s="130"/>
      <c r="Z142" s="130"/>
      <c r="AA142" s="130"/>
      <c r="AB142" s="130"/>
      <c r="AC142" s="130"/>
      <c r="AD142" s="130"/>
      <c r="AE142" s="130"/>
      <c r="AF142" s="130"/>
      <c r="AG142" s="130"/>
      <c r="AH142" s="130"/>
      <c r="AI142" s="130"/>
      <c r="AJ142" s="130"/>
      <c r="AK142" s="130"/>
      <c r="AL142" s="130"/>
      <c r="AM142" s="130"/>
      <c r="AN142" s="130"/>
      <c r="AO142" s="130"/>
      <c r="AP142" s="130"/>
      <c r="AQ142" s="130"/>
      <c r="AR142" s="130"/>
      <c r="AS142" s="130"/>
      <c r="AT142" s="130"/>
      <c r="AU142" s="130"/>
      <c r="AV142" s="130"/>
      <c r="AW142" s="130"/>
      <c r="AX142" s="130"/>
      <c r="AY142" s="130"/>
      <c r="AZ142" s="130"/>
      <c r="BA142" s="130"/>
      <c r="BB142" s="130"/>
      <c r="BC142" s="130"/>
      <c r="BD142" s="130"/>
      <c r="BE142" s="130"/>
      <c r="BF142" s="130"/>
    </row>
    <row r="143" spans="1:58" s="129" customFormat="1" ht="16">
      <c r="A143" s="393"/>
      <c r="B143" s="156" t="s">
        <v>2156</v>
      </c>
      <c r="C143" s="157"/>
      <c r="D143" s="157"/>
      <c r="E143" s="157"/>
      <c r="F143" s="157"/>
      <c r="G143" s="157"/>
      <c r="H143" s="157"/>
      <c r="I143" s="157"/>
      <c r="J143" s="157"/>
      <c r="K143" s="157"/>
      <c r="L143" s="157"/>
      <c r="M143" s="128"/>
      <c r="N143" s="128"/>
      <c r="O143" s="128"/>
      <c r="P143" s="128"/>
      <c r="Q143" s="128"/>
      <c r="R143" s="128"/>
      <c r="S143" s="128"/>
      <c r="T143" s="128"/>
      <c r="U143" s="128"/>
      <c r="V143" s="130"/>
      <c r="W143" s="130"/>
      <c r="X143" s="130"/>
      <c r="Y143" s="130"/>
      <c r="Z143" s="130"/>
      <c r="AA143" s="130"/>
      <c r="AB143" s="130"/>
      <c r="AC143" s="130"/>
      <c r="AD143" s="130"/>
      <c r="AE143" s="130"/>
      <c r="AF143" s="130"/>
      <c r="AG143" s="130"/>
      <c r="AH143" s="130"/>
      <c r="AI143" s="130"/>
      <c r="AJ143" s="130"/>
      <c r="AK143" s="130"/>
      <c r="AL143" s="130"/>
      <c r="AM143" s="130"/>
      <c r="AN143" s="130"/>
      <c r="AO143" s="130"/>
      <c r="AP143" s="130"/>
      <c r="AQ143" s="130"/>
      <c r="AR143" s="130"/>
      <c r="AS143" s="130"/>
      <c r="AT143" s="130"/>
      <c r="AU143" s="130"/>
      <c r="AV143" s="130"/>
      <c r="AW143" s="130"/>
      <c r="AX143" s="130"/>
      <c r="AY143" s="130"/>
      <c r="AZ143" s="130"/>
      <c r="BA143" s="130"/>
      <c r="BB143" s="130"/>
      <c r="BC143" s="130"/>
      <c r="BD143" s="130"/>
      <c r="BE143" s="130"/>
      <c r="BF143" s="130"/>
    </row>
    <row r="144" spans="1:58" s="129" customFormat="1" ht="16">
      <c r="A144" s="394"/>
      <c r="B144" s="139" t="s">
        <v>2109</v>
      </c>
      <c r="C144" s="141"/>
      <c r="D144" s="141"/>
      <c r="E144" s="141"/>
      <c r="F144" s="141"/>
      <c r="G144" s="141"/>
      <c r="H144" s="141"/>
      <c r="I144" s="141"/>
      <c r="J144" s="141"/>
      <c r="K144" s="141"/>
      <c r="L144" s="141"/>
      <c r="M144" s="128"/>
      <c r="N144" s="128"/>
      <c r="O144" s="128"/>
      <c r="P144" s="128"/>
      <c r="Q144" s="128"/>
      <c r="R144" s="128"/>
      <c r="S144" s="128"/>
      <c r="T144" s="128"/>
      <c r="U144" s="128"/>
      <c r="V144" s="130"/>
      <c r="W144" s="130"/>
      <c r="X144" s="130"/>
      <c r="Y144" s="130"/>
      <c r="Z144" s="130"/>
      <c r="AA144" s="130"/>
      <c r="AB144" s="130"/>
      <c r="AC144" s="130"/>
      <c r="AD144" s="130"/>
      <c r="AE144" s="130"/>
      <c r="AF144" s="130"/>
      <c r="AG144" s="130"/>
      <c r="AH144" s="130"/>
      <c r="AI144" s="130"/>
      <c r="AJ144" s="130"/>
      <c r="AK144" s="130"/>
      <c r="AL144" s="130"/>
      <c r="AM144" s="130"/>
      <c r="AN144" s="130"/>
      <c r="AO144" s="130"/>
      <c r="AP144" s="130"/>
      <c r="AQ144" s="130"/>
      <c r="AR144" s="130"/>
      <c r="AS144" s="130"/>
      <c r="AT144" s="130"/>
      <c r="AU144" s="130"/>
      <c r="AV144" s="130"/>
      <c r="AW144" s="130"/>
      <c r="AX144" s="130"/>
      <c r="AY144" s="130"/>
      <c r="AZ144" s="130"/>
      <c r="BA144" s="130"/>
      <c r="BB144" s="130"/>
      <c r="BC144" s="130"/>
      <c r="BD144" s="130"/>
      <c r="BE144" s="130"/>
      <c r="BF144" s="130"/>
    </row>
    <row r="145" spans="1:58" s="129" customFormat="1" ht="16">
      <c r="C145" s="128"/>
      <c r="D145" s="128"/>
      <c r="E145" s="128"/>
      <c r="F145" s="128"/>
      <c r="G145" s="128"/>
      <c r="H145" s="128"/>
      <c r="I145" s="128"/>
      <c r="J145" s="128"/>
      <c r="K145" s="128"/>
      <c r="L145" s="128"/>
      <c r="M145" s="128"/>
      <c r="N145" s="128"/>
      <c r="O145" s="128"/>
      <c r="P145" s="128"/>
      <c r="Q145" s="128"/>
      <c r="R145" s="128"/>
      <c r="S145" s="128"/>
      <c r="T145" s="128"/>
      <c r="U145" s="128"/>
      <c r="V145" s="130"/>
      <c r="W145" s="130"/>
      <c r="X145" s="130"/>
      <c r="Y145" s="130"/>
      <c r="Z145" s="130"/>
      <c r="AA145" s="130"/>
      <c r="AB145" s="130"/>
      <c r="AC145" s="130"/>
      <c r="AD145" s="130"/>
      <c r="AE145" s="130"/>
      <c r="AF145" s="130"/>
      <c r="AG145" s="130"/>
      <c r="AH145" s="130"/>
      <c r="AI145" s="130"/>
      <c r="AJ145" s="130"/>
      <c r="AK145" s="130"/>
      <c r="AL145" s="130"/>
      <c r="AM145" s="130"/>
      <c r="AN145" s="130"/>
      <c r="AO145" s="130"/>
      <c r="AP145" s="130"/>
      <c r="AQ145" s="130"/>
      <c r="AR145" s="130"/>
      <c r="AS145" s="130"/>
      <c r="AT145" s="130"/>
      <c r="AU145" s="130"/>
      <c r="AV145" s="130"/>
      <c r="AW145" s="130"/>
      <c r="AX145" s="130"/>
      <c r="AY145" s="130"/>
      <c r="AZ145" s="130"/>
      <c r="BA145" s="130"/>
      <c r="BB145" s="130"/>
      <c r="BC145" s="130"/>
      <c r="BD145" s="130"/>
      <c r="BE145" s="130"/>
      <c r="BF145" s="130"/>
    </row>
    <row r="146" spans="1:58" s="129" customFormat="1" ht="55">
      <c r="A146" s="389" t="s">
        <v>2168</v>
      </c>
      <c r="B146" s="200" t="s">
        <v>2169</v>
      </c>
      <c r="C146" s="189">
        <v>2</v>
      </c>
      <c r="D146" s="189">
        <v>3</v>
      </c>
      <c r="E146" s="189">
        <v>4</v>
      </c>
      <c r="F146" s="189">
        <v>5</v>
      </c>
      <c r="G146" s="189">
        <v>6</v>
      </c>
      <c r="H146" s="189"/>
      <c r="I146" s="189">
        <v>7</v>
      </c>
      <c r="J146" s="189">
        <v>9</v>
      </c>
      <c r="K146" s="189"/>
      <c r="L146" s="189">
        <v>12</v>
      </c>
      <c r="M146" s="128"/>
      <c r="N146" s="128"/>
      <c r="O146" s="128"/>
      <c r="P146" s="128"/>
      <c r="Q146" s="128"/>
      <c r="R146" s="128"/>
      <c r="S146" s="128"/>
      <c r="T146" s="128"/>
      <c r="U146" s="128"/>
      <c r="V146" s="130"/>
      <c r="W146" s="130"/>
      <c r="X146" s="130"/>
      <c r="Y146" s="130"/>
      <c r="Z146" s="130"/>
      <c r="AA146" s="130"/>
      <c r="AB146" s="130"/>
      <c r="AC146" s="130"/>
      <c r="AD146" s="130"/>
      <c r="AE146" s="130"/>
      <c r="AF146" s="130"/>
      <c r="AG146" s="130"/>
      <c r="AH146" s="130"/>
      <c r="AI146" s="130"/>
      <c r="AJ146" s="130"/>
      <c r="AK146" s="130"/>
      <c r="AL146" s="130"/>
      <c r="AM146" s="130"/>
      <c r="AN146" s="130"/>
      <c r="AO146" s="130"/>
      <c r="AP146" s="130"/>
      <c r="AQ146" s="130"/>
      <c r="AR146" s="130"/>
      <c r="AS146" s="130"/>
      <c r="AT146" s="130"/>
      <c r="AU146" s="130"/>
      <c r="AV146" s="130"/>
      <c r="AW146" s="130"/>
      <c r="AX146" s="130"/>
      <c r="AY146" s="130"/>
      <c r="AZ146" s="130"/>
      <c r="BA146" s="130"/>
      <c r="BB146" s="130"/>
      <c r="BC146" s="130"/>
      <c r="BD146" s="130"/>
      <c r="BE146" s="130"/>
      <c r="BF146" s="130"/>
    </row>
    <row r="147" spans="1:58" s="129" customFormat="1" ht="16">
      <c r="A147" s="390"/>
      <c r="B147" s="156" t="s">
        <v>2146</v>
      </c>
      <c r="C147" s="157" t="s">
        <v>2140</v>
      </c>
      <c r="D147" s="157" t="s">
        <v>2140</v>
      </c>
      <c r="E147" s="157" t="s">
        <v>2141</v>
      </c>
      <c r="F147" s="157" t="s">
        <v>2141</v>
      </c>
      <c r="G147" s="157" t="s">
        <v>2096</v>
      </c>
      <c r="H147" s="157"/>
      <c r="I147" s="157" t="s">
        <v>2096</v>
      </c>
      <c r="J147" s="157" t="s">
        <v>2144</v>
      </c>
      <c r="K147" s="157"/>
      <c r="L147" s="157" t="s">
        <v>2144</v>
      </c>
      <c r="M147" s="128"/>
      <c r="N147" s="128"/>
      <c r="O147" s="128"/>
      <c r="P147" s="128"/>
      <c r="Q147" s="128"/>
      <c r="R147" s="128"/>
      <c r="S147" s="128"/>
      <c r="T147" s="128"/>
      <c r="U147" s="128"/>
      <c r="V147" s="130"/>
      <c r="W147" s="130"/>
      <c r="X147" s="130"/>
      <c r="Y147" s="130"/>
      <c r="Z147" s="130"/>
      <c r="AA147" s="130"/>
      <c r="AB147" s="130"/>
      <c r="AC147" s="130"/>
      <c r="AD147" s="130"/>
      <c r="AE147" s="130"/>
      <c r="AF147" s="130"/>
      <c r="AG147" s="130"/>
      <c r="AH147" s="130"/>
      <c r="AI147" s="130"/>
      <c r="AJ147" s="130"/>
      <c r="AK147" s="130"/>
      <c r="AL147" s="130"/>
      <c r="AM147" s="130"/>
      <c r="AN147" s="130"/>
      <c r="AO147" s="130"/>
      <c r="AP147" s="130"/>
      <c r="AQ147" s="130"/>
      <c r="AR147" s="130"/>
      <c r="AS147" s="130"/>
      <c r="AT147" s="130"/>
      <c r="AU147" s="130"/>
      <c r="AV147" s="130"/>
      <c r="AW147" s="130"/>
      <c r="AX147" s="130"/>
      <c r="AY147" s="130"/>
      <c r="AZ147" s="130"/>
      <c r="BA147" s="130"/>
      <c r="BB147" s="130"/>
      <c r="BC147" s="130"/>
      <c r="BD147" s="130"/>
      <c r="BE147" s="130"/>
      <c r="BF147" s="130"/>
    </row>
    <row r="148" spans="1:58" s="129" customFormat="1" ht="16">
      <c r="A148" s="390"/>
      <c r="B148" s="156" t="s">
        <v>2148</v>
      </c>
      <c r="C148" s="157">
        <v>2</v>
      </c>
      <c r="D148" s="157" t="s">
        <v>2149</v>
      </c>
      <c r="E148" s="157">
        <v>2</v>
      </c>
      <c r="F148" s="157" t="s">
        <v>2149</v>
      </c>
      <c r="G148" s="157">
        <v>2</v>
      </c>
      <c r="H148" s="157"/>
      <c r="I148" s="157" t="s">
        <v>2149</v>
      </c>
      <c r="J148" s="157">
        <v>3</v>
      </c>
      <c r="K148" s="157"/>
      <c r="L148" s="157" t="s">
        <v>2150</v>
      </c>
      <c r="M148" s="128"/>
      <c r="N148" s="128"/>
      <c r="O148" s="128"/>
      <c r="P148" s="128"/>
      <c r="Q148" s="128"/>
      <c r="R148" s="128"/>
      <c r="S148" s="128"/>
      <c r="T148" s="128"/>
      <c r="U148" s="128"/>
      <c r="V148" s="130"/>
      <c r="W148" s="130"/>
      <c r="X148" s="130"/>
      <c r="Y148" s="130"/>
      <c r="Z148" s="130"/>
      <c r="AA148" s="130"/>
      <c r="AB148" s="130"/>
      <c r="AC148" s="130"/>
      <c r="AD148" s="130"/>
      <c r="AE148" s="130"/>
      <c r="AF148" s="130"/>
      <c r="AG148" s="130"/>
      <c r="AH148" s="130"/>
      <c r="AI148" s="130"/>
      <c r="AJ148" s="130"/>
      <c r="AK148" s="130"/>
      <c r="AL148" s="130"/>
      <c r="AM148" s="130"/>
      <c r="AN148" s="130"/>
      <c r="AO148" s="130"/>
      <c r="AP148" s="130"/>
      <c r="AQ148" s="130"/>
      <c r="AR148" s="130"/>
      <c r="AS148" s="130"/>
      <c r="AT148" s="130"/>
      <c r="AU148" s="130"/>
      <c r="AV148" s="130"/>
      <c r="AW148" s="130"/>
      <c r="AX148" s="130"/>
      <c r="AY148" s="130"/>
      <c r="AZ148" s="130"/>
      <c r="BA148" s="130"/>
      <c r="BB148" s="130"/>
      <c r="BC148" s="130"/>
      <c r="BD148" s="130"/>
      <c r="BE148" s="130"/>
      <c r="BF148" s="130"/>
    </row>
    <row r="149" spans="1:58" s="129" customFormat="1" ht="16">
      <c r="A149" s="390"/>
      <c r="B149" s="156" t="s">
        <v>2151</v>
      </c>
      <c r="C149" s="157"/>
      <c r="D149" s="157"/>
      <c r="E149" s="157"/>
      <c r="F149" s="157"/>
      <c r="G149" s="157" t="s">
        <v>2152</v>
      </c>
      <c r="H149" s="157"/>
      <c r="I149" s="157" t="s">
        <v>2152</v>
      </c>
      <c r="J149" s="157" t="s">
        <v>2152</v>
      </c>
      <c r="K149" s="157"/>
      <c r="L149" s="157" t="s">
        <v>2153</v>
      </c>
      <c r="M149" s="128"/>
      <c r="N149" s="128"/>
      <c r="O149" s="128"/>
      <c r="P149" s="128"/>
      <c r="Q149" s="128"/>
      <c r="R149" s="128"/>
      <c r="S149" s="128"/>
      <c r="T149" s="128"/>
      <c r="U149" s="128"/>
      <c r="V149" s="130"/>
      <c r="W149" s="130"/>
      <c r="X149" s="130"/>
      <c r="Y149" s="130"/>
      <c r="Z149" s="130"/>
      <c r="AA149" s="130"/>
      <c r="AB149" s="130"/>
      <c r="AC149" s="130"/>
      <c r="AD149" s="130"/>
      <c r="AE149" s="130"/>
      <c r="AF149" s="130"/>
      <c r="AG149" s="130"/>
      <c r="AH149" s="130"/>
      <c r="AI149" s="130"/>
      <c r="AJ149" s="130"/>
      <c r="AK149" s="130"/>
      <c r="AL149" s="130"/>
      <c r="AM149" s="130"/>
      <c r="AN149" s="130"/>
      <c r="AO149" s="130"/>
      <c r="AP149" s="130"/>
      <c r="AQ149" s="130"/>
      <c r="AR149" s="130"/>
      <c r="AS149" s="130"/>
      <c r="AT149" s="130"/>
      <c r="AU149" s="130"/>
      <c r="AV149" s="130"/>
      <c r="AW149" s="130"/>
      <c r="AX149" s="130"/>
      <c r="AY149" s="130"/>
      <c r="AZ149" s="130"/>
      <c r="BA149" s="130"/>
      <c r="BB149" s="130"/>
      <c r="BC149" s="130"/>
      <c r="BD149" s="130"/>
      <c r="BE149" s="130"/>
      <c r="BF149" s="130"/>
    </row>
    <row r="150" spans="1:58" s="129" customFormat="1" ht="16">
      <c r="A150" s="390"/>
      <c r="B150" s="156" t="s">
        <v>2154</v>
      </c>
      <c r="C150" s="157"/>
      <c r="D150" s="157"/>
      <c r="E150" s="157"/>
      <c r="F150" s="157"/>
      <c r="G150" s="157" t="s">
        <v>2155</v>
      </c>
      <c r="H150" s="157"/>
      <c r="I150" s="157"/>
      <c r="J150" s="157" t="s">
        <v>2155</v>
      </c>
      <c r="K150" s="157"/>
      <c r="L150" s="157" t="s">
        <v>2155</v>
      </c>
      <c r="M150" s="128"/>
      <c r="N150" s="128"/>
      <c r="O150" s="128"/>
      <c r="P150" s="128"/>
      <c r="Q150" s="128"/>
      <c r="R150" s="128"/>
      <c r="S150" s="128"/>
      <c r="T150" s="128"/>
      <c r="U150" s="128"/>
      <c r="V150" s="130"/>
      <c r="W150" s="130"/>
      <c r="X150" s="130"/>
      <c r="Y150" s="130"/>
      <c r="Z150" s="130"/>
      <c r="AA150" s="130"/>
      <c r="AB150" s="130"/>
      <c r="AC150" s="130"/>
      <c r="AD150" s="130"/>
      <c r="AE150" s="130"/>
      <c r="AF150" s="130"/>
      <c r="AG150" s="130"/>
      <c r="AH150" s="130"/>
      <c r="AI150" s="130"/>
      <c r="AJ150" s="130"/>
      <c r="AK150" s="130"/>
      <c r="AL150" s="130"/>
      <c r="AM150" s="130"/>
      <c r="AN150" s="130"/>
      <c r="AO150" s="130"/>
      <c r="AP150" s="130"/>
      <c r="AQ150" s="130"/>
      <c r="AR150" s="130"/>
      <c r="AS150" s="130"/>
      <c r="AT150" s="130"/>
      <c r="AU150" s="130"/>
      <c r="AV150" s="130"/>
      <c r="AW150" s="130"/>
      <c r="AX150" s="130"/>
      <c r="AY150" s="130"/>
      <c r="AZ150" s="130"/>
      <c r="BA150" s="130"/>
      <c r="BB150" s="130"/>
      <c r="BC150" s="130"/>
      <c r="BD150" s="130"/>
      <c r="BE150" s="130"/>
      <c r="BF150" s="130"/>
    </row>
    <row r="151" spans="1:58" s="129" customFormat="1" ht="16">
      <c r="A151" s="390"/>
      <c r="B151" s="156" t="s">
        <v>2156</v>
      </c>
      <c r="C151" s="157"/>
      <c r="D151" s="157"/>
      <c r="E151" s="157"/>
      <c r="F151" s="157"/>
      <c r="G151" s="157"/>
      <c r="H151" s="157"/>
      <c r="I151" s="157"/>
      <c r="J151" s="157"/>
      <c r="K151" s="157"/>
      <c r="L151" s="157" t="s">
        <v>2157</v>
      </c>
      <c r="M151" s="128"/>
      <c r="N151" s="128"/>
      <c r="O151" s="128"/>
      <c r="P151" s="128"/>
      <c r="Q151" s="128"/>
      <c r="R151" s="128"/>
      <c r="S151" s="128"/>
      <c r="T151" s="128"/>
      <c r="U151" s="128"/>
      <c r="V151" s="130"/>
      <c r="W151" s="130"/>
      <c r="X151" s="130"/>
      <c r="Y151" s="130"/>
      <c r="Z151" s="130"/>
      <c r="AA151" s="130"/>
      <c r="AB151" s="130"/>
      <c r="AC151" s="130"/>
      <c r="AD151" s="130"/>
      <c r="AE151" s="130"/>
      <c r="AF151" s="130"/>
      <c r="AG151" s="130"/>
      <c r="AH151" s="130"/>
      <c r="AI151" s="130"/>
      <c r="AJ151" s="130"/>
      <c r="AK151" s="130"/>
      <c r="AL151" s="130"/>
      <c r="AM151" s="130"/>
      <c r="AN151" s="130"/>
      <c r="AO151" s="130"/>
      <c r="AP151" s="130"/>
      <c r="AQ151" s="130"/>
      <c r="AR151" s="130"/>
      <c r="AS151" s="130"/>
      <c r="AT151" s="130"/>
      <c r="AU151" s="130"/>
      <c r="AV151" s="130"/>
      <c r="AW151" s="130"/>
      <c r="AX151" s="130"/>
      <c r="AY151" s="130"/>
      <c r="AZ151" s="130"/>
      <c r="BA151" s="130"/>
      <c r="BB151" s="130"/>
      <c r="BC151" s="130"/>
      <c r="BD151" s="130"/>
      <c r="BE151" s="130"/>
      <c r="BF151" s="130"/>
    </row>
    <row r="152" spans="1:58" s="129" customFormat="1" ht="16">
      <c r="A152" s="391"/>
      <c r="B152" s="139" t="s">
        <v>2109</v>
      </c>
      <c r="C152" s="141"/>
      <c r="D152" s="141"/>
      <c r="E152" s="141"/>
      <c r="F152" s="141"/>
      <c r="G152" s="141"/>
      <c r="H152" s="141"/>
      <c r="I152" s="141"/>
      <c r="J152" s="141"/>
      <c r="K152" s="141"/>
      <c r="L152" s="141"/>
      <c r="M152" s="128"/>
      <c r="N152" s="128"/>
      <c r="O152" s="128"/>
      <c r="P152" s="128"/>
      <c r="Q152" s="128"/>
      <c r="R152" s="128"/>
      <c r="S152" s="128"/>
      <c r="T152" s="128"/>
      <c r="U152" s="128"/>
      <c r="V152" s="130"/>
      <c r="W152" s="130"/>
      <c r="X152" s="130"/>
      <c r="Y152" s="130"/>
      <c r="Z152" s="130"/>
      <c r="AA152" s="130"/>
      <c r="AB152" s="130"/>
      <c r="AC152" s="130"/>
      <c r="AD152" s="130"/>
      <c r="AE152" s="130"/>
      <c r="AF152" s="130"/>
      <c r="AG152" s="130"/>
      <c r="AH152" s="130"/>
      <c r="AI152" s="130"/>
      <c r="AJ152" s="130"/>
      <c r="AK152" s="130"/>
      <c r="AL152" s="130"/>
      <c r="AM152" s="130"/>
      <c r="AN152" s="130"/>
      <c r="AO152" s="130"/>
      <c r="AP152" s="130"/>
      <c r="AQ152" s="130"/>
      <c r="AR152" s="130"/>
      <c r="AS152" s="130"/>
      <c r="AT152" s="130"/>
      <c r="AU152" s="130"/>
      <c r="AV152" s="130"/>
      <c r="AW152" s="130"/>
      <c r="AX152" s="130"/>
      <c r="AY152" s="130"/>
      <c r="AZ152" s="130"/>
      <c r="BA152" s="130"/>
      <c r="BB152" s="130"/>
      <c r="BC152" s="130"/>
      <c r="BD152" s="130"/>
      <c r="BE152" s="130"/>
      <c r="BF152" s="130"/>
    </row>
    <row r="153" spans="1:58" s="129" customFormat="1" ht="16">
      <c r="A153" s="207"/>
      <c r="D153" s="128"/>
      <c r="E153" s="128"/>
      <c r="F153" s="128"/>
      <c r="G153" s="128"/>
      <c r="H153" s="128"/>
      <c r="I153" s="128"/>
      <c r="J153" s="128"/>
      <c r="K153" s="128"/>
      <c r="L153" s="128"/>
      <c r="M153" s="128"/>
      <c r="N153" s="128"/>
      <c r="O153" s="128"/>
      <c r="P153" s="128"/>
      <c r="Q153" s="128"/>
      <c r="R153" s="128"/>
      <c r="S153" s="128"/>
      <c r="T153" s="128"/>
      <c r="U153" s="128"/>
      <c r="V153" s="130"/>
      <c r="W153" s="130"/>
      <c r="X153" s="130"/>
      <c r="Y153" s="130"/>
      <c r="Z153" s="130"/>
      <c r="AA153" s="130"/>
      <c r="AB153" s="130"/>
      <c r="AC153" s="130"/>
      <c r="AD153" s="130"/>
      <c r="AE153" s="130"/>
      <c r="AF153" s="130"/>
      <c r="AG153" s="130"/>
      <c r="AH153" s="130"/>
      <c r="AI153" s="130"/>
      <c r="AJ153" s="130"/>
      <c r="AK153" s="130"/>
      <c r="AL153" s="130"/>
      <c r="AM153" s="130"/>
      <c r="AN153" s="130"/>
      <c r="AO153" s="130"/>
      <c r="AP153" s="130"/>
      <c r="AQ153" s="130"/>
      <c r="AR153" s="130"/>
      <c r="AS153" s="130"/>
      <c r="AT153" s="130"/>
      <c r="AU153" s="130"/>
      <c r="AV153" s="130"/>
      <c r="AW153" s="130"/>
      <c r="AX153" s="130"/>
      <c r="AY153" s="130"/>
      <c r="AZ153" s="130"/>
      <c r="BA153" s="130"/>
      <c r="BB153" s="130"/>
      <c r="BC153" s="130"/>
      <c r="BD153" s="130"/>
      <c r="BE153" s="130"/>
      <c r="BF153" s="130"/>
    </row>
    <row r="154" spans="1:58" s="129" customFormat="1" ht="55">
      <c r="A154" s="389" t="s">
        <v>2170</v>
      </c>
      <c r="B154" s="200" t="s">
        <v>2171</v>
      </c>
      <c r="C154" s="189">
        <v>2</v>
      </c>
      <c r="D154" s="189">
        <v>3</v>
      </c>
      <c r="E154" s="189">
        <v>4</v>
      </c>
      <c r="F154" s="189">
        <v>5</v>
      </c>
      <c r="G154" s="189">
        <v>6</v>
      </c>
      <c r="H154" s="189"/>
      <c r="I154" s="189">
        <v>7</v>
      </c>
      <c r="J154" s="189">
        <v>9</v>
      </c>
      <c r="K154" s="189"/>
      <c r="L154" s="189"/>
      <c r="M154" s="128"/>
      <c r="N154" s="128"/>
      <c r="O154" s="128"/>
      <c r="P154" s="128"/>
      <c r="Q154" s="128"/>
      <c r="R154" s="128"/>
      <c r="S154" s="128"/>
      <c r="T154" s="128"/>
      <c r="U154" s="128"/>
      <c r="V154" s="130"/>
      <c r="W154" s="130"/>
      <c r="X154" s="130"/>
      <c r="Y154" s="130"/>
      <c r="Z154" s="130"/>
      <c r="AA154" s="130"/>
      <c r="AB154" s="130"/>
      <c r="AC154" s="130"/>
      <c r="AD154" s="130"/>
      <c r="AE154" s="130"/>
      <c r="AF154" s="130"/>
      <c r="AG154" s="130"/>
      <c r="AH154" s="130"/>
      <c r="AI154" s="130"/>
      <c r="AJ154" s="130"/>
      <c r="AK154" s="130"/>
      <c r="AL154" s="130"/>
      <c r="AM154" s="130"/>
      <c r="AN154" s="130"/>
      <c r="AO154" s="130"/>
      <c r="AP154" s="130"/>
      <c r="AQ154" s="130"/>
      <c r="AR154" s="130"/>
      <c r="AS154" s="130"/>
      <c r="AT154" s="130"/>
      <c r="AU154" s="130"/>
      <c r="AV154" s="130"/>
      <c r="AW154" s="130"/>
      <c r="AX154" s="130"/>
      <c r="AY154" s="130"/>
      <c r="AZ154" s="130"/>
      <c r="BA154" s="130"/>
      <c r="BB154" s="130"/>
      <c r="BC154" s="130"/>
      <c r="BD154" s="130"/>
      <c r="BE154" s="130"/>
      <c r="BF154" s="130"/>
    </row>
    <row r="155" spans="1:58" s="129" customFormat="1" ht="16">
      <c r="A155" s="390"/>
      <c r="B155" s="156" t="s">
        <v>2146</v>
      </c>
      <c r="C155" s="157" t="s">
        <v>2140</v>
      </c>
      <c r="D155" s="157" t="s">
        <v>2140</v>
      </c>
      <c r="E155" s="157" t="s">
        <v>2141</v>
      </c>
      <c r="F155" s="157" t="s">
        <v>2141</v>
      </c>
      <c r="G155" s="157" t="s">
        <v>2096</v>
      </c>
      <c r="H155" s="157"/>
      <c r="I155" s="157" t="s">
        <v>2096</v>
      </c>
      <c r="J155" s="157" t="s">
        <v>2143</v>
      </c>
      <c r="K155" s="157"/>
      <c r="L155" s="157"/>
      <c r="O155" s="128"/>
      <c r="P155" s="128"/>
      <c r="Q155" s="128"/>
      <c r="R155" s="128"/>
      <c r="S155" s="128"/>
      <c r="T155" s="128"/>
      <c r="U155" s="128"/>
      <c r="V155" s="130"/>
      <c r="W155" s="130"/>
      <c r="X155" s="130"/>
      <c r="Y155" s="130"/>
      <c r="Z155" s="130"/>
      <c r="AA155" s="130"/>
      <c r="AB155" s="130"/>
      <c r="AC155" s="130"/>
      <c r="AD155" s="130"/>
      <c r="AE155" s="130"/>
      <c r="AF155" s="130"/>
      <c r="AG155" s="130"/>
      <c r="AH155" s="130"/>
      <c r="AI155" s="130"/>
      <c r="AJ155" s="130"/>
      <c r="AK155" s="130"/>
      <c r="AL155" s="130"/>
      <c r="AM155" s="130"/>
      <c r="AN155" s="130"/>
      <c r="AO155" s="130"/>
      <c r="AP155" s="130"/>
      <c r="AQ155" s="130"/>
      <c r="AR155" s="130"/>
      <c r="AS155" s="130"/>
      <c r="AT155" s="130"/>
      <c r="AU155" s="130"/>
      <c r="AV155" s="130"/>
      <c r="AW155" s="130"/>
      <c r="AX155" s="130"/>
      <c r="AY155" s="130"/>
      <c r="AZ155" s="130"/>
      <c r="BA155" s="130"/>
      <c r="BB155" s="130"/>
      <c r="BC155" s="130"/>
      <c r="BD155" s="130"/>
      <c r="BE155" s="130"/>
      <c r="BF155" s="130"/>
    </row>
    <row r="156" spans="1:58" s="129" customFormat="1" ht="16">
      <c r="A156" s="390"/>
      <c r="B156" s="156" t="s">
        <v>2148</v>
      </c>
      <c r="C156" s="157">
        <v>2</v>
      </c>
      <c r="D156" s="157" t="s">
        <v>2149</v>
      </c>
      <c r="E156" s="157">
        <v>2</v>
      </c>
      <c r="F156" s="157" t="s">
        <v>2149</v>
      </c>
      <c r="G156" s="157">
        <v>2</v>
      </c>
      <c r="H156" s="157"/>
      <c r="I156" s="157" t="s">
        <v>2149</v>
      </c>
      <c r="J156" s="157" t="s">
        <v>2149</v>
      </c>
      <c r="K156" s="157"/>
      <c r="L156" s="157"/>
      <c r="O156" s="128"/>
      <c r="P156" s="128"/>
      <c r="Q156" s="128"/>
      <c r="R156" s="128"/>
      <c r="S156" s="128"/>
      <c r="T156" s="128"/>
      <c r="U156" s="128"/>
      <c r="V156" s="130"/>
      <c r="W156" s="130"/>
      <c r="X156" s="130"/>
      <c r="Y156" s="130"/>
      <c r="Z156" s="130"/>
      <c r="AA156" s="130"/>
      <c r="AB156" s="130"/>
      <c r="AC156" s="130"/>
      <c r="AD156" s="130"/>
      <c r="AE156" s="130"/>
      <c r="AF156" s="130"/>
      <c r="AG156" s="130"/>
      <c r="AH156" s="130"/>
      <c r="AI156" s="130"/>
      <c r="AJ156" s="130"/>
      <c r="AK156" s="130"/>
      <c r="AL156" s="130"/>
      <c r="AM156" s="130"/>
      <c r="AN156" s="130"/>
      <c r="AO156" s="130"/>
      <c r="AP156" s="130"/>
      <c r="AQ156" s="130"/>
      <c r="AR156" s="130"/>
      <c r="AS156" s="130"/>
      <c r="AT156" s="130"/>
      <c r="AU156" s="130"/>
      <c r="AV156" s="130"/>
      <c r="AW156" s="130"/>
      <c r="AX156" s="130"/>
      <c r="AY156" s="130"/>
      <c r="AZ156" s="130"/>
      <c r="BA156" s="130"/>
      <c r="BB156" s="130"/>
      <c r="BC156" s="130"/>
      <c r="BD156" s="130"/>
      <c r="BE156" s="130"/>
      <c r="BF156" s="130"/>
    </row>
    <row r="157" spans="1:58" s="129" customFormat="1" ht="16">
      <c r="A157" s="390"/>
      <c r="B157" s="156" t="s">
        <v>2151</v>
      </c>
      <c r="C157" s="157"/>
      <c r="D157" s="157"/>
      <c r="E157" s="157"/>
      <c r="F157" s="157"/>
      <c r="G157" s="157"/>
      <c r="H157" s="157"/>
      <c r="I157" s="157"/>
      <c r="J157" s="157"/>
      <c r="K157" s="157"/>
      <c r="L157" s="157"/>
      <c r="O157" s="128"/>
      <c r="P157" s="128"/>
      <c r="Q157" s="128"/>
      <c r="R157" s="128"/>
      <c r="S157" s="128"/>
      <c r="T157" s="128"/>
      <c r="U157" s="128"/>
      <c r="V157" s="130"/>
      <c r="W157" s="130"/>
      <c r="X157" s="130"/>
      <c r="Y157" s="130"/>
      <c r="Z157" s="130"/>
      <c r="AA157" s="130"/>
      <c r="AB157" s="130"/>
      <c r="AC157" s="130"/>
      <c r="AD157" s="130"/>
      <c r="AE157" s="130"/>
      <c r="AF157" s="130"/>
      <c r="AG157" s="130"/>
      <c r="AH157" s="130"/>
      <c r="AI157" s="130"/>
      <c r="AJ157" s="130"/>
      <c r="AK157" s="130"/>
      <c r="AL157" s="130"/>
      <c r="AM157" s="130"/>
      <c r="AN157" s="130"/>
      <c r="AO157" s="130"/>
      <c r="AP157" s="130"/>
      <c r="AQ157" s="130"/>
      <c r="AR157" s="130"/>
      <c r="AS157" s="130"/>
      <c r="AT157" s="130"/>
      <c r="AU157" s="130"/>
      <c r="AV157" s="130"/>
      <c r="AW157" s="130"/>
      <c r="AX157" s="130"/>
      <c r="AY157" s="130"/>
      <c r="AZ157" s="130"/>
      <c r="BA157" s="130"/>
      <c r="BB157" s="130"/>
      <c r="BC157" s="130"/>
      <c r="BD157" s="130"/>
      <c r="BE157" s="130"/>
      <c r="BF157" s="130"/>
    </row>
    <row r="158" spans="1:58" s="129" customFormat="1" ht="16">
      <c r="A158" s="390"/>
      <c r="B158" s="156" t="s">
        <v>2154</v>
      </c>
      <c r="C158" s="157"/>
      <c r="D158" s="157"/>
      <c r="E158" s="157"/>
      <c r="F158" s="157"/>
      <c r="G158" s="157"/>
      <c r="H158" s="157"/>
      <c r="I158" s="157"/>
      <c r="J158" s="157"/>
      <c r="K158" s="157"/>
      <c r="L158" s="157"/>
      <c r="O158" s="128"/>
      <c r="P158" s="128"/>
      <c r="Q158" s="128"/>
      <c r="R158" s="128"/>
      <c r="S158" s="128"/>
      <c r="T158" s="128"/>
      <c r="U158" s="128"/>
      <c r="V158" s="130"/>
      <c r="W158" s="130"/>
      <c r="X158" s="130"/>
      <c r="Y158" s="130"/>
      <c r="Z158" s="130"/>
      <c r="AA158" s="130"/>
      <c r="AB158" s="130"/>
      <c r="AC158" s="130"/>
      <c r="AD158" s="130"/>
      <c r="AE158" s="130"/>
      <c r="AF158" s="130"/>
      <c r="AG158" s="130"/>
      <c r="AH158" s="130"/>
      <c r="AI158" s="130"/>
      <c r="AJ158" s="130"/>
      <c r="AK158" s="130"/>
      <c r="AL158" s="130"/>
      <c r="AM158" s="130"/>
      <c r="AN158" s="130"/>
      <c r="AO158" s="130"/>
      <c r="AP158" s="130"/>
      <c r="AQ158" s="130"/>
      <c r="AR158" s="130"/>
      <c r="AS158" s="130"/>
      <c r="AT158" s="130"/>
      <c r="AU158" s="130"/>
      <c r="AV158" s="130"/>
      <c r="AW158" s="130"/>
      <c r="AX158" s="130"/>
      <c r="AY158" s="130"/>
      <c r="AZ158" s="130"/>
      <c r="BA158" s="130"/>
      <c r="BB158" s="130"/>
      <c r="BC158" s="130"/>
      <c r="BD158" s="130"/>
      <c r="BE158" s="130"/>
      <c r="BF158" s="130"/>
    </row>
    <row r="159" spans="1:58" s="129" customFormat="1" ht="16">
      <c r="A159" s="390"/>
      <c r="B159" s="156" t="s">
        <v>2156</v>
      </c>
      <c r="C159" s="157"/>
      <c r="D159" s="157"/>
      <c r="E159" s="157"/>
      <c r="F159" s="157"/>
      <c r="G159" s="157"/>
      <c r="H159" s="157"/>
      <c r="I159" s="157"/>
      <c r="J159" s="157"/>
      <c r="K159" s="157"/>
      <c r="L159" s="157"/>
      <c r="O159" s="128"/>
      <c r="P159" s="128"/>
      <c r="Q159" s="128"/>
      <c r="R159" s="128"/>
      <c r="S159" s="128"/>
      <c r="T159" s="128"/>
      <c r="U159" s="128"/>
      <c r="V159" s="130"/>
      <c r="W159" s="130"/>
      <c r="X159" s="130"/>
      <c r="Y159" s="130"/>
      <c r="Z159" s="130"/>
      <c r="AA159" s="130"/>
      <c r="AB159" s="130"/>
      <c r="AC159" s="130"/>
      <c r="AD159" s="130"/>
      <c r="AE159" s="130"/>
      <c r="AF159" s="130"/>
      <c r="AG159" s="130"/>
      <c r="AH159" s="130"/>
      <c r="AI159" s="130"/>
      <c r="AJ159" s="130"/>
      <c r="AK159" s="130"/>
      <c r="AL159" s="130"/>
      <c r="AM159" s="130"/>
      <c r="AN159" s="130"/>
      <c r="AO159" s="130"/>
      <c r="AP159" s="130"/>
      <c r="AQ159" s="130"/>
      <c r="AR159" s="130"/>
      <c r="AS159" s="130"/>
      <c r="AT159" s="130"/>
      <c r="AU159" s="130"/>
      <c r="AV159" s="130"/>
      <c r="AW159" s="130"/>
      <c r="AX159" s="130"/>
      <c r="AY159" s="130"/>
      <c r="AZ159" s="130"/>
      <c r="BA159" s="130"/>
      <c r="BB159" s="130"/>
      <c r="BC159" s="130"/>
      <c r="BD159" s="130"/>
      <c r="BE159" s="130"/>
      <c r="BF159" s="130"/>
    </row>
    <row r="160" spans="1:58" s="129" customFormat="1" ht="16">
      <c r="A160" s="391"/>
      <c r="B160" s="139" t="s">
        <v>2109</v>
      </c>
      <c r="C160" s="141"/>
      <c r="D160" s="141"/>
      <c r="E160" s="141"/>
      <c r="F160" s="141"/>
      <c r="G160" s="141"/>
      <c r="H160" s="141"/>
      <c r="I160" s="141"/>
      <c r="J160" s="141"/>
      <c r="K160" s="141"/>
      <c r="L160" s="141"/>
      <c r="O160" s="128"/>
      <c r="P160" s="128"/>
      <c r="Q160" s="128"/>
      <c r="R160" s="128"/>
      <c r="S160" s="128"/>
      <c r="T160" s="128"/>
      <c r="U160" s="128"/>
      <c r="V160" s="130"/>
      <c r="W160" s="130"/>
      <c r="X160" s="130"/>
      <c r="Y160" s="130"/>
      <c r="Z160" s="130"/>
      <c r="AA160" s="130"/>
      <c r="AB160" s="130"/>
      <c r="AC160" s="130"/>
      <c r="AD160" s="130"/>
      <c r="AE160" s="130"/>
      <c r="AF160" s="130"/>
      <c r="AG160" s="130"/>
      <c r="AH160" s="130"/>
      <c r="AI160" s="130"/>
      <c r="AJ160" s="130"/>
      <c r="AK160" s="130"/>
      <c r="AL160" s="130"/>
      <c r="AM160" s="130"/>
      <c r="AN160" s="130"/>
      <c r="AO160" s="130"/>
      <c r="AP160" s="130"/>
      <c r="AQ160" s="130"/>
      <c r="AR160" s="130"/>
      <c r="AS160" s="130"/>
      <c r="AT160" s="130"/>
      <c r="AU160" s="130"/>
      <c r="AV160" s="130"/>
      <c r="AW160" s="130"/>
      <c r="AX160" s="130"/>
      <c r="AY160" s="130"/>
      <c r="AZ160" s="130"/>
      <c r="BA160" s="130"/>
      <c r="BB160" s="130"/>
      <c r="BC160" s="130"/>
      <c r="BD160" s="130"/>
      <c r="BE160" s="130"/>
      <c r="BF160" s="130"/>
    </row>
    <row r="161" spans="1:58" s="129" customFormat="1" ht="16">
      <c r="A161" s="208"/>
      <c r="L161" s="128"/>
      <c r="M161" s="128"/>
      <c r="N161" s="128"/>
      <c r="O161" s="128"/>
      <c r="P161" s="128"/>
      <c r="Q161" s="128"/>
      <c r="R161" s="128"/>
      <c r="S161" s="128"/>
      <c r="T161" s="128"/>
      <c r="U161" s="128"/>
      <c r="V161" s="130"/>
      <c r="W161" s="130"/>
      <c r="X161" s="130"/>
      <c r="Y161" s="130"/>
      <c r="Z161" s="130"/>
      <c r="AA161" s="130"/>
      <c r="AB161" s="130"/>
      <c r="AC161" s="130"/>
      <c r="AD161" s="130"/>
      <c r="AE161" s="130"/>
      <c r="AF161" s="130"/>
      <c r="AG161" s="130"/>
      <c r="AH161" s="130"/>
      <c r="AI161" s="130"/>
      <c r="AJ161" s="130"/>
      <c r="AK161" s="130"/>
      <c r="AL161" s="130"/>
      <c r="AM161" s="130"/>
      <c r="AN161" s="130"/>
      <c r="AO161" s="130"/>
      <c r="AP161" s="130"/>
      <c r="AQ161" s="130"/>
      <c r="AR161" s="130"/>
      <c r="AS161" s="130"/>
      <c r="AT161" s="130"/>
      <c r="AU161" s="130"/>
      <c r="AV161" s="130"/>
      <c r="AW161" s="130"/>
      <c r="AX161" s="130"/>
      <c r="AY161" s="130"/>
      <c r="AZ161" s="130"/>
      <c r="BA161" s="130"/>
      <c r="BB161" s="130"/>
      <c r="BC161" s="130"/>
      <c r="BD161" s="130"/>
      <c r="BE161" s="130"/>
      <c r="BF161" s="130"/>
    </row>
    <row r="162" spans="1:58" s="129" customFormat="1" ht="55">
      <c r="A162" s="389" t="s">
        <v>2172</v>
      </c>
      <c r="B162" s="200" t="s">
        <v>2173</v>
      </c>
      <c r="C162" s="189">
        <v>2</v>
      </c>
      <c r="D162" s="189">
        <v>3</v>
      </c>
      <c r="E162" s="189">
        <v>4</v>
      </c>
      <c r="F162" s="189">
        <v>5</v>
      </c>
      <c r="G162" s="189">
        <v>6</v>
      </c>
      <c r="H162" s="189"/>
      <c r="I162" s="189">
        <v>7</v>
      </c>
      <c r="J162" s="189">
        <v>9</v>
      </c>
      <c r="K162" s="189"/>
      <c r="L162" s="189">
        <v>12</v>
      </c>
      <c r="M162" s="128"/>
      <c r="N162" s="128"/>
      <c r="O162" s="128"/>
      <c r="P162" s="128"/>
      <c r="Q162" s="128"/>
      <c r="R162" s="128"/>
      <c r="S162" s="128"/>
      <c r="T162" s="128"/>
      <c r="U162" s="128"/>
      <c r="V162" s="130"/>
      <c r="W162" s="130"/>
      <c r="X162" s="130"/>
      <c r="Y162" s="130"/>
      <c r="Z162" s="130"/>
      <c r="AA162" s="130"/>
      <c r="AB162" s="130"/>
      <c r="AC162" s="130"/>
      <c r="AD162" s="130"/>
      <c r="AE162" s="130"/>
      <c r="AF162" s="130"/>
      <c r="AG162" s="130"/>
      <c r="AH162" s="130"/>
      <c r="AI162" s="130"/>
      <c r="AJ162" s="130"/>
      <c r="AK162" s="130"/>
      <c r="AL162" s="130"/>
      <c r="AM162" s="130"/>
      <c r="AN162" s="130"/>
      <c r="AO162" s="130"/>
      <c r="AP162" s="130"/>
      <c r="AQ162" s="130"/>
      <c r="AR162" s="130"/>
      <c r="AS162" s="130"/>
      <c r="AT162" s="130"/>
      <c r="AU162" s="130"/>
      <c r="AV162" s="130"/>
      <c r="AW162" s="130"/>
      <c r="AX162" s="130"/>
      <c r="AY162" s="130"/>
      <c r="AZ162" s="130"/>
      <c r="BA162" s="130"/>
      <c r="BB162" s="130"/>
      <c r="BC162" s="130"/>
      <c r="BD162" s="130"/>
      <c r="BE162" s="130"/>
      <c r="BF162" s="130"/>
    </row>
    <row r="163" spans="1:58" s="129" customFormat="1" ht="16">
      <c r="A163" s="390"/>
      <c r="B163" s="156" t="s">
        <v>2146</v>
      </c>
      <c r="C163" s="157" t="s">
        <v>2096</v>
      </c>
      <c r="D163" s="157" t="s">
        <v>2096</v>
      </c>
      <c r="E163" s="157" t="s">
        <v>2144</v>
      </c>
      <c r="F163" s="157" t="s">
        <v>2144</v>
      </c>
      <c r="G163" s="157" t="s">
        <v>2144</v>
      </c>
      <c r="H163" s="157"/>
      <c r="I163" s="157" t="s">
        <v>2144</v>
      </c>
      <c r="J163" s="157" t="s">
        <v>2144</v>
      </c>
      <c r="K163" s="157"/>
      <c r="L163" s="157" t="s">
        <v>2144</v>
      </c>
      <c r="M163" s="128"/>
      <c r="N163" s="128"/>
      <c r="O163" s="128"/>
      <c r="P163" s="128"/>
      <c r="Q163" s="128"/>
      <c r="R163" s="128"/>
      <c r="S163" s="128"/>
      <c r="T163" s="128"/>
      <c r="U163" s="128"/>
      <c r="V163" s="130"/>
      <c r="W163" s="130"/>
      <c r="X163" s="130"/>
      <c r="Y163" s="130"/>
      <c r="Z163" s="130"/>
      <c r="AA163" s="130"/>
      <c r="AB163" s="130"/>
      <c r="AC163" s="130"/>
      <c r="AD163" s="130"/>
      <c r="AE163" s="130"/>
      <c r="AF163" s="130"/>
      <c r="AG163" s="130"/>
      <c r="AH163" s="130"/>
      <c r="AI163" s="130"/>
      <c r="AJ163" s="130"/>
      <c r="AK163" s="130"/>
      <c r="AL163" s="130"/>
      <c r="AM163" s="130"/>
      <c r="AN163" s="130"/>
      <c r="AO163" s="130"/>
      <c r="AP163" s="130"/>
      <c r="AQ163" s="130"/>
      <c r="AR163" s="130"/>
      <c r="AS163" s="130"/>
      <c r="AT163" s="130"/>
      <c r="AU163" s="130"/>
      <c r="AV163" s="130"/>
      <c r="AW163" s="130"/>
      <c r="AX163" s="130"/>
      <c r="AY163" s="130"/>
      <c r="AZ163" s="130"/>
      <c r="BA163" s="130"/>
      <c r="BB163" s="130"/>
      <c r="BC163" s="130"/>
      <c r="BD163" s="130"/>
      <c r="BE163" s="130"/>
      <c r="BF163" s="130"/>
    </row>
    <row r="164" spans="1:58" s="129" customFormat="1" ht="16">
      <c r="A164" s="390"/>
      <c r="B164" s="156" t="s">
        <v>2148</v>
      </c>
      <c r="C164" s="157">
        <v>2</v>
      </c>
      <c r="D164" s="157" t="s">
        <v>2149</v>
      </c>
      <c r="E164" s="157">
        <v>2</v>
      </c>
      <c r="F164" s="157" t="s">
        <v>2149</v>
      </c>
      <c r="G164" s="157" t="s">
        <v>2149</v>
      </c>
      <c r="H164" s="157"/>
      <c r="I164" s="157">
        <v>2</v>
      </c>
      <c r="J164" s="157">
        <v>2</v>
      </c>
      <c r="K164" s="157"/>
      <c r="L164" s="157" t="s">
        <v>2149</v>
      </c>
      <c r="M164" s="128"/>
      <c r="N164" s="128"/>
      <c r="O164" s="128"/>
      <c r="P164" s="128"/>
      <c r="Q164" s="128"/>
      <c r="R164" s="128"/>
      <c r="S164" s="128"/>
      <c r="T164" s="128"/>
      <c r="U164" s="128"/>
      <c r="V164" s="130"/>
      <c r="W164" s="130"/>
      <c r="X164" s="130"/>
      <c r="Y164" s="130"/>
      <c r="Z164" s="130"/>
      <c r="AA164" s="130"/>
      <c r="AB164" s="130"/>
      <c r="AC164" s="130"/>
      <c r="AD164" s="130"/>
      <c r="AE164" s="130"/>
      <c r="AF164" s="130"/>
      <c r="AG164" s="130"/>
      <c r="AH164" s="130"/>
      <c r="AI164" s="130"/>
      <c r="AJ164" s="130"/>
      <c r="AK164" s="130"/>
      <c r="AL164" s="130"/>
      <c r="AM164" s="130"/>
      <c r="AN164" s="130"/>
      <c r="AO164" s="130"/>
      <c r="AP164" s="130"/>
      <c r="AQ164" s="130"/>
      <c r="AR164" s="130"/>
      <c r="AS164" s="130"/>
      <c r="AT164" s="130"/>
      <c r="AU164" s="130"/>
      <c r="AV164" s="130"/>
      <c r="AW164" s="130"/>
      <c r="AX164" s="130"/>
      <c r="AY164" s="130"/>
      <c r="AZ164" s="130"/>
      <c r="BA164" s="130"/>
      <c r="BB164" s="130"/>
      <c r="BC164" s="130"/>
      <c r="BD164" s="130"/>
      <c r="BE164" s="130"/>
      <c r="BF164" s="130"/>
    </row>
    <row r="165" spans="1:58" s="129" customFormat="1" ht="16">
      <c r="A165" s="390"/>
      <c r="B165" s="156" t="s">
        <v>2151</v>
      </c>
      <c r="C165" s="157" t="s">
        <v>2152</v>
      </c>
      <c r="D165" s="157" t="s">
        <v>2152</v>
      </c>
      <c r="E165" s="157" t="s">
        <v>2152</v>
      </c>
      <c r="F165" s="157" t="s">
        <v>2152</v>
      </c>
      <c r="G165" s="157" t="s">
        <v>2152</v>
      </c>
      <c r="H165" s="157"/>
      <c r="I165" s="157" t="s">
        <v>2153</v>
      </c>
      <c r="J165" s="157" t="s">
        <v>2153</v>
      </c>
      <c r="K165" s="157"/>
      <c r="L165" s="157" t="s">
        <v>2153</v>
      </c>
      <c r="M165" s="128"/>
      <c r="N165" s="128"/>
      <c r="O165" s="128"/>
      <c r="P165" s="128"/>
      <c r="Q165" s="128"/>
      <c r="R165" s="128"/>
      <c r="S165" s="128"/>
      <c r="T165" s="128"/>
      <c r="U165" s="128"/>
      <c r="V165" s="130"/>
      <c r="W165" s="130"/>
      <c r="X165" s="130"/>
      <c r="Y165" s="130"/>
      <c r="Z165" s="130"/>
      <c r="AA165" s="130"/>
      <c r="AB165" s="130"/>
      <c r="AC165" s="130"/>
      <c r="AD165" s="130"/>
      <c r="AE165" s="130"/>
      <c r="AF165" s="130"/>
      <c r="AG165" s="130"/>
      <c r="AH165" s="130"/>
      <c r="AI165" s="130"/>
      <c r="AJ165" s="130"/>
      <c r="AK165" s="130"/>
      <c r="AL165" s="130"/>
      <c r="AM165" s="130"/>
      <c r="AN165" s="130"/>
      <c r="AO165" s="130"/>
      <c r="AP165" s="130"/>
      <c r="AQ165" s="130"/>
      <c r="AR165" s="130"/>
      <c r="AS165" s="130"/>
      <c r="AT165" s="130"/>
      <c r="AU165" s="130"/>
      <c r="AV165" s="130"/>
      <c r="AW165" s="130"/>
      <c r="AX165" s="130"/>
      <c r="AY165" s="130"/>
      <c r="AZ165" s="130"/>
      <c r="BA165" s="130"/>
      <c r="BB165" s="130"/>
      <c r="BC165" s="130"/>
      <c r="BD165" s="130"/>
      <c r="BE165" s="130"/>
      <c r="BF165" s="130"/>
    </row>
    <row r="166" spans="1:58" s="129" customFormat="1" ht="16">
      <c r="A166" s="390"/>
      <c r="B166" s="156" t="s">
        <v>2154</v>
      </c>
      <c r="C166" s="157" t="s">
        <v>2155</v>
      </c>
      <c r="D166" s="157" t="s">
        <v>2155</v>
      </c>
      <c r="E166" s="157" t="s">
        <v>2155</v>
      </c>
      <c r="F166" s="157" t="s">
        <v>2155</v>
      </c>
      <c r="G166" s="157" t="s">
        <v>2161</v>
      </c>
      <c r="H166" s="157"/>
      <c r="I166" s="157"/>
      <c r="J166" s="157"/>
      <c r="K166" s="157"/>
      <c r="L166" s="157"/>
      <c r="M166" s="128"/>
      <c r="N166" s="128"/>
      <c r="O166" s="128"/>
      <c r="P166" s="128"/>
      <c r="Q166" s="128"/>
      <c r="R166" s="128"/>
      <c r="S166" s="128"/>
      <c r="T166" s="128"/>
      <c r="U166" s="128"/>
      <c r="V166" s="130"/>
      <c r="W166" s="130"/>
      <c r="X166" s="130"/>
      <c r="Y166" s="130"/>
      <c r="Z166" s="130"/>
      <c r="AA166" s="130"/>
      <c r="AB166" s="130"/>
      <c r="AC166" s="130"/>
      <c r="AD166" s="130"/>
      <c r="AE166" s="130"/>
      <c r="AF166" s="130"/>
      <c r="AG166" s="130"/>
      <c r="AH166" s="130"/>
      <c r="AI166" s="130"/>
      <c r="AJ166" s="130"/>
      <c r="AK166" s="130"/>
      <c r="AL166" s="130"/>
      <c r="AM166" s="130"/>
      <c r="AN166" s="130"/>
      <c r="AO166" s="130"/>
      <c r="AP166" s="130"/>
      <c r="AQ166" s="130"/>
      <c r="AR166" s="130"/>
      <c r="AS166" s="130"/>
      <c r="AT166" s="130"/>
      <c r="AU166" s="130"/>
      <c r="AV166" s="130"/>
      <c r="AW166" s="130"/>
      <c r="AX166" s="130"/>
      <c r="AY166" s="130"/>
      <c r="AZ166" s="130"/>
      <c r="BA166" s="130"/>
      <c r="BB166" s="130"/>
      <c r="BC166" s="130"/>
      <c r="BD166" s="130"/>
      <c r="BE166" s="130"/>
      <c r="BF166" s="130"/>
    </row>
    <row r="167" spans="1:58" s="129" customFormat="1" ht="16">
      <c r="A167" s="390"/>
      <c r="B167" s="156" t="s">
        <v>2156</v>
      </c>
      <c r="C167" s="157"/>
      <c r="D167" s="157"/>
      <c r="E167" s="157"/>
      <c r="F167" s="157"/>
      <c r="G167" s="157"/>
      <c r="H167" s="157"/>
      <c r="I167" s="157" t="s">
        <v>2162</v>
      </c>
      <c r="J167" s="157" t="s">
        <v>2162</v>
      </c>
      <c r="K167" s="157"/>
      <c r="L167" s="157" t="s">
        <v>2157</v>
      </c>
      <c r="M167" s="128"/>
      <c r="N167" s="128"/>
      <c r="O167" s="128"/>
      <c r="P167" s="128"/>
      <c r="Q167" s="128"/>
      <c r="R167" s="128"/>
      <c r="S167" s="128"/>
      <c r="T167" s="128"/>
      <c r="U167" s="128"/>
      <c r="V167" s="130"/>
      <c r="W167" s="130"/>
      <c r="X167" s="130"/>
      <c r="Y167" s="130"/>
      <c r="Z167" s="130"/>
      <c r="AA167" s="130"/>
      <c r="AB167" s="130"/>
      <c r="AC167" s="130"/>
      <c r="AD167" s="130"/>
      <c r="AE167" s="130"/>
      <c r="AF167" s="130"/>
      <c r="AG167" s="130"/>
      <c r="AH167" s="130"/>
      <c r="AI167" s="130"/>
      <c r="AJ167" s="130"/>
      <c r="AK167" s="130"/>
      <c r="AL167" s="130"/>
      <c r="AM167" s="130"/>
      <c r="AN167" s="130"/>
      <c r="AO167" s="130"/>
      <c r="AP167" s="130"/>
      <c r="AQ167" s="130"/>
      <c r="AR167" s="130"/>
      <c r="AS167" s="130"/>
      <c r="AT167" s="130"/>
      <c r="AU167" s="130"/>
      <c r="AV167" s="130"/>
      <c r="AW167" s="130"/>
      <c r="AX167" s="130"/>
      <c r="AY167" s="130"/>
      <c r="AZ167" s="130"/>
      <c r="BA167" s="130"/>
      <c r="BB167" s="130"/>
      <c r="BC167" s="130"/>
      <c r="BD167" s="130"/>
      <c r="BE167" s="130"/>
      <c r="BF167" s="130"/>
    </row>
    <row r="168" spans="1:58" s="129" customFormat="1" ht="16">
      <c r="A168" s="391"/>
      <c r="B168" s="139" t="s">
        <v>2109</v>
      </c>
      <c r="C168" s="141"/>
      <c r="D168" s="141"/>
      <c r="E168" s="141"/>
      <c r="F168" s="141"/>
      <c r="G168" s="141"/>
      <c r="H168" s="141"/>
      <c r="I168" s="141" t="s">
        <v>2163</v>
      </c>
      <c r="J168" s="141" t="s">
        <v>2110</v>
      </c>
      <c r="K168" s="141"/>
      <c r="L168" s="141"/>
      <c r="M168" s="128"/>
      <c r="N168" s="128"/>
      <c r="O168" s="128"/>
      <c r="P168" s="128"/>
      <c r="Q168" s="128"/>
      <c r="R168" s="128"/>
      <c r="S168" s="128"/>
      <c r="T168" s="128"/>
      <c r="U168" s="128"/>
      <c r="V168" s="130"/>
      <c r="W168" s="130"/>
      <c r="X168" s="130"/>
      <c r="Y168" s="130"/>
      <c r="Z168" s="130"/>
      <c r="AA168" s="130"/>
      <c r="AB168" s="130"/>
      <c r="AC168" s="130"/>
      <c r="AD168" s="130"/>
      <c r="AE168" s="130"/>
      <c r="AF168" s="130"/>
      <c r="AG168" s="130"/>
      <c r="AH168" s="130"/>
      <c r="AI168" s="130"/>
      <c r="AJ168" s="130"/>
      <c r="AK168" s="130"/>
      <c r="AL168" s="130"/>
      <c r="AM168" s="130"/>
      <c r="AN168" s="130"/>
      <c r="AO168" s="130"/>
      <c r="AP168" s="130"/>
      <c r="AQ168" s="130"/>
      <c r="AR168" s="130"/>
      <c r="AS168" s="130"/>
      <c r="AT168" s="130"/>
      <c r="AU168" s="130"/>
      <c r="AV168" s="130"/>
      <c r="AW168" s="130"/>
      <c r="AX168" s="130"/>
      <c r="AY168" s="130"/>
      <c r="AZ168" s="130"/>
      <c r="BA168" s="130"/>
      <c r="BB168" s="130"/>
      <c r="BC168" s="130"/>
      <c r="BD168" s="130"/>
      <c r="BE168" s="130"/>
      <c r="BF168" s="130"/>
    </row>
    <row r="169" spans="1:58" s="129" customFormat="1" ht="16">
      <c r="C169" s="128"/>
      <c r="D169" s="128"/>
      <c r="E169" s="128"/>
      <c r="F169" s="128"/>
      <c r="G169" s="128"/>
      <c r="H169" s="128"/>
      <c r="I169" s="128"/>
      <c r="J169" s="128"/>
      <c r="K169" s="128"/>
      <c r="L169" s="128"/>
      <c r="M169" s="128"/>
      <c r="N169" s="128"/>
      <c r="O169" s="128"/>
      <c r="P169" s="128"/>
      <c r="Q169" s="128"/>
      <c r="R169" s="128"/>
      <c r="S169" s="128"/>
      <c r="T169" s="128"/>
      <c r="U169" s="128"/>
      <c r="V169" s="130"/>
      <c r="W169" s="130"/>
      <c r="X169" s="130"/>
      <c r="Y169" s="130"/>
      <c r="Z169" s="130"/>
      <c r="AA169" s="130"/>
      <c r="AB169" s="130"/>
      <c r="AC169" s="130"/>
      <c r="AD169" s="130"/>
      <c r="AE169" s="130"/>
      <c r="AF169" s="130"/>
      <c r="AG169" s="130"/>
      <c r="AH169" s="130"/>
      <c r="AI169" s="130"/>
      <c r="AJ169" s="130"/>
      <c r="AK169" s="130"/>
      <c r="AL169" s="130"/>
      <c r="AM169" s="130"/>
      <c r="AN169" s="130"/>
      <c r="AO169" s="130"/>
      <c r="AP169" s="130"/>
      <c r="AQ169" s="130"/>
      <c r="AR169" s="130"/>
      <c r="AS169" s="130"/>
      <c r="AT169" s="130"/>
      <c r="AU169" s="130"/>
      <c r="AV169" s="130"/>
      <c r="AW169" s="130"/>
      <c r="AX169" s="130"/>
      <c r="AY169" s="130"/>
      <c r="AZ169" s="130"/>
      <c r="BA169" s="130"/>
      <c r="BB169" s="130"/>
      <c r="BC169" s="130"/>
      <c r="BD169" s="130"/>
      <c r="BE169" s="130"/>
      <c r="BF169" s="130"/>
    </row>
    <row r="170" spans="1:58" s="129" customFormat="1" ht="74">
      <c r="A170" s="389" t="s">
        <v>2174</v>
      </c>
      <c r="B170" s="200" t="s">
        <v>2175</v>
      </c>
      <c r="C170" s="189">
        <v>2</v>
      </c>
      <c r="D170" s="189">
        <v>3</v>
      </c>
      <c r="E170" s="189">
        <v>4</v>
      </c>
      <c r="F170" s="189">
        <v>5</v>
      </c>
      <c r="G170" s="189">
        <v>6</v>
      </c>
      <c r="H170" s="189"/>
      <c r="I170" s="189">
        <v>7</v>
      </c>
      <c r="J170" s="189"/>
      <c r="K170" s="189"/>
      <c r="L170" s="189"/>
      <c r="M170" s="128"/>
      <c r="N170" s="128"/>
      <c r="O170" s="128"/>
      <c r="P170" s="128"/>
      <c r="Q170" s="128"/>
      <c r="R170" s="128"/>
      <c r="S170" s="128"/>
      <c r="T170" s="128"/>
      <c r="U170" s="128"/>
      <c r="V170" s="130"/>
      <c r="W170" s="130"/>
      <c r="X170" s="130"/>
      <c r="Y170" s="130"/>
      <c r="Z170" s="130"/>
      <c r="AA170" s="130"/>
      <c r="AB170" s="130"/>
      <c r="AC170" s="130"/>
      <c r="AD170" s="130"/>
      <c r="AE170" s="130"/>
      <c r="AF170" s="130"/>
      <c r="AG170" s="130"/>
      <c r="AH170" s="130"/>
      <c r="AI170" s="130"/>
      <c r="AJ170" s="130"/>
      <c r="AK170" s="130"/>
      <c r="AL170" s="130"/>
      <c r="AM170" s="130"/>
      <c r="AN170" s="130"/>
      <c r="AO170" s="130"/>
      <c r="AP170" s="130"/>
      <c r="AQ170" s="130"/>
      <c r="AR170" s="130"/>
      <c r="AS170" s="130"/>
      <c r="AT170" s="130"/>
      <c r="AU170" s="130"/>
      <c r="AV170" s="130"/>
      <c r="AW170" s="130"/>
      <c r="AX170" s="130"/>
      <c r="AY170" s="130"/>
      <c r="AZ170" s="130"/>
      <c r="BA170" s="130"/>
      <c r="BB170" s="130"/>
      <c r="BC170" s="130"/>
      <c r="BD170" s="130"/>
      <c r="BE170" s="130"/>
      <c r="BF170" s="130"/>
    </row>
    <row r="171" spans="1:58" s="129" customFormat="1" ht="16">
      <c r="A171" s="390"/>
      <c r="B171" s="156" t="s">
        <v>2146</v>
      </c>
      <c r="C171" s="157" t="s">
        <v>2096</v>
      </c>
      <c r="D171" s="157" t="s">
        <v>2096</v>
      </c>
      <c r="E171" s="157" t="s">
        <v>2143</v>
      </c>
      <c r="F171" s="157" t="s">
        <v>2143</v>
      </c>
      <c r="G171" s="157" t="s">
        <v>2142</v>
      </c>
      <c r="H171" s="157"/>
      <c r="I171" s="157" t="s">
        <v>2142</v>
      </c>
      <c r="J171" s="157"/>
      <c r="K171" s="157"/>
      <c r="L171" s="157"/>
      <c r="M171" s="128"/>
      <c r="N171" s="128"/>
      <c r="O171" s="128"/>
      <c r="P171" s="128"/>
      <c r="Q171" s="128"/>
      <c r="R171" s="128"/>
      <c r="S171" s="128"/>
      <c r="T171" s="128"/>
      <c r="U171" s="128"/>
      <c r="V171" s="130"/>
      <c r="W171" s="130"/>
      <c r="X171" s="130"/>
      <c r="Y171" s="130"/>
      <c r="Z171" s="130"/>
      <c r="AA171" s="130"/>
      <c r="AB171" s="130"/>
      <c r="AC171" s="130"/>
      <c r="AD171" s="130"/>
      <c r="AE171" s="130"/>
      <c r="AF171" s="130"/>
      <c r="AG171" s="130"/>
      <c r="AH171" s="130"/>
      <c r="AI171" s="130"/>
      <c r="AJ171" s="130"/>
      <c r="AK171" s="130"/>
      <c r="AL171" s="130"/>
      <c r="AM171" s="130"/>
      <c r="AN171" s="130"/>
      <c r="AO171" s="130"/>
      <c r="AP171" s="130"/>
      <c r="AQ171" s="130"/>
      <c r="AR171" s="130"/>
      <c r="AS171" s="130"/>
      <c r="AT171" s="130"/>
      <c r="AU171" s="130"/>
      <c r="AV171" s="130"/>
      <c r="AW171" s="130"/>
      <c r="AX171" s="130"/>
      <c r="AY171" s="130"/>
      <c r="AZ171" s="130"/>
      <c r="BA171" s="130"/>
      <c r="BB171" s="130"/>
      <c r="BC171" s="130"/>
      <c r="BD171" s="130"/>
      <c r="BE171" s="130"/>
      <c r="BF171" s="130"/>
    </row>
    <row r="172" spans="1:58" s="129" customFormat="1" ht="16">
      <c r="A172" s="390"/>
      <c r="B172" s="156" t="s">
        <v>2148</v>
      </c>
      <c r="C172" s="157">
        <v>2</v>
      </c>
      <c r="D172" s="157" t="s">
        <v>2149</v>
      </c>
      <c r="E172" s="157">
        <v>2</v>
      </c>
      <c r="F172" s="157" t="s">
        <v>2149</v>
      </c>
      <c r="G172" s="157">
        <v>2</v>
      </c>
      <c r="H172" s="157"/>
      <c r="I172" s="157" t="s">
        <v>2149</v>
      </c>
      <c r="J172" s="157"/>
      <c r="K172" s="157"/>
      <c r="L172" s="157"/>
      <c r="M172" s="128"/>
      <c r="N172" s="128"/>
      <c r="O172" s="128"/>
      <c r="P172" s="128"/>
      <c r="Q172" s="128"/>
      <c r="R172" s="128"/>
      <c r="S172" s="128"/>
      <c r="T172" s="128"/>
      <c r="U172" s="128"/>
      <c r="V172" s="130"/>
      <c r="W172" s="130"/>
      <c r="X172" s="130"/>
      <c r="Y172" s="130"/>
      <c r="Z172" s="130"/>
      <c r="AA172" s="130"/>
      <c r="AB172" s="130"/>
      <c r="AC172" s="130"/>
      <c r="AD172" s="130"/>
      <c r="AE172" s="130"/>
      <c r="AF172" s="130"/>
      <c r="AG172" s="130"/>
      <c r="AH172" s="130"/>
      <c r="AI172" s="130"/>
      <c r="AJ172" s="130"/>
      <c r="AK172" s="130"/>
      <c r="AL172" s="130"/>
      <c r="AM172" s="130"/>
      <c r="AN172" s="130"/>
      <c r="AO172" s="130"/>
      <c r="AP172" s="130"/>
      <c r="AQ172" s="130"/>
      <c r="AR172" s="130"/>
      <c r="AS172" s="130"/>
      <c r="AT172" s="130"/>
      <c r="AU172" s="130"/>
      <c r="AV172" s="130"/>
      <c r="AW172" s="130"/>
      <c r="AX172" s="130"/>
      <c r="AY172" s="130"/>
      <c r="AZ172" s="130"/>
      <c r="BA172" s="130"/>
      <c r="BB172" s="130"/>
      <c r="BC172" s="130"/>
      <c r="BD172" s="130"/>
      <c r="BE172" s="130"/>
      <c r="BF172" s="130"/>
    </row>
    <row r="173" spans="1:58" s="129" customFormat="1" ht="16">
      <c r="A173" s="390"/>
      <c r="B173" s="156" t="s">
        <v>2151</v>
      </c>
      <c r="C173" s="157"/>
      <c r="D173" s="157"/>
      <c r="E173" s="157"/>
      <c r="F173" s="157"/>
      <c r="G173" s="157"/>
      <c r="H173" s="157"/>
      <c r="I173" s="157"/>
      <c r="J173" s="157"/>
      <c r="K173" s="157"/>
      <c r="L173" s="157"/>
      <c r="M173" s="128"/>
      <c r="N173" s="128"/>
      <c r="O173" s="128"/>
      <c r="P173" s="128"/>
      <c r="Q173" s="128"/>
      <c r="R173" s="128"/>
      <c r="S173" s="128"/>
      <c r="T173" s="128"/>
      <c r="U173" s="128"/>
      <c r="V173" s="130"/>
      <c r="W173" s="130"/>
      <c r="X173" s="130"/>
      <c r="Y173" s="130"/>
      <c r="Z173" s="130"/>
      <c r="AA173" s="130"/>
      <c r="AB173" s="130"/>
      <c r="AC173" s="130"/>
      <c r="AD173" s="130"/>
      <c r="AE173" s="130"/>
      <c r="AF173" s="130"/>
      <c r="AG173" s="130"/>
      <c r="AH173" s="130"/>
      <c r="AI173" s="130"/>
      <c r="AJ173" s="130"/>
      <c r="AK173" s="130"/>
      <c r="AL173" s="130"/>
      <c r="AM173" s="130"/>
      <c r="AN173" s="130"/>
      <c r="AO173" s="130"/>
      <c r="AP173" s="130"/>
      <c r="AQ173" s="130"/>
      <c r="AR173" s="130"/>
      <c r="AS173" s="130"/>
      <c r="AT173" s="130"/>
      <c r="AU173" s="130"/>
      <c r="AV173" s="130"/>
      <c r="AW173" s="130"/>
      <c r="AX173" s="130"/>
      <c r="AY173" s="130"/>
      <c r="AZ173" s="130"/>
      <c r="BA173" s="130"/>
      <c r="BB173" s="130"/>
      <c r="BC173" s="130"/>
      <c r="BD173" s="130"/>
      <c r="BE173" s="130"/>
      <c r="BF173" s="130"/>
    </row>
    <row r="174" spans="1:58" s="129" customFormat="1" ht="16">
      <c r="A174" s="390"/>
      <c r="B174" s="156" t="s">
        <v>2154</v>
      </c>
      <c r="C174" s="157"/>
      <c r="D174" s="157"/>
      <c r="E174" s="157"/>
      <c r="F174" s="157"/>
      <c r="G174" s="157"/>
      <c r="H174" s="157"/>
      <c r="I174" s="157"/>
      <c r="J174" s="157"/>
      <c r="K174" s="157"/>
      <c r="L174" s="157"/>
      <c r="M174" s="128"/>
      <c r="N174" s="128"/>
      <c r="O174" s="128"/>
      <c r="P174" s="128"/>
      <c r="Q174" s="128"/>
      <c r="R174" s="128"/>
      <c r="S174" s="128"/>
      <c r="T174" s="128"/>
      <c r="U174" s="128"/>
      <c r="V174" s="130"/>
      <c r="W174" s="130"/>
      <c r="X174" s="130"/>
      <c r="Y174" s="130"/>
      <c r="Z174" s="130"/>
      <c r="AA174" s="130"/>
      <c r="AB174" s="130"/>
      <c r="AC174" s="130"/>
      <c r="AD174" s="130"/>
      <c r="AE174" s="130"/>
      <c r="AF174" s="130"/>
      <c r="AG174" s="130"/>
      <c r="AH174" s="130"/>
      <c r="AI174" s="130"/>
      <c r="AJ174" s="130"/>
      <c r="AK174" s="130"/>
      <c r="AL174" s="130"/>
      <c r="AM174" s="130"/>
      <c r="AN174" s="130"/>
      <c r="AO174" s="130"/>
      <c r="AP174" s="130"/>
      <c r="AQ174" s="130"/>
      <c r="AR174" s="130"/>
      <c r="AS174" s="130"/>
      <c r="AT174" s="130"/>
      <c r="AU174" s="130"/>
      <c r="AV174" s="130"/>
      <c r="AW174" s="130"/>
      <c r="AX174" s="130"/>
      <c r="AY174" s="130"/>
      <c r="AZ174" s="130"/>
      <c r="BA174" s="130"/>
      <c r="BB174" s="130"/>
      <c r="BC174" s="130"/>
      <c r="BD174" s="130"/>
      <c r="BE174" s="130"/>
      <c r="BF174" s="130"/>
    </row>
    <row r="175" spans="1:58" s="129" customFormat="1" ht="16">
      <c r="A175" s="390"/>
      <c r="B175" s="156" t="s">
        <v>2156</v>
      </c>
      <c r="C175" s="157"/>
      <c r="D175" s="157"/>
      <c r="E175" s="157"/>
      <c r="F175" s="157"/>
      <c r="G175" s="157"/>
      <c r="H175" s="157"/>
      <c r="I175" s="157"/>
      <c r="J175" s="157"/>
      <c r="K175" s="157"/>
      <c r="L175" s="157"/>
      <c r="M175" s="128"/>
      <c r="N175" s="128"/>
      <c r="O175" s="128"/>
      <c r="P175" s="128"/>
      <c r="Q175" s="128"/>
      <c r="R175" s="128"/>
      <c r="S175" s="128"/>
      <c r="T175" s="128"/>
      <c r="U175" s="128"/>
      <c r="V175" s="130"/>
      <c r="W175" s="130"/>
      <c r="X175" s="130"/>
      <c r="Y175" s="130"/>
      <c r="Z175" s="130"/>
      <c r="AA175" s="130"/>
      <c r="AB175" s="130"/>
      <c r="AC175" s="130"/>
      <c r="AD175" s="130"/>
      <c r="AE175" s="130"/>
      <c r="AF175" s="130"/>
      <c r="AG175" s="130"/>
      <c r="AH175" s="130"/>
      <c r="AI175" s="130"/>
      <c r="AJ175" s="130"/>
      <c r="AK175" s="130"/>
      <c r="AL175" s="130"/>
      <c r="AM175" s="130"/>
      <c r="AN175" s="130"/>
      <c r="AO175" s="130"/>
      <c r="AP175" s="130"/>
      <c r="AQ175" s="130"/>
      <c r="AR175" s="130"/>
      <c r="AS175" s="130"/>
      <c r="AT175" s="130"/>
      <c r="AU175" s="130"/>
      <c r="AV175" s="130"/>
      <c r="AW175" s="130"/>
      <c r="AX175" s="130"/>
      <c r="AY175" s="130"/>
      <c r="AZ175" s="130"/>
      <c r="BA175" s="130"/>
      <c r="BB175" s="130"/>
      <c r="BC175" s="130"/>
      <c r="BD175" s="130"/>
      <c r="BE175" s="130"/>
      <c r="BF175" s="130"/>
    </row>
    <row r="176" spans="1:58" s="129" customFormat="1" ht="16">
      <c r="A176" s="391"/>
      <c r="B176" s="139" t="s">
        <v>2109</v>
      </c>
      <c r="C176" s="141"/>
      <c r="D176" s="141"/>
      <c r="E176" s="141"/>
      <c r="F176" s="141"/>
      <c r="G176" s="141"/>
      <c r="H176" s="141"/>
      <c r="I176" s="141"/>
      <c r="J176" s="141"/>
      <c r="K176" s="141"/>
      <c r="L176" s="141"/>
      <c r="M176" s="128"/>
      <c r="N176" s="128"/>
      <c r="O176" s="128"/>
      <c r="P176" s="128"/>
      <c r="Q176" s="128"/>
      <c r="R176" s="128"/>
      <c r="S176" s="128"/>
      <c r="T176" s="128"/>
      <c r="U176" s="128"/>
      <c r="V176" s="130"/>
      <c r="W176" s="130"/>
      <c r="X176" s="130"/>
      <c r="Y176" s="130"/>
      <c r="Z176" s="130"/>
      <c r="AA176" s="130"/>
      <c r="AB176" s="130"/>
      <c r="AC176" s="130"/>
      <c r="AD176" s="130"/>
      <c r="AE176" s="130"/>
      <c r="AF176" s="130"/>
      <c r="AG176" s="130"/>
      <c r="AH176" s="130"/>
      <c r="AI176" s="130"/>
      <c r="AJ176" s="130"/>
      <c r="AK176" s="130"/>
      <c r="AL176" s="130"/>
      <c r="AM176" s="130"/>
      <c r="AN176" s="130"/>
      <c r="AO176" s="130"/>
      <c r="AP176" s="130"/>
      <c r="AQ176" s="130"/>
      <c r="AR176" s="130"/>
      <c r="AS176" s="130"/>
      <c r="AT176" s="130"/>
      <c r="AU176" s="130"/>
      <c r="AV176" s="130"/>
      <c r="AW176" s="130"/>
      <c r="AX176" s="130"/>
      <c r="AY176" s="130"/>
      <c r="AZ176" s="130"/>
      <c r="BA176" s="130"/>
      <c r="BB176" s="130"/>
      <c r="BC176" s="130"/>
      <c r="BD176" s="130"/>
      <c r="BE176" s="130"/>
      <c r="BF176" s="130"/>
    </row>
    <row r="177" spans="1:58" s="129" customFormat="1" ht="16">
      <c r="C177" s="128"/>
      <c r="D177" s="128"/>
      <c r="E177" s="128"/>
      <c r="F177" s="128"/>
      <c r="G177" s="128"/>
      <c r="H177" s="128"/>
      <c r="I177" s="128"/>
      <c r="J177" s="128"/>
      <c r="K177" s="128"/>
      <c r="L177" s="128"/>
      <c r="M177" s="128"/>
      <c r="N177" s="128"/>
      <c r="O177" s="128"/>
      <c r="P177" s="128"/>
      <c r="Q177" s="128"/>
      <c r="R177" s="128"/>
      <c r="S177" s="128"/>
      <c r="T177" s="128"/>
      <c r="U177" s="128"/>
      <c r="V177" s="130"/>
      <c r="W177" s="130"/>
      <c r="X177" s="130"/>
      <c r="Y177" s="130"/>
      <c r="Z177" s="130"/>
      <c r="AA177" s="130"/>
      <c r="AB177" s="130"/>
      <c r="AC177" s="130"/>
      <c r="AD177" s="130"/>
      <c r="AE177" s="130"/>
      <c r="AF177" s="130"/>
      <c r="AG177" s="130"/>
      <c r="AH177" s="130"/>
      <c r="AI177" s="130"/>
      <c r="AJ177" s="130"/>
      <c r="AK177" s="130"/>
      <c r="AL177" s="130"/>
      <c r="AM177" s="130"/>
      <c r="AN177" s="130"/>
      <c r="AO177" s="130"/>
      <c r="AP177" s="130"/>
      <c r="AQ177" s="130"/>
      <c r="AR177" s="130"/>
      <c r="AS177" s="130"/>
      <c r="AT177" s="130"/>
      <c r="AU177" s="130"/>
      <c r="AV177" s="130"/>
      <c r="AW177" s="130"/>
      <c r="AX177" s="130"/>
      <c r="AY177" s="130"/>
      <c r="AZ177" s="130"/>
      <c r="BA177" s="130"/>
      <c r="BB177" s="130"/>
      <c r="BC177" s="130"/>
      <c r="BD177" s="130"/>
      <c r="BE177" s="130"/>
      <c r="BF177" s="130"/>
    </row>
    <row r="178" spans="1:58" s="129" customFormat="1" ht="57">
      <c r="A178" s="389" t="s">
        <v>2176</v>
      </c>
      <c r="B178" s="200" t="s">
        <v>2177</v>
      </c>
      <c r="C178" s="189">
        <v>2</v>
      </c>
      <c r="D178" s="189">
        <v>3</v>
      </c>
      <c r="E178" s="189">
        <v>4</v>
      </c>
      <c r="F178" s="189"/>
      <c r="G178" s="189"/>
      <c r="H178" s="189"/>
      <c r="I178" s="189"/>
      <c r="J178" s="189"/>
      <c r="K178" s="189"/>
      <c r="L178" s="189"/>
      <c r="M178" s="128"/>
      <c r="N178" s="128"/>
      <c r="O178" s="128"/>
      <c r="P178" s="128"/>
      <c r="Q178" s="128"/>
      <c r="R178" s="128"/>
      <c r="S178" s="128"/>
      <c r="T178" s="128"/>
      <c r="U178" s="128"/>
      <c r="V178" s="130"/>
      <c r="W178" s="130"/>
      <c r="X178" s="130"/>
      <c r="Y178" s="130"/>
      <c r="Z178" s="130"/>
      <c r="AA178" s="130"/>
      <c r="AB178" s="130"/>
      <c r="AC178" s="130"/>
      <c r="AD178" s="130"/>
      <c r="AE178" s="130"/>
      <c r="AF178" s="130"/>
      <c r="AG178" s="130"/>
      <c r="AH178" s="130"/>
      <c r="AI178" s="130"/>
      <c r="AJ178" s="130"/>
      <c r="AK178" s="130"/>
      <c r="AL178" s="130"/>
      <c r="AM178" s="130"/>
      <c r="AN178" s="130"/>
      <c r="AO178" s="130"/>
      <c r="AP178" s="130"/>
      <c r="AQ178" s="130"/>
      <c r="AR178" s="130"/>
      <c r="AS178" s="130"/>
      <c r="AT178" s="130"/>
      <c r="AU178" s="130"/>
      <c r="AV178" s="130"/>
      <c r="AW178" s="130"/>
      <c r="AX178" s="130"/>
      <c r="AY178" s="130"/>
      <c r="AZ178" s="130"/>
      <c r="BA178" s="130"/>
      <c r="BB178" s="130"/>
      <c r="BC178" s="130"/>
      <c r="BD178" s="130"/>
      <c r="BE178" s="130"/>
      <c r="BF178" s="130"/>
    </row>
    <row r="179" spans="1:58" s="129" customFormat="1" ht="16">
      <c r="A179" s="390"/>
      <c r="B179" s="156" t="s">
        <v>2146</v>
      </c>
      <c r="C179" s="157"/>
      <c r="D179" s="157"/>
      <c r="E179" s="157"/>
      <c r="F179" s="157"/>
      <c r="G179" s="157"/>
      <c r="H179" s="157"/>
      <c r="I179" s="157"/>
      <c r="J179" s="157"/>
      <c r="K179" s="157"/>
      <c r="L179" s="157"/>
      <c r="O179" s="128"/>
      <c r="P179" s="128"/>
      <c r="Q179" s="128"/>
      <c r="R179" s="128"/>
      <c r="S179" s="128"/>
      <c r="T179" s="128"/>
      <c r="U179" s="128"/>
      <c r="V179" s="130"/>
      <c r="W179" s="130"/>
      <c r="X179" s="130"/>
      <c r="Y179" s="130"/>
      <c r="Z179" s="130"/>
      <c r="AA179" s="130"/>
      <c r="AB179" s="130"/>
      <c r="AC179" s="130"/>
      <c r="AD179" s="130"/>
      <c r="AE179" s="130"/>
      <c r="AF179" s="130"/>
      <c r="AG179" s="130"/>
      <c r="AH179" s="130"/>
      <c r="AI179" s="130"/>
      <c r="AJ179" s="130"/>
      <c r="AK179" s="130"/>
      <c r="AL179" s="130"/>
      <c r="AM179" s="130"/>
      <c r="AN179" s="130"/>
      <c r="AO179" s="130"/>
      <c r="AP179" s="130"/>
      <c r="AQ179" s="130"/>
      <c r="AR179" s="130"/>
      <c r="AS179" s="130"/>
      <c r="AT179" s="130"/>
      <c r="AU179" s="130"/>
      <c r="AV179" s="130"/>
      <c r="AW179" s="130"/>
      <c r="AX179" s="130"/>
      <c r="AY179" s="130"/>
      <c r="AZ179" s="130"/>
      <c r="BA179" s="130"/>
      <c r="BB179" s="130"/>
      <c r="BC179" s="130"/>
      <c r="BD179" s="130"/>
      <c r="BE179" s="130"/>
      <c r="BF179" s="130"/>
    </row>
    <row r="180" spans="1:58" s="129" customFormat="1" ht="16">
      <c r="A180" s="390"/>
      <c r="B180" s="156" t="s">
        <v>2148</v>
      </c>
      <c r="C180" s="157">
        <v>2</v>
      </c>
      <c r="D180" s="157" t="s">
        <v>2178</v>
      </c>
      <c r="E180" s="157">
        <v>2</v>
      </c>
      <c r="F180" s="157"/>
      <c r="G180" s="157"/>
      <c r="H180" s="157"/>
      <c r="I180" s="157"/>
      <c r="J180" s="157"/>
      <c r="K180" s="157"/>
      <c r="L180" s="157"/>
      <c r="O180" s="128"/>
      <c r="P180" s="128"/>
      <c r="Q180" s="128"/>
      <c r="R180" s="128"/>
      <c r="S180" s="128"/>
      <c r="T180" s="128"/>
      <c r="U180" s="128"/>
      <c r="V180" s="130"/>
      <c r="W180" s="130"/>
      <c r="X180" s="130"/>
      <c r="Y180" s="130"/>
      <c r="Z180" s="130"/>
      <c r="AA180" s="130"/>
      <c r="AB180" s="130"/>
      <c r="AC180" s="130"/>
      <c r="AD180" s="130"/>
      <c r="AE180" s="130"/>
      <c r="AF180" s="130"/>
      <c r="AG180" s="130"/>
      <c r="AH180" s="130"/>
      <c r="AI180" s="130"/>
      <c r="AJ180" s="130"/>
      <c r="AK180" s="130"/>
      <c r="AL180" s="130"/>
      <c r="AM180" s="130"/>
      <c r="AN180" s="130"/>
      <c r="AO180" s="130"/>
      <c r="AP180" s="130"/>
      <c r="AQ180" s="130"/>
      <c r="AR180" s="130"/>
      <c r="AS180" s="130"/>
      <c r="AT180" s="130"/>
      <c r="AU180" s="130"/>
      <c r="AV180" s="130"/>
      <c r="AW180" s="130"/>
      <c r="AX180" s="130"/>
      <c r="AY180" s="130"/>
      <c r="AZ180" s="130"/>
      <c r="BA180" s="130"/>
      <c r="BB180" s="130"/>
      <c r="BC180" s="130"/>
      <c r="BD180" s="130"/>
      <c r="BE180" s="130"/>
      <c r="BF180" s="130"/>
    </row>
    <row r="181" spans="1:58" s="129" customFormat="1" ht="16">
      <c r="A181" s="390"/>
      <c r="B181" s="156" t="s">
        <v>2151</v>
      </c>
      <c r="C181" s="157"/>
      <c r="D181" s="157"/>
      <c r="E181" s="157" t="s">
        <v>2152</v>
      </c>
      <c r="F181" s="157"/>
      <c r="G181" s="157"/>
      <c r="H181" s="157"/>
      <c r="I181" s="157"/>
      <c r="J181" s="157"/>
      <c r="K181" s="157"/>
      <c r="L181" s="157"/>
      <c r="O181" s="128"/>
      <c r="P181" s="128"/>
      <c r="Q181" s="128"/>
      <c r="R181" s="128"/>
      <c r="S181" s="128"/>
      <c r="T181" s="128"/>
      <c r="U181" s="128"/>
      <c r="V181" s="130"/>
      <c r="W181" s="130"/>
      <c r="X181" s="130"/>
      <c r="Y181" s="130"/>
      <c r="Z181" s="130"/>
      <c r="AA181" s="130"/>
      <c r="AB181" s="130"/>
      <c r="AC181" s="130"/>
      <c r="AD181" s="130"/>
      <c r="AE181" s="130"/>
      <c r="AF181" s="130"/>
      <c r="AG181" s="130"/>
      <c r="AH181" s="130"/>
      <c r="AI181" s="130"/>
      <c r="AJ181" s="130"/>
      <c r="AK181" s="130"/>
      <c r="AL181" s="130"/>
      <c r="AM181" s="130"/>
      <c r="AN181" s="130"/>
      <c r="AO181" s="130"/>
      <c r="AP181" s="130"/>
      <c r="AQ181" s="130"/>
      <c r="AR181" s="130"/>
      <c r="AS181" s="130"/>
      <c r="AT181" s="130"/>
      <c r="AU181" s="130"/>
      <c r="AV181" s="130"/>
      <c r="AW181" s="130"/>
      <c r="AX181" s="130"/>
      <c r="AY181" s="130"/>
      <c r="AZ181" s="130"/>
      <c r="BA181" s="130"/>
      <c r="BB181" s="130"/>
      <c r="BC181" s="130"/>
      <c r="BD181" s="130"/>
      <c r="BE181" s="130"/>
      <c r="BF181" s="130"/>
    </row>
    <row r="182" spans="1:58" s="129" customFormat="1" ht="16">
      <c r="A182" s="390"/>
      <c r="B182" s="156" t="s">
        <v>2154</v>
      </c>
      <c r="C182" s="157"/>
      <c r="D182" s="157"/>
      <c r="E182" s="157"/>
      <c r="F182" s="157"/>
      <c r="G182" s="157"/>
      <c r="H182" s="157"/>
      <c r="I182" s="157"/>
      <c r="J182" s="157"/>
      <c r="K182" s="157"/>
      <c r="L182" s="157"/>
      <c r="O182" s="128"/>
      <c r="P182" s="128"/>
      <c r="Q182" s="128"/>
      <c r="R182" s="128"/>
      <c r="S182" s="128"/>
      <c r="T182" s="128"/>
      <c r="U182" s="128"/>
      <c r="V182" s="130"/>
      <c r="W182" s="130"/>
      <c r="X182" s="130"/>
      <c r="Y182" s="130"/>
      <c r="Z182" s="130"/>
      <c r="AA182" s="130"/>
      <c r="AB182" s="130"/>
      <c r="AC182" s="130"/>
      <c r="AD182" s="130"/>
      <c r="AE182" s="130"/>
      <c r="AF182" s="130"/>
      <c r="AG182" s="130"/>
      <c r="AH182" s="130"/>
      <c r="AI182" s="130"/>
      <c r="AJ182" s="130"/>
      <c r="AK182" s="130"/>
      <c r="AL182" s="130"/>
      <c r="AM182" s="130"/>
      <c r="AN182" s="130"/>
      <c r="AO182" s="130"/>
      <c r="AP182" s="130"/>
      <c r="AQ182" s="130"/>
      <c r="AR182" s="130"/>
      <c r="AS182" s="130"/>
      <c r="AT182" s="130"/>
      <c r="AU182" s="130"/>
      <c r="AV182" s="130"/>
      <c r="AW182" s="130"/>
      <c r="AX182" s="130"/>
      <c r="AY182" s="130"/>
      <c r="AZ182" s="130"/>
      <c r="BA182" s="130"/>
      <c r="BB182" s="130"/>
      <c r="BC182" s="130"/>
      <c r="BD182" s="130"/>
      <c r="BE182" s="130"/>
      <c r="BF182" s="130"/>
    </row>
    <row r="183" spans="1:58" s="129" customFormat="1" ht="16">
      <c r="A183" s="390"/>
      <c r="B183" s="156" t="s">
        <v>2156</v>
      </c>
      <c r="C183" s="157"/>
      <c r="D183" s="157"/>
      <c r="E183" s="157"/>
      <c r="F183" s="157"/>
      <c r="G183" s="157"/>
      <c r="H183" s="157"/>
      <c r="I183" s="157"/>
      <c r="J183" s="157"/>
      <c r="K183" s="157"/>
      <c r="L183" s="157"/>
      <c r="O183" s="128"/>
      <c r="P183" s="128"/>
      <c r="Q183" s="128"/>
      <c r="R183" s="128"/>
      <c r="S183" s="128"/>
      <c r="T183" s="128"/>
      <c r="U183" s="128"/>
      <c r="V183" s="130"/>
      <c r="W183" s="130"/>
      <c r="X183" s="130"/>
      <c r="Y183" s="130"/>
      <c r="Z183" s="130"/>
      <c r="AA183" s="130"/>
      <c r="AB183" s="130"/>
      <c r="AC183" s="130"/>
      <c r="AD183" s="130"/>
      <c r="AE183" s="130"/>
      <c r="AF183" s="130"/>
      <c r="AG183" s="130"/>
      <c r="AH183" s="130"/>
      <c r="AI183" s="130"/>
      <c r="AJ183" s="130"/>
      <c r="AK183" s="130"/>
      <c r="AL183" s="130"/>
      <c r="AM183" s="130"/>
      <c r="AN183" s="130"/>
      <c r="AO183" s="130"/>
      <c r="AP183" s="130"/>
      <c r="AQ183" s="130"/>
      <c r="AR183" s="130"/>
      <c r="AS183" s="130"/>
      <c r="AT183" s="130"/>
      <c r="AU183" s="130"/>
      <c r="AV183" s="130"/>
      <c r="AW183" s="130"/>
      <c r="AX183" s="130"/>
      <c r="AY183" s="130"/>
      <c r="AZ183" s="130"/>
      <c r="BA183" s="130"/>
      <c r="BB183" s="130"/>
      <c r="BC183" s="130"/>
      <c r="BD183" s="130"/>
      <c r="BE183" s="130"/>
      <c r="BF183" s="130"/>
    </row>
    <row r="184" spans="1:58" s="129" customFormat="1" ht="16">
      <c r="A184" s="390"/>
      <c r="B184" s="156" t="s">
        <v>2109</v>
      </c>
      <c r="C184" s="157"/>
      <c r="D184" s="157"/>
      <c r="E184" s="157"/>
      <c r="F184" s="157"/>
      <c r="G184" s="157"/>
      <c r="H184" s="157"/>
      <c r="I184" s="157"/>
      <c r="J184" s="157"/>
      <c r="K184" s="157"/>
      <c r="L184" s="157"/>
      <c r="O184" s="128"/>
      <c r="P184" s="128"/>
      <c r="Q184" s="128"/>
      <c r="R184" s="128"/>
      <c r="S184" s="128"/>
      <c r="T184" s="128"/>
      <c r="U184" s="128"/>
      <c r="V184" s="130"/>
      <c r="W184" s="130"/>
      <c r="X184" s="130"/>
      <c r="Y184" s="130"/>
      <c r="Z184" s="130"/>
      <c r="AA184" s="130"/>
      <c r="AB184" s="130"/>
      <c r="AC184" s="130"/>
      <c r="AD184" s="130"/>
      <c r="AE184" s="130"/>
      <c r="AF184" s="130"/>
      <c r="AG184" s="130"/>
      <c r="AH184" s="130"/>
      <c r="AI184" s="130"/>
      <c r="AJ184" s="130"/>
      <c r="AK184" s="130"/>
      <c r="AL184" s="130"/>
      <c r="AM184" s="130"/>
      <c r="AN184" s="130"/>
      <c r="AO184" s="130"/>
      <c r="AP184" s="130"/>
      <c r="AQ184" s="130"/>
      <c r="AR184" s="130"/>
      <c r="AS184" s="130"/>
      <c r="AT184" s="130"/>
      <c r="AU184" s="130"/>
      <c r="AV184" s="130"/>
      <c r="AW184" s="130"/>
      <c r="AX184" s="130"/>
      <c r="AY184" s="130"/>
      <c r="AZ184" s="130"/>
      <c r="BA184" s="130"/>
      <c r="BB184" s="130"/>
      <c r="BC184" s="130"/>
      <c r="BD184" s="130"/>
      <c r="BE184" s="130"/>
      <c r="BF184" s="130"/>
    </row>
    <row r="185" spans="1:58" s="129" customFormat="1" ht="16">
      <c r="A185" s="391"/>
      <c r="B185" s="139" t="s">
        <v>2179</v>
      </c>
      <c r="C185" s="141" t="s">
        <v>2180</v>
      </c>
      <c r="D185" s="141" t="s">
        <v>2180</v>
      </c>
      <c r="E185" s="141" t="s">
        <v>2181</v>
      </c>
      <c r="F185" s="141"/>
      <c r="G185" s="141"/>
      <c r="H185" s="141"/>
      <c r="I185" s="141"/>
      <c r="J185" s="141"/>
      <c r="K185" s="141"/>
      <c r="L185" s="141"/>
      <c r="O185" s="128"/>
      <c r="P185" s="128"/>
      <c r="Q185" s="128"/>
      <c r="R185" s="128"/>
      <c r="S185" s="128"/>
      <c r="T185" s="128"/>
      <c r="U185" s="128"/>
      <c r="V185" s="130"/>
      <c r="W185" s="130"/>
      <c r="X185" s="130"/>
      <c r="Y185" s="130"/>
      <c r="Z185" s="130"/>
      <c r="AA185" s="130"/>
      <c r="AB185" s="130"/>
      <c r="AC185" s="130"/>
      <c r="AD185" s="130"/>
      <c r="AE185" s="130"/>
      <c r="AF185" s="130"/>
      <c r="AG185" s="130"/>
      <c r="AH185" s="130"/>
      <c r="AI185" s="130"/>
      <c r="AJ185" s="130"/>
      <c r="AK185" s="130"/>
      <c r="AL185" s="130"/>
      <c r="AM185" s="130"/>
      <c r="AN185" s="130"/>
      <c r="AO185" s="130"/>
      <c r="AP185" s="130"/>
      <c r="AQ185" s="130"/>
      <c r="AR185" s="130"/>
      <c r="AS185" s="130"/>
      <c r="AT185" s="130"/>
      <c r="AU185" s="130"/>
      <c r="AV185" s="130"/>
      <c r="AW185" s="130"/>
      <c r="AX185" s="130"/>
      <c r="AY185" s="130"/>
      <c r="AZ185" s="130"/>
      <c r="BA185" s="130"/>
      <c r="BB185" s="130"/>
      <c r="BC185" s="130"/>
      <c r="BD185" s="130"/>
      <c r="BE185" s="130"/>
      <c r="BF185" s="130"/>
    </row>
    <row r="186" spans="1:58" s="129" customFormat="1" ht="16">
      <c r="C186" s="128"/>
      <c r="D186" s="128"/>
      <c r="E186" s="128"/>
      <c r="F186" s="128"/>
      <c r="G186" s="128"/>
      <c r="H186" s="128"/>
      <c r="I186" s="128"/>
      <c r="J186" s="128"/>
      <c r="K186" s="128"/>
      <c r="L186" s="128"/>
      <c r="M186" s="128"/>
      <c r="N186" s="128"/>
      <c r="O186" s="128"/>
      <c r="P186" s="128"/>
      <c r="Q186" s="128"/>
      <c r="R186" s="128"/>
      <c r="S186" s="128"/>
      <c r="T186" s="128"/>
      <c r="U186" s="128"/>
      <c r="V186" s="130"/>
      <c r="W186" s="130"/>
      <c r="X186" s="130"/>
      <c r="Y186" s="130"/>
      <c r="Z186" s="130"/>
      <c r="AA186" s="130"/>
      <c r="AB186" s="130"/>
      <c r="AC186" s="130"/>
      <c r="AD186" s="130"/>
      <c r="AE186" s="130"/>
      <c r="AF186" s="130"/>
      <c r="AG186" s="130"/>
      <c r="AH186" s="130"/>
      <c r="AI186" s="130"/>
      <c r="AJ186" s="130"/>
      <c r="AK186" s="130"/>
      <c r="AL186" s="130"/>
      <c r="AM186" s="130"/>
      <c r="AN186" s="130"/>
      <c r="AO186" s="130"/>
      <c r="AP186" s="130"/>
      <c r="AQ186" s="130"/>
      <c r="AR186" s="130"/>
      <c r="AS186" s="130"/>
      <c r="AT186" s="130"/>
      <c r="AU186" s="130"/>
      <c r="AV186" s="130"/>
      <c r="AW186" s="130"/>
      <c r="AX186" s="130"/>
      <c r="AY186" s="130"/>
      <c r="AZ186" s="130"/>
      <c r="BA186" s="130"/>
      <c r="BB186" s="130"/>
      <c r="BC186" s="130"/>
      <c r="BD186" s="130"/>
      <c r="BE186" s="130"/>
      <c r="BF186" s="130"/>
    </row>
    <row r="187" spans="1:58" s="129" customFormat="1" ht="74">
      <c r="A187" s="389" t="s">
        <v>2182</v>
      </c>
      <c r="B187" s="200" t="s">
        <v>2183</v>
      </c>
      <c r="C187" s="189">
        <v>2</v>
      </c>
      <c r="D187" s="189">
        <v>3</v>
      </c>
      <c r="E187" s="189">
        <v>4</v>
      </c>
      <c r="F187" s="189"/>
      <c r="G187" s="189"/>
      <c r="H187" s="189"/>
      <c r="I187" s="189"/>
      <c r="J187" s="189"/>
      <c r="K187" s="189"/>
      <c r="L187" s="189"/>
      <c r="M187" s="128"/>
      <c r="N187" s="128"/>
      <c r="O187" s="128"/>
      <c r="P187" s="128"/>
      <c r="Q187" s="128"/>
      <c r="R187" s="128"/>
      <c r="S187" s="128"/>
      <c r="T187" s="128"/>
      <c r="U187" s="128"/>
      <c r="V187" s="130"/>
      <c r="W187" s="130"/>
      <c r="X187" s="130"/>
      <c r="Y187" s="130"/>
      <c r="Z187" s="130"/>
      <c r="AA187" s="130"/>
      <c r="AB187" s="130"/>
      <c r="AC187" s="130"/>
      <c r="AD187" s="130"/>
      <c r="AE187" s="130"/>
      <c r="AF187" s="130"/>
      <c r="AG187" s="130"/>
      <c r="AH187" s="130"/>
      <c r="AI187" s="130"/>
      <c r="AJ187" s="130"/>
      <c r="AK187" s="130"/>
      <c r="AL187" s="130"/>
      <c r="AM187" s="130"/>
      <c r="AN187" s="130"/>
      <c r="AO187" s="130"/>
      <c r="AP187" s="130"/>
      <c r="AQ187" s="130"/>
      <c r="AR187" s="130"/>
      <c r="AS187" s="130"/>
      <c r="AT187" s="130"/>
      <c r="AU187" s="130"/>
      <c r="AV187" s="130"/>
      <c r="AW187" s="130"/>
      <c r="AX187" s="130"/>
      <c r="AY187" s="130"/>
      <c r="AZ187" s="130"/>
      <c r="BA187" s="130"/>
      <c r="BB187" s="130"/>
      <c r="BC187" s="130"/>
      <c r="BD187" s="130"/>
      <c r="BE187" s="130"/>
      <c r="BF187" s="130"/>
    </row>
    <row r="188" spans="1:58" s="129" customFormat="1" ht="16">
      <c r="A188" s="390"/>
      <c r="B188" s="156" t="s">
        <v>2146</v>
      </c>
      <c r="C188" s="157"/>
      <c r="D188" s="157"/>
      <c r="E188" s="157"/>
      <c r="F188" s="157"/>
      <c r="G188" s="157"/>
      <c r="H188" s="157"/>
      <c r="I188" s="157"/>
      <c r="J188" s="157"/>
      <c r="K188" s="157"/>
      <c r="L188" s="157"/>
      <c r="O188" s="128"/>
      <c r="P188" s="128"/>
      <c r="Q188" s="128"/>
      <c r="R188" s="128"/>
      <c r="S188" s="128"/>
      <c r="T188" s="128"/>
      <c r="U188" s="128"/>
      <c r="V188" s="130"/>
      <c r="W188" s="130"/>
      <c r="X188" s="130"/>
      <c r="Y188" s="130"/>
      <c r="Z188" s="130"/>
      <c r="AA188" s="130"/>
      <c r="AB188" s="130"/>
      <c r="AC188" s="130"/>
      <c r="AD188" s="130"/>
      <c r="AE188" s="130"/>
      <c r="AF188" s="130"/>
      <c r="AG188" s="130"/>
      <c r="AH188" s="130"/>
      <c r="AI188" s="130"/>
      <c r="AJ188" s="130"/>
      <c r="AK188" s="130"/>
      <c r="AL188" s="130"/>
      <c r="AM188" s="130"/>
      <c r="AN188" s="130"/>
      <c r="AO188" s="130"/>
      <c r="AP188" s="130"/>
      <c r="AQ188" s="130"/>
      <c r="AR188" s="130"/>
      <c r="AS188" s="130"/>
      <c r="AT188" s="130"/>
      <c r="AU188" s="130"/>
      <c r="AV188" s="130"/>
      <c r="AW188" s="130"/>
      <c r="AX188" s="130"/>
      <c r="AY188" s="130"/>
      <c r="AZ188" s="130"/>
      <c r="BA188" s="130"/>
      <c r="BB188" s="130"/>
      <c r="BC188" s="130"/>
      <c r="BD188" s="130"/>
      <c r="BE188" s="130"/>
      <c r="BF188" s="130"/>
    </row>
    <row r="189" spans="1:58" s="129" customFormat="1" ht="16">
      <c r="A189" s="390"/>
      <c r="B189" s="156" t="s">
        <v>2148</v>
      </c>
      <c r="C189" s="157">
        <v>2</v>
      </c>
      <c r="D189" s="157" t="s">
        <v>2178</v>
      </c>
      <c r="E189" s="157">
        <v>2</v>
      </c>
      <c r="F189" s="157"/>
      <c r="G189" s="157"/>
      <c r="H189" s="157"/>
      <c r="I189" s="157"/>
      <c r="J189" s="157"/>
      <c r="K189" s="157"/>
      <c r="L189" s="157"/>
      <c r="O189" s="128"/>
      <c r="P189" s="128"/>
      <c r="Q189" s="128"/>
      <c r="R189" s="128"/>
      <c r="S189" s="128"/>
      <c r="T189" s="128"/>
      <c r="U189" s="128"/>
      <c r="V189" s="130"/>
      <c r="W189" s="130"/>
      <c r="X189" s="130"/>
      <c r="Y189" s="130"/>
      <c r="Z189" s="130"/>
      <c r="AA189" s="130"/>
      <c r="AB189" s="130"/>
      <c r="AC189" s="130"/>
      <c r="AD189" s="130"/>
      <c r="AE189" s="130"/>
      <c r="AF189" s="130"/>
      <c r="AG189" s="130"/>
      <c r="AH189" s="130"/>
      <c r="AI189" s="130"/>
      <c r="AJ189" s="130"/>
      <c r="AK189" s="130"/>
      <c r="AL189" s="130"/>
      <c r="AM189" s="130"/>
      <c r="AN189" s="130"/>
      <c r="AO189" s="130"/>
      <c r="AP189" s="130"/>
      <c r="AQ189" s="130"/>
      <c r="AR189" s="130"/>
      <c r="AS189" s="130"/>
      <c r="AT189" s="130"/>
      <c r="AU189" s="130"/>
      <c r="AV189" s="130"/>
      <c r="AW189" s="130"/>
      <c r="AX189" s="130"/>
      <c r="AY189" s="130"/>
      <c r="AZ189" s="130"/>
      <c r="BA189" s="130"/>
      <c r="BB189" s="130"/>
      <c r="BC189" s="130"/>
      <c r="BD189" s="130"/>
      <c r="BE189" s="130"/>
      <c r="BF189" s="130"/>
    </row>
    <row r="190" spans="1:58" s="129" customFormat="1" ht="16">
      <c r="A190" s="390"/>
      <c r="B190" s="156" t="s">
        <v>2151</v>
      </c>
      <c r="C190" s="157"/>
      <c r="D190" s="157"/>
      <c r="E190" s="157" t="s">
        <v>2152</v>
      </c>
      <c r="F190" s="157"/>
      <c r="G190" s="157"/>
      <c r="H190" s="157"/>
      <c r="I190" s="157"/>
      <c r="J190" s="157"/>
      <c r="K190" s="157"/>
      <c r="L190" s="157"/>
      <c r="O190" s="128"/>
      <c r="P190" s="128"/>
      <c r="Q190" s="128"/>
      <c r="R190" s="128"/>
      <c r="S190" s="128"/>
      <c r="T190" s="128"/>
      <c r="U190" s="128"/>
      <c r="V190" s="130"/>
      <c r="W190" s="130"/>
      <c r="X190" s="130"/>
      <c r="Y190" s="130"/>
      <c r="Z190" s="130"/>
      <c r="AA190" s="130"/>
      <c r="AB190" s="130"/>
      <c r="AC190" s="130"/>
      <c r="AD190" s="130"/>
      <c r="AE190" s="130"/>
      <c r="AF190" s="130"/>
      <c r="AG190" s="130"/>
      <c r="AH190" s="130"/>
      <c r="AI190" s="130"/>
      <c r="AJ190" s="130"/>
      <c r="AK190" s="130"/>
      <c r="AL190" s="130"/>
      <c r="AM190" s="130"/>
      <c r="AN190" s="130"/>
      <c r="AO190" s="130"/>
      <c r="AP190" s="130"/>
      <c r="AQ190" s="130"/>
      <c r="AR190" s="130"/>
      <c r="AS190" s="130"/>
      <c r="AT190" s="130"/>
      <c r="AU190" s="130"/>
      <c r="AV190" s="130"/>
      <c r="AW190" s="130"/>
      <c r="AX190" s="130"/>
      <c r="AY190" s="130"/>
      <c r="AZ190" s="130"/>
      <c r="BA190" s="130"/>
      <c r="BB190" s="130"/>
      <c r="BC190" s="130"/>
      <c r="BD190" s="130"/>
      <c r="BE190" s="130"/>
      <c r="BF190" s="130"/>
    </row>
    <row r="191" spans="1:58" s="129" customFormat="1" ht="16">
      <c r="A191" s="390"/>
      <c r="B191" s="156" t="s">
        <v>2154</v>
      </c>
      <c r="C191" s="157"/>
      <c r="D191" s="157"/>
      <c r="E191" s="157"/>
      <c r="F191" s="157"/>
      <c r="G191" s="157"/>
      <c r="H191" s="157"/>
      <c r="I191" s="157"/>
      <c r="J191" s="157"/>
      <c r="K191" s="157"/>
      <c r="L191" s="157"/>
      <c r="O191" s="128"/>
      <c r="P191" s="128"/>
      <c r="Q191" s="128"/>
      <c r="R191" s="128"/>
      <c r="S191" s="128"/>
      <c r="T191" s="128"/>
      <c r="U191" s="128"/>
      <c r="V191" s="130"/>
      <c r="W191" s="130"/>
      <c r="X191" s="130"/>
      <c r="Y191" s="130"/>
      <c r="Z191" s="130"/>
      <c r="AA191" s="130"/>
      <c r="AB191" s="130"/>
      <c r="AC191" s="130"/>
      <c r="AD191" s="130"/>
      <c r="AE191" s="130"/>
      <c r="AF191" s="130"/>
      <c r="AG191" s="130"/>
      <c r="AH191" s="130"/>
      <c r="AI191" s="130"/>
      <c r="AJ191" s="130"/>
      <c r="AK191" s="130"/>
      <c r="AL191" s="130"/>
      <c r="AM191" s="130"/>
      <c r="AN191" s="130"/>
      <c r="AO191" s="130"/>
      <c r="AP191" s="130"/>
      <c r="AQ191" s="130"/>
      <c r="AR191" s="130"/>
      <c r="AS191" s="130"/>
      <c r="AT191" s="130"/>
      <c r="AU191" s="130"/>
      <c r="AV191" s="130"/>
      <c r="AW191" s="130"/>
      <c r="AX191" s="130"/>
      <c r="AY191" s="130"/>
      <c r="AZ191" s="130"/>
      <c r="BA191" s="130"/>
      <c r="BB191" s="130"/>
      <c r="BC191" s="130"/>
      <c r="BD191" s="130"/>
      <c r="BE191" s="130"/>
      <c r="BF191" s="130"/>
    </row>
    <row r="192" spans="1:58" s="129" customFormat="1" ht="16">
      <c r="A192" s="390"/>
      <c r="B192" s="156" t="s">
        <v>2156</v>
      </c>
      <c r="C192" s="157"/>
      <c r="D192" s="157"/>
      <c r="E192" s="157"/>
      <c r="F192" s="157"/>
      <c r="G192" s="157"/>
      <c r="H192" s="157"/>
      <c r="I192" s="157"/>
      <c r="J192" s="157"/>
      <c r="K192" s="157"/>
      <c r="L192" s="157"/>
      <c r="O192" s="128"/>
      <c r="P192" s="128"/>
      <c r="Q192" s="128"/>
      <c r="R192" s="128"/>
      <c r="S192" s="128"/>
      <c r="T192" s="128"/>
      <c r="U192" s="128"/>
      <c r="V192" s="130"/>
      <c r="W192" s="130"/>
      <c r="X192" s="130"/>
      <c r="Y192" s="130"/>
      <c r="Z192" s="130"/>
      <c r="AA192" s="130"/>
      <c r="AB192" s="130"/>
      <c r="AC192" s="130"/>
      <c r="AD192" s="130"/>
      <c r="AE192" s="130"/>
      <c r="AF192" s="130"/>
      <c r="AG192" s="130"/>
      <c r="AH192" s="130"/>
      <c r="AI192" s="130"/>
      <c r="AJ192" s="130"/>
      <c r="AK192" s="130"/>
      <c r="AL192" s="130"/>
      <c r="AM192" s="130"/>
      <c r="AN192" s="130"/>
      <c r="AO192" s="130"/>
      <c r="AP192" s="130"/>
      <c r="AQ192" s="130"/>
      <c r="AR192" s="130"/>
      <c r="AS192" s="130"/>
      <c r="AT192" s="130"/>
      <c r="AU192" s="130"/>
      <c r="AV192" s="130"/>
      <c r="AW192" s="130"/>
      <c r="AX192" s="130"/>
      <c r="AY192" s="130"/>
      <c r="AZ192" s="130"/>
      <c r="BA192" s="130"/>
      <c r="BB192" s="130"/>
      <c r="BC192" s="130"/>
      <c r="BD192" s="130"/>
      <c r="BE192" s="130"/>
      <c r="BF192" s="130"/>
    </row>
    <row r="193" spans="1:58" s="129" customFormat="1" ht="16">
      <c r="A193" s="390"/>
      <c r="B193" s="156" t="s">
        <v>2109</v>
      </c>
      <c r="C193" s="157"/>
      <c r="D193" s="157"/>
      <c r="E193" s="157"/>
      <c r="F193" s="157"/>
      <c r="G193" s="157"/>
      <c r="H193" s="157"/>
      <c r="I193" s="157"/>
      <c r="J193" s="157"/>
      <c r="K193" s="157"/>
      <c r="L193" s="157"/>
      <c r="O193" s="128"/>
      <c r="P193" s="128"/>
      <c r="Q193" s="128"/>
      <c r="R193" s="128"/>
      <c r="S193" s="128"/>
      <c r="T193" s="128"/>
      <c r="U193" s="128"/>
      <c r="V193" s="130"/>
      <c r="W193" s="130"/>
      <c r="X193" s="130"/>
      <c r="Y193" s="130"/>
      <c r="Z193" s="130"/>
      <c r="AA193" s="130"/>
      <c r="AB193" s="130"/>
      <c r="AC193" s="130"/>
      <c r="AD193" s="130"/>
      <c r="AE193" s="130"/>
      <c r="AF193" s="130"/>
      <c r="AG193" s="130"/>
      <c r="AH193" s="130"/>
      <c r="AI193" s="130"/>
      <c r="AJ193" s="130"/>
      <c r="AK193" s="130"/>
      <c r="AL193" s="130"/>
      <c r="AM193" s="130"/>
      <c r="AN193" s="130"/>
      <c r="AO193" s="130"/>
      <c r="AP193" s="130"/>
      <c r="AQ193" s="130"/>
      <c r="AR193" s="130"/>
      <c r="AS193" s="130"/>
      <c r="AT193" s="130"/>
      <c r="AU193" s="130"/>
      <c r="AV193" s="130"/>
      <c r="AW193" s="130"/>
      <c r="AX193" s="130"/>
      <c r="AY193" s="130"/>
      <c r="AZ193" s="130"/>
      <c r="BA193" s="130"/>
      <c r="BB193" s="130"/>
      <c r="BC193" s="130"/>
      <c r="BD193" s="130"/>
      <c r="BE193" s="130"/>
      <c r="BF193" s="130"/>
    </row>
    <row r="194" spans="1:58" s="129" customFormat="1" ht="16">
      <c r="A194" s="391"/>
      <c r="B194" s="139" t="s">
        <v>2179</v>
      </c>
      <c r="C194" s="141" t="s">
        <v>2180</v>
      </c>
      <c r="D194" s="141" t="s">
        <v>2180</v>
      </c>
      <c r="E194" s="141" t="s">
        <v>2181</v>
      </c>
      <c r="F194" s="141"/>
      <c r="G194" s="141"/>
      <c r="H194" s="141"/>
      <c r="I194" s="141"/>
      <c r="J194" s="141"/>
      <c r="K194" s="141"/>
      <c r="L194" s="141"/>
      <c r="O194" s="128"/>
      <c r="P194" s="128"/>
      <c r="Q194" s="128"/>
      <c r="R194" s="128"/>
      <c r="S194" s="128"/>
      <c r="T194" s="128"/>
      <c r="U194" s="128"/>
      <c r="V194" s="130"/>
      <c r="W194" s="130"/>
      <c r="X194" s="130"/>
      <c r="Y194" s="130"/>
      <c r="Z194" s="130"/>
      <c r="AA194" s="130"/>
      <c r="AB194" s="130"/>
      <c r="AC194" s="130"/>
      <c r="AD194" s="130"/>
      <c r="AE194" s="130"/>
      <c r="AF194" s="130"/>
      <c r="AG194" s="130"/>
      <c r="AH194" s="130"/>
      <c r="AI194" s="130"/>
      <c r="AJ194" s="130"/>
      <c r="AK194" s="130"/>
      <c r="AL194" s="130"/>
      <c r="AM194" s="130"/>
      <c r="AN194" s="130"/>
      <c r="AO194" s="130"/>
      <c r="AP194" s="130"/>
      <c r="AQ194" s="130"/>
      <c r="AR194" s="130"/>
      <c r="AS194" s="130"/>
      <c r="AT194" s="130"/>
      <c r="AU194" s="130"/>
      <c r="AV194" s="130"/>
      <c r="AW194" s="130"/>
      <c r="AX194" s="130"/>
      <c r="AY194" s="130"/>
      <c r="AZ194" s="130"/>
      <c r="BA194" s="130"/>
      <c r="BB194" s="130"/>
      <c r="BC194" s="130"/>
      <c r="BD194" s="130"/>
      <c r="BE194" s="130"/>
      <c r="BF194" s="130"/>
    </row>
    <row r="195" spans="1:58" s="129" customFormat="1" ht="16">
      <c r="C195" s="128"/>
      <c r="D195" s="128"/>
      <c r="E195" s="128"/>
      <c r="F195" s="128"/>
      <c r="G195" s="128"/>
      <c r="H195" s="128"/>
      <c r="I195" s="128"/>
      <c r="J195" s="128"/>
      <c r="K195" s="128"/>
      <c r="L195" s="128"/>
      <c r="M195" s="128"/>
      <c r="N195" s="128"/>
      <c r="O195" s="128"/>
      <c r="P195" s="128"/>
      <c r="Q195" s="128"/>
      <c r="R195" s="128"/>
      <c r="S195" s="128"/>
      <c r="T195" s="128"/>
      <c r="U195" s="128"/>
      <c r="V195" s="130"/>
      <c r="W195" s="130"/>
      <c r="X195" s="130"/>
      <c r="Y195" s="130"/>
      <c r="Z195" s="130"/>
      <c r="AA195" s="130"/>
      <c r="AB195" s="130"/>
      <c r="AC195" s="130"/>
      <c r="AD195" s="130"/>
      <c r="AE195" s="130"/>
      <c r="AF195" s="130"/>
      <c r="AG195" s="130"/>
      <c r="AH195" s="130"/>
      <c r="AI195" s="130"/>
      <c r="AJ195" s="130"/>
      <c r="AK195" s="130"/>
      <c r="AL195" s="130"/>
      <c r="AM195" s="130"/>
      <c r="AN195" s="130"/>
      <c r="AO195" s="130"/>
      <c r="AP195" s="130"/>
      <c r="AQ195" s="130"/>
      <c r="AR195" s="130"/>
      <c r="AS195" s="130"/>
      <c r="AT195" s="130"/>
      <c r="AU195" s="130"/>
      <c r="AV195" s="130"/>
      <c r="AW195" s="130"/>
      <c r="AX195" s="130"/>
      <c r="AY195" s="130"/>
      <c r="AZ195" s="130"/>
      <c r="BA195" s="130"/>
      <c r="BB195" s="130"/>
      <c r="BC195" s="130"/>
      <c r="BD195" s="130"/>
      <c r="BE195" s="130"/>
      <c r="BF195" s="130"/>
    </row>
    <row r="196" spans="1:58" s="129" customFormat="1" ht="17">
      <c r="A196" s="389" t="s">
        <v>2184</v>
      </c>
      <c r="B196" s="200" t="s">
        <v>2185</v>
      </c>
      <c r="C196" s="189">
        <v>2</v>
      </c>
      <c r="D196" s="189">
        <v>3</v>
      </c>
      <c r="E196" s="189">
        <v>4</v>
      </c>
      <c r="F196" s="189"/>
      <c r="G196" s="189"/>
      <c r="H196" s="189"/>
      <c r="I196" s="189"/>
      <c r="J196" s="189"/>
      <c r="K196" s="189"/>
      <c r="L196" s="189"/>
      <c r="M196" s="128"/>
      <c r="N196" s="128"/>
      <c r="O196" s="128"/>
      <c r="P196" s="128"/>
      <c r="Q196" s="128"/>
      <c r="R196" s="128"/>
      <c r="S196" s="128"/>
      <c r="T196" s="128"/>
      <c r="U196" s="128"/>
      <c r="V196" s="130"/>
      <c r="W196" s="130"/>
      <c r="X196" s="130"/>
      <c r="Y196" s="130"/>
      <c r="Z196" s="130"/>
      <c r="AA196" s="130"/>
      <c r="AB196" s="130"/>
      <c r="AC196" s="130"/>
      <c r="AD196" s="130"/>
      <c r="AE196" s="130"/>
      <c r="AF196" s="130"/>
      <c r="AG196" s="130"/>
      <c r="AH196" s="130"/>
      <c r="AI196" s="130"/>
      <c r="AJ196" s="130"/>
      <c r="AK196" s="130"/>
      <c r="AL196" s="130"/>
      <c r="AM196" s="130"/>
      <c r="AN196" s="130"/>
      <c r="AO196" s="130"/>
      <c r="AP196" s="130"/>
      <c r="AQ196" s="130"/>
      <c r="AR196" s="130"/>
      <c r="AS196" s="130"/>
      <c r="AT196" s="130"/>
      <c r="AU196" s="130"/>
      <c r="AV196" s="130"/>
      <c r="AW196" s="130"/>
      <c r="AX196" s="130"/>
      <c r="AY196" s="130"/>
      <c r="AZ196" s="130"/>
      <c r="BA196" s="130"/>
      <c r="BB196" s="130"/>
      <c r="BC196" s="130"/>
      <c r="BD196" s="130"/>
      <c r="BE196" s="130"/>
      <c r="BF196" s="130"/>
    </row>
    <row r="197" spans="1:58" s="129" customFormat="1" ht="16">
      <c r="A197" s="390"/>
      <c r="B197" s="156" t="s">
        <v>2146</v>
      </c>
      <c r="C197" s="157"/>
      <c r="D197" s="157"/>
      <c r="E197" s="157"/>
      <c r="F197" s="157"/>
      <c r="G197" s="157"/>
      <c r="H197" s="157"/>
      <c r="I197" s="157"/>
      <c r="J197" s="157"/>
      <c r="K197" s="157"/>
      <c r="L197" s="157"/>
      <c r="O197" s="128"/>
      <c r="P197" s="128"/>
      <c r="Q197" s="128"/>
      <c r="R197" s="128"/>
      <c r="S197" s="128"/>
      <c r="T197" s="128"/>
      <c r="U197" s="128"/>
      <c r="V197" s="130"/>
      <c r="W197" s="130"/>
      <c r="X197" s="130"/>
      <c r="Y197" s="130"/>
      <c r="Z197" s="130"/>
      <c r="AA197" s="130"/>
      <c r="AB197" s="130"/>
      <c r="AC197" s="130"/>
      <c r="AD197" s="130"/>
      <c r="AE197" s="130"/>
      <c r="AF197" s="130"/>
      <c r="AG197" s="130"/>
      <c r="AH197" s="130"/>
      <c r="AI197" s="130"/>
      <c r="AJ197" s="130"/>
      <c r="AK197" s="130"/>
      <c r="AL197" s="130"/>
      <c r="AM197" s="130"/>
      <c r="AN197" s="130"/>
      <c r="AO197" s="130"/>
      <c r="AP197" s="130"/>
      <c r="AQ197" s="130"/>
      <c r="AR197" s="130"/>
      <c r="AS197" s="130"/>
      <c r="AT197" s="130"/>
      <c r="AU197" s="130"/>
      <c r="AV197" s="130"/>
      <c r="AW197" s="130"/>
      <c r="AX197" s="130"/>
      <c r="AY197" s="130"/>
      <c r="AZ197" s="130"/>
      <c r="BA197" s="130"/>
      <c r="BB197" s="130"/>
      <c r="BC197" s="130"/>
      <c r="BD197" s="130"/>
      <c r="BE197" s="130"/>
      <c r="BF197" s="130"/>
    </row>
    <row r="198" spans="1:58" s="129" customFormat="1" ht="16">
      <c r="A198" s="390"/>
      <c r="B198" s="156" t="s">
        <v>2148</v>
      </c>
      <c r="C198" s="157" t="s">
        <v>2186</v>
      </c>
      <c r="D198" s="157" t="s">
        <v>1985</v>
      </c>
      <c r="E198" s="157"/>
      <c r="F198" s="157"/>
      <c r="G198" s="157"/>
      <c r="H198" s="157"/>
      <c r="I198" s="157"/>
      <c r="J198" s="157"/>
      <c r="K198" s="157"/>
      <c r="L198" s="157"/>
      <c r="O198" s="128"/>
      <c r="P198" s="128"/>
      <c r="Q198" s="128"/>
      <c r="R198" s="128"/>
      <c r="S198" s="128"/>
      <c r="T198" s="128"/>
      <c r="U198" s="128"/>
      <c r="V198" s="130"/>
      <c r="W198" s="130"/>
      <c r="X198" s="130"/>
      <c r="Y198" s="130"/>
      <c r="Z198" s="130"/>
      <c r="AA198" s="130"/>
      <c r="AB198" s="130"/>
      <c r="AC198" s="130"/>
      <c r="AD198" s="130"/>
      <c r="AE198" s="130"/>
      <c r="AF198" s="130"/>
      <c r="AG198" s="130"/>
      <c r="AH198" s="130"/>
      <c r="AI198" s="130"/>
      <c r="AJ198" s="130"/>
      <c r="AK198" s="130"/>
      <c r="AL198" s="130"/>
      <c r="AM198" s="130"/>
      <c r="AN198" s="130"/>
      <c r="AO198" s="130"/>
      <c r="AP198" s="130"/>
      <c r="AQ198" s="130"/>
      <c r="AR198" s="130"/>
      <c r="AS198" s="130"/>
      <c r="AT198" s="130"/>
      <c r="AU198" s="130"/>
      <c r="AV198" s="130"/>
      <c r="AW198" s="130"/>
      <c r="AX198" s="130"/>
      <c r="AY198" s="130"/>
      <c r="AZ198" s="130"/>
      <c r="BA198" s="130"/>
      <c r="BB198" s="130"/>
      <c r="BC198" s="130"/>
      <c r="BD198" s="130"/>
      <c r="BE198" s="130"/>
      <c r="BF198" s="130"/>
    </row>
    <row r="199" spans="1:58" s="129" customFormat="1" ht="16">
      <c r="A199" s="390"/>
      <c r="B199" s="156" t="s">
        <v>2151</v>
      </c>
      <c r="C199" s="157"/>
      <c r="D199" s="157"/>
      <c r="E199" s="157"/>
      <c r="F199" s="157"/>
      <c r="G199" s="157"/>
      <c r="H199" s="157"/>
      <c r="I199" s="157"/>
      <c r="J199" s="157"/>
      <c r="K199" s="157"/>
      <c r="L199" s="157"/>
      <c r="O199" s="128"/>
      <c r="P199" s="128"/>
      <c r="Q199" s="128"/>
      <c r="R199" s="128"/>
      <c r="S199" s="128"/>
      <c r="T199" s="128"/>
      <c r="U199" s="128"/>
      <c r="V199" s="130"/>
      <c r="W199" s="130"/>
      <c r="X199" s="130"/>
      <c r="Y199" s="130"/>
      <c r="Z199" s="130"/>
      <c r="AA199" s="130"/>
      <c r="AB199" s="130"/>
      <c r="AC199" s="130"/>
      <c r="AD199" s="130"/>
      <c r="AE199" s="130"/>
      <c r="AF199" s="130"/>
      <c r="AG199" s="130"/>
      <c r="AH199" s="130"/>
      <c r="AI199" s="130"/>
      <c r="AJ199" s="130"/>
      <c r="AK199" s="130"/>
      <c r="AL199" s="130"/>
      <c r="AM199" s="130"/>
      <c r="AN199" s="130"/>
      <c r="AO199" s="130"/>
      <c r="AP199" s="130"/>
      <c r="AQ199" s="130"/>
      <c r="AR199" s="130"/>
      <c r="AS199" s="130"/>
      <c r="AT199" s="130"/>
      <c r="AU199" s="130"/>
      <c r="AV199" s="130"/>
      <c r="AW199" s="130"/>
      <c r="AX199" s="130"/>
      <c r="AY199" s="130"/>
      <c r="AZ199" s="130"/>
      <c r="BA199" s="130"/>
      <c r="BB199" s="130"/>
      <c r="BC199" s="130"/>
      <c r="BD199" s="130"/>
      <c r="BE199" s="130"/>
      <c r="BF199" s="130"/>
    </row>
    <row r="200" spans="1:58" s="129" customFormat="1" ht="16">
      <c r="A200" s="390"/>
      <c r="B200" s="156" t="s">
        <v>2154</v>
      </c>
      <c r="C200" s="157"/>
      <c r="D200" s="157"/>
      <c r="E200" s="157"/>
      <c r="F200" s="157"/>
      <c r="G200" s="157"/>
      <c r="H200" s="157"/>
      <c r="I200" s="157"/>
      <c r="J200" s="157"/>
      <c r="K200" s="157"/>
      <c r="L200" s="157"/>
      <c r="O200" s="128"/>
      <c r="P200" s="128"/>
      <c r="Q200" s="128"/>
      <c r="R200" s="128"/>
      <c r="S200" s="128"/>
      <c r="T200" s="128"/>
      <c r="U200" s="128"/>
      <c r="V200" s="130"/>
      <c r="W200" s="130"/>
      <c r="X200" s="130"/>
      <c r="Y200" s="130"/>
      <c r="Z200" s="130"/>
      <c r="AA200" s="130"/>
      <c r="AB200" s="130"/>
      <c r="AC200" s="130"/>
      <c r="AD200" s="130"/>
      <c r="AE200" s="130"/>
      <c r="AF200" s="130"/>
      <c r="AG200" s="130"/>
      <c r="AH200" s="130"/>
      <c r="AI200" s="130"/>
      <c r="AJ200" s="130"/>
      <c r="AK200" s="130"/>
      <c r="AL200" s="130"/>
      <c r="AM200" s="130"/>
      <c r="AN200" s="130"/>
      <c r="AO200" s="130"/>
      <c r="AP200" s="130"/>
      <c r="AQ200" s="130"/>
      <c r="AR200" s="130"/>
      <c r="AS200" s="130"/>
      <c r="AT200" s="130"/>
      <c r="AU200" s="130"/>
      <c r="AV200" s="130"/>
      <c r="AW200" s="130"/>
      <c r="AX200" s="130"/>
      <c r="AY200" s="130"/>
      <c r="AZ200" s="130"/>
      <c r="BA200" s="130"/>
      <c r="BB200" s="130"/>
      <c r="BC200" s="130"/>
      <c r="BD200" s="130"/>
      <c r="BE200" s="130"/>
      <c r="BF200" s="130"/>
    </row>
    <row r="201" spans="1:58" s="129" customFormat="1" ht="16">
      <c r="A201" s="390"/>
      <c r="B201" s="156" t="s">
        <v>2156</v>
      </c>
      <c r="C201" s="157"/>
      <c r="D201" s="157"/>
      <c r="E201" s="157"/>
      <c r="F201" s="157"/>
      <c r="G201" s="157"/>
      <c r="H201" s="157"/>
      <c r="I201" s="157"/>
      <c r="J201" s="157"/>
      <c r="K201" s="157"/>
      <c r="L201" s="157"/>
      <c r="O201" s="128"/>
      <c r="P201" s="128"/>
      <c r="Q201" s="128"/>
      <c r="R201" s="128"/>
      <c r="S201" s="128"/>
      <c r="T201" s="128"/>
      <c r="U201" s="128"/>
      <c r="V201" s="130"/>
      <c r="W201" s="130"/>
      <c r="X201" s="130"/>
      <c r="Y201" s="130"/>
      <c r="Z201" s="130"/>
      <c r="AA201" s="130"/>
      <c r="AB201" s="130"/>
      <c r="AC201" s="130"/>
      <c r="AD201" s="130"/>
      <c r="AE201" s="130"/>
      <c r="AF201" s="130"/>
      <c r="AG201" s="130"/>
      <c r="AH201" s="130"/>
      <c r="AI201" s="130"/>
      <c r="AJ201" s="130"/>
      <c r="AK201" s="130"/>
      <c r="AL201" s="130"/>
      <c r="AM201" s="130"/>
      <c r="AN201" s="130"/>
      <c r="AO201" s="130"/>
      <c r="AP201" s="130"/>
      <c r="AQ201" s="130"/>
      <c r="AR201" s="130"/>
      <c r="AS201" s="130"/>
      <c r="AT201" s="130"/>
      <c r="AU201" s="130"/>
      <c r="AV201" s="130"/>
      <c r="AW201" s="130"/>
      <c r="AX201" s="130"/>
      <c r="AY201" s="130"/>
      <c r="AZ201" s="130"/>
      <c r="BA201" s="130"/>
      <c r="BB201" s="130"/>
      <c r="BC201" s="130"/>
      <c r="BD201" s="130"/>
      <c r="BE201" s="130"/>
      <c r="BF201" s="130"/>
    </row>
    <row r="202" spans="1:58" s="129" customFormat="1" ht="16">
      <c r="A202" s="390"/>
      <c r="B202" s="156" t="s">
        <v>2109</v>
      </c>
      <c r="C202" s="157"/>
      <c r="D202" s="157"/>
      <c r="E202" s="157"/>
      <c r="F202" s="157"/>
      <c r="G202" s="157"/>
      <c r="H202" s="157"/>
      <c r="I202" s="157"/>
      <c r="J202" s="157"/>
      <c r="K202" s="157"/>
      <c r="L202" s="157"/>
      <c r="O202" s="128"/>
      <c r="P202" s="128"/>
      <c r="Q202" s="128"/>
      <c r="R202" s="128"/>
      <c r="S202" s="128"/>
      <c r="T202" s="128"/>
      <c r="U202" s="128"/>
      <c r="V202" s="130"/>
      <c r="W202" s="130"/>
      <c r="X202" s="130"/>
      <c r="Y202" s="130"/>
      <c r="Z202" s="130"/>
      <c r="AA202" s="130"/>
      <c r="AB202" s="130"/>
      <c r="AC202" s="130"/>
      <c r="AD202" s="130"/>
      <c r="AE202" s="130"/>
      <c r="AF202" s="130"/>
      <c r="AG202" s="130"/>
      <c r="AH202" s="130"/>
      <c r="AI202" s="130"/>
      <c r="AJ202" s="130"/>
      <c r="AK202" s="130"/>
      <c r="AL202" s="130"/>
      <c r="AM202" s="130"/>
      <c r="AN202" s="130"/>
      <c r="AO202" s="130"/>
      <c r="AP202" s="130"/>
      <c r="AQ202" s="130"/>
      <c r="AR202" s="130"/>
      <c r="AS202" s="130"/>
      <c r="AT202" s="130"/>
      <c r="AU202" s="130"/>
      <c r="AV202" s="130"/>
      <c r="AW202" s="130"/>
      <c r="AX202" s="130"/>
      <c r="AY202" s="130"/>
      <c r="AZ202" s="130"/>
      <c r="BA202" s="130"/>
      <c r="BB202" s="130"/>
      <c r="BC202" s="130"/>
      <c r="BD202" s="130"/>
      <c r="BE202" s="130"/>
      <c r="BF202" s="130"/>
    </row>
    <row r="203" spans="1:58" s="129" customFormat="1" ht="16">
      <c r="A203" s="391"/>
      <c r="B203" s="139" t="s">
        <v>2179</v>
      </c>
      <c r="C203" s="141"/>
      <c r="D203" s="141"/>
      <c r="E203" s="141"/>
      <c r="F203" s="141"/>
      <c r="G203" s="141"/>
      <c r="H203" s="141"/>
      <c r="I203" s="141"/>
      <c r="J203" s="141"/>
      <c r="K203" s="141"/>
      <c r="L203" s="141"/>
      <c r="O203" s="128"/>
      <c r="P203" s="128"/>
      <c r="Q203" s="128"/>
      <c r="R203" s="128"/>
      <c r="S203" s="128"/>
      <c r="T203" s="128"/>
      <c r="U203" s="128"/>
      <c r="V203" s="130"/>
      <c r="W203" s="130"/>
      <c r="X203" s="130"/>
      <c r="Y203" s="130"/>
      <c r="Z203" s="130"/>
      <c r="AA203" s="130"/>
      <c r="AB203" s="130"/>
      <c r="AC203" s="130"/>
      <c r="AD203" s="130"/>
      <c r="AE203" s="130"/>
      <c r="AF203" s="130"/>
      <c r="AG203" s="130"/>
      <c r="AH203" s="130"/>
      <c r="AI203" s="130"/>
      <c r="AJ203" s="130"/>
      <c r="AK203" s="130"/>
      <c r="AL203" s="130"/>
      <c r="AM203" s="130"/>
      <c r="AN203" s="130"/>
      <c r="AO203" s="130"/>
      <c r="AP203" s="130"/>
      <c r="AQ203" s="130"/>
      <c r="AR203" s="130"/>
      <c r="AS203" s="130"/>
      <c r="AT203" s="130"/>
      <c r="AU203" s="130"/>
      <c r="AV203" s="130"/>
      <c r="AW203" s="130"/>
      <c r="AX203" s="130"/>
      <c r="AY203" s="130"/>
      <c r="AZ203" s="130"/>
      <c r="BA203" s="130"/>
      <c r="BB203" s="130"/>
      <c r="BC203" s="130"/>
      <c r="BD203" s="130"/>
      <c r="BE203" s="130"/>
      <c r="BF203" s="130"/>
    </row>
    <row r="204" spans="1:58" s="129" customFormat="1" ht="16">
      <c r="C204" s="128"/>
      <c r="D204" s="128"/>
      <c r="E204" s="128"/>
      <c r="F204" s="128"/>
      <c r="G204" s="128"/>
      <c r="H204" s="128"/>
      <c r="I204" s="128"/>
      <c r="J204" s="128"/>
      <c r="K204" s="128"/>
      <c r="L204" s="128"/>
      <c r="M204" s="128"/>
      <c r="N204" s="128"/>
      <c r="O204" s="128"/>
      <c r="P204" s="128"/>
      <c r="Q204" s="128"/>
      <c r="R204" s="128"/>
      <c r="S204" s="128"/>
      <c r="T204" s="128"/>
      <c r="U204" s="128"/>
      <c r="V204" s="130"/>
      <c r="W204" s="130"/>
      <c r="X204" s="130"/>
      <c r="Y204" s="130"/>
      <c r="Z204" s="130"/>
      <c r="AA204" s="130"/>
      <c r="AB204" s="130"/>
      <c r="AC204" s="130"/>
      <c r="AD204" s="130"/>
      <c r="AE204" s="130"/>
      <c r="AF204" s="130"/>
      <c r="AG204" s="130"/>
      <c r="AH204" s="130"/>
      <c r="AI204" s="130"/>
      <c r="AJ204" s="130"/>
      <c r="AK204" s="130"/>
      <c r="AL204" s="130"/>
      <c r="AM204" s="130"/>
      <c r="AN204" s="130"/>
      <c r="AO204" s="130"/>
      <c r="AP204" s="130"/>
      <c r="AQ204" s="130"/>
      <c r="AR204" s="130"/>
      <c r="AS204" s="130"/>
      <c r="AT204" s="130"/>
      <c r="AU204" s="130"/>
      <c r="AV204" s="130"/>
      <c r="AW204" s="130"/>
      <c r="AX204" s="130"/>
      <c r="AY204" s="130"/>
      <c r="AZ204" s="130"/>
      <c r="BA204" s="130"/>
      <c r="BB204" s="130"/>
      <c r="BC204" s="130"/>
      <c r="BD204" s="130"/>
      <c r="BE204" s="130"/>
      <c r="BF204" s="130"/>
    </row>
    <row r="205" spans="1:58" s="129" customFormat="1" ht="72">
      <c r="A205" s="389" t="s">
        <v>2187</v>
      </c>
      <c r="B205" s="200" t="s">
        <v>2188</v>
      </c>
      <c r="C205" s="189">
        <v>2</v>
      </c>
      <c r="D205" s="189">
        <v>2</v>
      </c>
      <c r="E205" s="189">
        <v>3</v>
      </c>
      <c r="F205" s="189">
        <v>3</v>
      </c>
      <c r="G205" s="189">
        <v>4</v>
      </c>
      <c r="H205" s="189"/>
      <c r="I205" s="189">
        <v>5</v>
      </c>
      <c r="J205" s="189">
        <v>6</v>
      </c>
      <c r="K205" s="189"/>
      <c r="L205" s="189">
        <v>8</v>
      </c>
      <c r="M205" s="189">
        <v>9</v>
      </c>
      <c r="N205" s="209"/>
      <c r="O205" s="128"/>
      <c r="P205" s="128"/>
      <c r="Q205" s="128"/>
      <c r="R205" s="128"/>
      <c r="S205" s="128"/>
      <c r="T205" s="128"/>
      <c r="U205" s="128"/>
      <c r="V205" s="130"/>
      <c r="W205" s="130"/>
      <c r="X205" s="130"/>
      <c r="Y205" s="130"/>
      <c r="Z205" s="130"/>
      <c r="AA205" s="130"/>
      <c r="AB205" s="130"/>
      <c r="AC205" s="130"/>
      <c r="AD205" s="130"/>
      <c r="AE205" s="130"/>
      <c r="AF205" s="130"/>
      <c r="AG205" s="130"/>
      <c r="AH205" s="130"/>
      <c r="AI205" s="130"/>
      <c r="AJ205" s="130"/>
      <c r="AK205" s="130"/>
      <c r="AL205" s="130"/>
      <c r="AM205" s="130"/>
      <c r="AN205" s="130"/>
      <c r="AO205" s="130"/>
      <c r="AP205" s="130"/>
      <c r="AQ205" s="130"/>
      <c r="AR205" s="130"/>
      <c r="AS205" s="130"/>
      <c r="AT205" s="130"/>
      <c r="AU205" s="130"/>
      <c r="AV205" s="130"/>
      <c r="AW205" s="130"/>
      <c r="AX205" s="130"/>
      <c r="AY205" s="130"/>
      <c r="AZ205" s="130"/>
      <c r="BA205" s="130"/>
      <c r="BB205" s="130"/>
      <c r="BC205" s="130"/>
      <c r="BD205" s="130"/>
      <c r="BE205" s="130"/>
      <c r="BF205" s="130"/>
    </row>
    <row r="206" spans="1:58" s="129" customFormat="1" ht="16">
      <c r="A206" s="390"/>
      <c r="B206" s="156" t="s">
        <v>2146</v>
      </c>
      <c r="C206" s="157" t="s">
        <v>2096</v>
      </c>
      <c r="D206" s="157" t="s">
        <v>2096</v>
      </c>
      <c r="E206" s="157" t="s">
        <v>2096</v>
      </c>
      <c r="F206" s="157" t="s">
        <v>2096</v>
      </c>
      <c r="G206" s="157" t="s">
        <v>2096</v>
      </c>
      <c r="H206" s="157"/>
      <c r="I206" s="157" t="s">
        <v>2189</v>
      </c>
      <c r="J206" s="157" t="s">
        <v>2189</v>
      </c>
      <c r="K206" s="157"/>
      <c r="L206" s="157" t="s">
        <v>2189</v>
      </c>
      <c r="M206" s="157" t="s">
        <v>2189</v>
      </c>
      <c r="N206" s="209"/>
      <c r="O206" s="128"/>
      <c r="P206" s="128"/>
      <c r="Q206" s="128"/>
      <c r="R206" s="128"/>
      <c r="S206" s="128"/>
      <c r="T206" s="128"/>
      <c r="U206" s="128"/>
      <c r="V206" s="130"/>
      <c r="W206" s="130"/>
      <c r="X206" s="130"/>
      <c r="Y206" s="130"/>
      <c r="Z206" s="130"/>
      <c r="AA206" s="130"/>
      <c r="AB206" s="130"/>
      <c r="AC206" s="130"/>
      <c r="AD206" s="130"/>
      <c r="AE206" s="130"/>
      <c r="AF206" s="130"/>
      <c r="AG206" s="130"/>
      <c r="AH206" s="130"/>
      <c r="AI206" s="130"/>
      <c r="AJ206" s="130"/>
      <c r="AK206" s="130"/>
      <c r="AL206" s="130"/>
      <c r="AM206" s="130"/>
      <c r="AN206" s="130"/>
      <c r="AO206" s="130"/>
      <c r="AP206" s="130"/>
      <c r="AQ206" s="130"/>
      <c r="AR206" s="130"/>
      <c r="AS206" s="130"/>
      <c r="AT206" s="130"/>
      <c r="AU206" s="130"/>
      <c r="AV206" s="130"/>
      <c r="AW206" s="130"/>
      <c r="AX206" s="130"/>
      <c r="AY206" s="130"/>
      <c r="AZ206" s="130"/>
      <c r="BA206" s="130"/>
      <c r="BB206" s="130"/>
      <c r="BC206" s="130"/>
      <c r="BD206" s="130"/>
      <c r="BE206" s="130"/>
      <c r="BF206" s="130"/>
    </row>
    <row r="207" spans="1:58" s="129" customFormat="1" ht="16">
      <c r="A207" s="390"/>
      <c r="B207" s="156" t="s">
        <v>2148</v>
      </c>
      <c r="C207" s="157">
        <v>2</v>
      </c>
      <c r="D207" s="157">
        <v>2</v>
      </c>
      <c r="E207" s="157">
        <v>3</v>
      </c>
      <c r="F207" s="157" t="s">
        <v>2149</v>
      </c>
      <c r="G207" s="157">
        <v>3</v>
      </c>
      <c r="H207" s="157"/>
      <c r="I207" s="157">
        <v>2</v>
      </c>
      <c r="J207" s="157">
        <v>3</v>
      </c>
      <c r="K207" s="157"/>
      <c r="L207" s="157">
        <v>2</v>
      </c>
      <c r="M207" s="157" t="s">
        <v>2149</v>
      </c>
      <c r="N207" s="209"/>
      <c r="O207" s="128"/>
      <c r="P207" s="128"/>
      <c r="Q207" s="128"/>
      <c r="R207" s="128"/>
      <c r="S207" s="128"/>
      <c r="T207" s="128"/>
      <c r="U207" s="128"/>
      <c r="V207" s="130"/>
      <c r="W207" s="130"/>
      <c r="X207" s="130"/>
      <c r="Y207" s="130"/>
      <c r="Z207" s="130"/>
      <c r="AA207" s="130"/>
      <c r="AB207" s="130"/>
      <c r="AC207" s="130"/>
      <c r="AD207" s="130"/>
      <c r="AE207" s="130"/>
      <c r="AF207" s="130"/>
      <c r="AG207" s="130"/>
      <c r="AH207" s="130"/>
      <c r="AI207" s="130"/>
      <c r="AJ207" s="130"/>
      <c r="AK207" s="130"/>
      <c r="AL207" s="130"/>
      <c r="AM207" s="130"/>
      <c r="AN207" s="130"/>
      <c r="AO207" s="130"/>
      <c r="AP207" s="130"/>
      <c r="AQ207" s="130"/>
      <c r="AR207" s="130"/>
      <c r="AS207" s="130"/>
      <c r="AT207" s="130"/>
      <c r="AU207" s="130"/>
      <c r="AV207" s="130"/>
      <c r="AW207" s="130"/>
      <c r="AX207" s="130"/>
      <c r="AY207" s="130"/>
      <c r="AZ207" s="130"/>
      <c r="BA207" s="130"/>
      <c r="BB207" s="130"/>
      <c r="BC207" s="130"/>
      <c r="BD207" s="130"/>
      <c r="BE207" s="130"/>
      <c r="BF207" s="130"/>
    </row>
    <row r="208" spans="1:58" s="129" customFormat="1" ht="16">
      <c r="A208" s="390"/>
      <c r="B208" s="156" t="s">
        <v>2151</v>
      </c>
      <c r="C208" s="157" t="s">
        <v>2152</v>
      </c>
      <c r="D208" s="157"/>
      <c r="E208" s="157"/>
      <c r="F208" s="157"/>
      <c r="G208" s="157" t="s">
        <v>2152</v>
      </c>
      <c r="H208" s="157"/>
      <c r="I208" s="157" t="s">
        <v>2152</v>
      </c>
      <c r="J208" s="157"/>
      <c r="K208" s="157"/>
      <c r="L208" s="157" t="s">
        <v>2153</v>
      </c>
      <c r="M208" s="157" t="s">
        <v>2153</v>
      </c>
      <c r="N208" s="209"/>
      <c r="O208" s="128"/>
      <c r="P208" s="128"/>
      <c r="Q208" s="128"/>
      <c r="R208" s="128"/>
      <c r="S208" s="128"/>
      <c r="T208" s="128"/>
      <c r="U208" s="128"/>
      <c r="V208" s="130"/>
      <c r="W208" s="130"/>
      <c r="X208" s="130"/>
      <c r="Y208" s="130"/>
      <c r="Z208" s="130"/>
      <c r="AA208" s="130"/>
      <c r="AB208" s="130"/>
      <c r="AC208" s="130"/>
      <c r="AD208" s="130"/>
      <c r="AE208" s="130"/>
      <c r="AF208" s="130"/>
      <c r="AG208" s="130"/>
      <c r="AH208" s="130"/>
      <c r="AI208" s="130"/>
      <c r="AJ208" s="130"/>
      <c r="AK208" s="130"/>
      <c r="AL208" s="130"/>
      <c r="AM208" s="130"/>
      <c r="AN208" s="130"/>
      <c r="AO208" s="130"/>
      <c r="AP208" s="130"/>
      <c r="AQ208" s="130"/>
      <c r="AR208" s="130"/>
      <c r="AS208" s="130"/>
      <c r="AT208" s="130"/>
      <c r="AU208" s="130"/>
      <c r="AV208" s="130"/>
      <c r="AW208" s="130"/>
      <c r="AX208" s="130"/>
      <c r="AY208" s="130"/>
      <c r="AZ208" s="130"/>
      <c r="BA208" s="130"/>
      <c r="BB208" s="130"/>
      <c r="BC208" s="130"/>
      <c r="BD208" s="130"/>
      <c r="BE208" s="130"/>
      <c r="BF208" s="130"/>
    </row>
    <row r="209" spans="1:58" s="129" customFormat="1" ht="16">
      <c r="A209" s="390"/>
      <c r="B209" s="156" t="s">
        <v>2154</v>
      </c>
      <c r="C209" s="157"/>
      <c r="D209" s="157"/>
      <c r="E209" s="157" t="s">
        <v>2161</v>
      </c>
      <c r="F209" s="157"/>
      <c r="G209" s="157" t="s">
        <v>2155</v>
      </c>
      <c r="H209" s="157"/>
      <c r="I209" s="157"/>
      <c r="J209" s="157" t="s">
        <v>2161</v>
      </c>
      <c r="K209" s="157"/>
      <c r="L209" s="157" t="s">
        <v>2155</v>
      </c>
      <c r="M209" s="157" t="s">
        <v>2155</v>
      </c>
      <c r="N209" s="209"/>
      <c r="O209" s="128"/>
      <c r="P209" s="128"/>
      <c r="Q209" s="128"/>
      <c r="R209" s="128"/>
      <c r="S209" s="128"/>
      <c r="T209" s="128"/>
      <c r="U209" s="128"/>
      <c r="V209" s="130"/>
      <c r="W209" s="130"/>
      <c r="X209" s="130"/>
      <c r="Y209" s="130"/>
      <c r="Z209" s="130"/>
      <c r="AA209" s="130"/>
      <c r="AB209" s="130"/>
      <c r="AC209" s="130"/>
      <c r="AD209" s="130"/>
      <c r="AE209" s="130"/>
      <c r="AF209" s="130"/>
      <c r="AG209" s="130"/>
      <c r="AH209" s="130"/>
      <c r="AI209" s="130"/>
      <c r="AJ209" s="130"/>
      <c r="AK209" s="130"/>
      <c r="AL209" s="130"/>
      <c r="AM209" s="130"/>
      <c r="AN209" s="130"/>
      <c r="AO209" s="130"/>
      <c r="AP209" s="130"/>
      <c r="AQ209" s="130"/>
      <c r="AR209" s="130"/>
      <c r="AS209" s="130"/>
      <c r="AT209" s="130"/>
      <c r="AU209" s="130"/>
      <c r="AV209" s="130"/>
      <c r="AW209" s="130"/>
      <c r="AX209" s="130"/>
      <c r="AY209" s="130"/>
      <c r="AZ209" s="130"/>
      <c r="BA209" s="130"/>
      <c r="BB209" s="130"/>
      <c r="BC209" s="130"/>
      <c r="BD209" s="130"/>
      <c r="BE209" s="130"/>
      <c r="BF209" s="130"/>
    </row>
    <row r="210" spans="1:58" s="129" customFormat="1" ht="16">
      <c r="A210" s="390"/>
      <c r="B210" s="156" t="s">
        <v>2156</v>
      </c>
      <c r="C210" s="157"/>
      <c r="D210" s="157"/>
      <c r="E210" s="157"/>
      <c r="F210" s="157"/>
      <c r="G210" s="157"/>
      <c r="H210" s="157"/>
      <c r="I210" s="157"/>
      <c r="J210" s="157"/>
      <c r="K210" s="157"/>
      <c r="L210" s="157" t="s">
        <v>2157</v>
      </c>
      <c r="M210" s="157" t="s">
        <v>2162</v>
      </c>
      <c r="N210" s="209"/>
      <c r="O210" s="128"/>
      <c r="P210" s="128"/>
      <c r="Q210" s="128"/>
      <c r="R210" s="128"/>
      <c r="S210" s="128"/>
      <c r="T210" s="128"/>
      <c r="U210" s="128"/>
      <c r="V210" s="130"/>
      <c r="W210" s="130"/>
      <c r="X210" s="130"/>
      <c r="Y210" s="130"/>
      <c r="Z210" s="130"/>
      <c r="AA210" s="130"/>
      <c r="AB210" s="130"/>
      <c r="AC210" s="130"/>
      <c r="AD210" s="130"/>
      <c r="AE210" s="130"/>
      <c r="AF210" s="130"/>
      <c r="AG210" s="130"/>
      <c r="AH210" s="130"/>
      <c r="AI210" s="130"/>
      <c r="AJ210" s="130"/>
      <c r="AK210" s="130"/>
      <c r="AL210" s="130"/>
      <c r="AM210" s="130"/>
      <c r="AN210" s="130"/>
      <c r="AO210" s="130"/>
      <c r="AP210" s="130"/>
      <c r="AQ210" s="130"/>
      <c r="AR210" s="130"/>
      <c r="AS210" s="130"/>
      <c r="AT210" s="130"/>
      <c r="AU210" s="130"/>
      <c r="AV210" s="130"/>
      <c r="AW210" s="130"/>
      <c r="AX210" s="130"/>
      <c r="AY210" s="130"/>
      <c r="AZ210" s="130"/>
      <c r="BA210" s="130"/>
      <c r="BB210" s="130"/>
      <c r="BC210" s="130"/>
      <c r="BD210" s="130"/>
      <c r="BE210" s="130"/>
      <c r="BF210" s="130"/>
    </row>
    <row r="211" spans="1:58" s="129" customFormat="1" ht="16">
      <c r="A211" s="390"/>
      <c r="B211" s="156" t="s">
        <v>2109</v>
      </c>
      <c r="C211" s="157"/>
      <c r="D211" s="157"/>
      <c r="E211" s="157"/>
      <c r="F211" s="157"/>
      <c r="G211" s="157"/>
      <c r="H211" s="157"/>
      <c r="I211" s="157"/>
      <c r="J211" s="157"/>
      <c r="K211" s="157"/>
      <c r="L211" s="157"/>
      <c r="M211" s="157"/>
      <c r="N211" s="209"/>
      <c r="O211" s="128"/>
      <c r="P211" s="128"/>
      <c r="Q211" s="128"/>
      <c r="R211" s="128"/>
      <c r="S211" s="128"/>
      <c r="T211" s="128"/>
      <c r="U211" s="128"/>
      <c r="V211" s="130"/>
      <c r="W211" s="130"/>
      <c r="X211" s="130"/>
      <c r="Y211" s="130"/>
      <c r="Z211" s="130"/>
      <c r="AA211" s="130"/>
      <c r="AB211" s="130"/>
      <c r="AC211" s="130"/>
      <c r="AD211" s="130"/>
      <c r="AE211" s="130"/>
      <c r="AF211" s="130"/>
      <c r="AG211" s="130"/>
      <c r="AH211" s="130"/>
      <c r="AI211" s="130"/>
      <c r="AJ211" s="130"/>
      <c r="AK211" s="130"/>
      <c r="AL211" s="130"/>
      <c r="AM211" s="130"/>
      <c r="AN211" s="130"/>
      <c r="AO211" s="130"/>
      <c r="AP211" s="130"/>
      <c r="AQ211" s="130"/>
      <c r="AR211" s="130"/>
      <c r="AS211" s="130"/>
      <c r="AT211" s="130"/>
      <c r="AU211" s="130"/>
      <c r="AV211" s="130"/>
      <c r="AW211" s="130"/>
      <c r="AX211" s="130"/>
      <c r="AY211" s="130"/>
      <c r="AZ211" s="130"/>
      <c r="BA211" s="130"/>
      <c r="BB211" s="130"/>
      <c r="BC211" s="130"/>
      <c r="BD211" s="130"/>
      <c r="BE211" s="130"/>
      <c r="BF211" s="130"/>
    </row>
    <row r="212" spans="1:58" s="129" customFormat="1" ht="16">
      <c r="A212" s="391"/>
      <c r="B212" s="139" t="s">
        <v>2179</v>
      </c>
      <c r="C212" s="141" t="s">
        <v>2181</v>
      </c>
      <c r="D212" s="141" t="s">
        <v>2180</v>
      </c>
      <c r="E212" s="141" t="s">
        <v>2181</v>
      </c>
      <c r="F212" s="141" t="s">
        <v>2180</v>
      </c>
      <c r="G212" s="141" t="s">
        <v>2181</v>
      </c>
      <c r="H212" s="141"/>
      <c r="I212" s="141" t="s">
        <v>2181</v>
      </c>
      <c r="J212" s="141" t="s">
        <v>2181</v>
      </c>
      <c r="K212" s="141"/>
      <c r="L212" s="141" t="s">
        <v>2181</v>
      </c>
      <c r="M212" s="141" t="s">
        <v>2181</v>
      </c>
      <c r="N212" s="209"/>
      <c r="O212" s="128"/>
      <c r="P212" s="128"/>
      <c r="Q212" s="128"/>
      <c r="R212" s="128"/>
      <c r="S212" s="128"/>
      <c r="T212" s="128"/>
      <c r="U212" s="128"/>
      <c r="V212" s="130"/>
      <c r="W212" s="130"/>
      <c r="X212" s="130"/>
      <c r="Y212" s="130"/>
      <c r="Z212" s="130"/>
      <c r="AA212" s="130"/>
      <c r="AB212" s="130"/>
      <c r="AC212" s="130"/>
      <c r="AD212" s="130"/>
      <c r="AE212" s="130"/>
      <c r="AF212" s="130"/>
      <c r="AG212" s="130"/>
      <c r="AH212" s="130"/>
      <c r="AI212" s="130"/>
      <c r="AJ212" s="130"/>
      <c r="AK212" s="130"/>
      <c r="AL212" s="130"/>
      <c r="AM212" s="130"/>
      <c r="AN212" s="130"/>
      <c r="AO212" s="130"/>
      <c r="AP212" s="130"/>
      <c r="AQ212" s="130"/>
      <c r="AR212" s="130"/>
      <c r="AS212" s="130"/>
      <c r="AT212" s="130"/>
      <c r="AU212" s="130"/>
      <c r="AV212" s="130"/>
      <c r="AW212" s="130"/>
      <c r="AX212" s="130"/>
      <c r="AY212" s="130"/>
      <c r="AZ212" s="130"/>
      <c r="BA212" s="130"/>
      <c r="BB212" s="130"/>
      <c r="BC212" s="130"/>
      <c r="BD212" s="130"/>
      <c r="BE212" s="130"/>
      <c r="BF212" s="130"/>
    </row>
    <row r="213" spans="1:58" s="129" customFormat="1" ht="16">
      <c r="C213" s="128"/>
      <c r="D213" s="128"/>
      <c r="E213" s="128"/>
      <c r="F213" s="128"/>
      <c r="G213" s="128"/>
      <c r="H213" s="128"/>
      <c r="I213" s="128"/>
      <c r="J213" s="128"/>
      <c r="K213" s="128"/>
      <c r="L213" s="128"/>
      <c r="M213" s="128"/>
      <c r="N213" s="128"/>
      <c r="O213" s="128"/>
      <c r="P213" s="128"/>
      <c r="Q213" s="128"/>
      <c r="R213" s="128"/>
      <c r="S213" s="128"/>
      <c r="T213" s="128"/>
      <c r="U213" s="128"/>
      <c r="V213" s="130"/>
      <c r="W213" s="130"/>
      <c r="X213" s="130"/>
      <c r="Y213" s="130"/>
      <c r="Z213" s="130"/>
      <c r="AA213" s="130"/>
      <c r="AB213" s="130"/>
      <c r="AC213" s="130"/>
      <c r="AD213" s="130"/>
      <c r="AE213" s="130"/>
      <c r="AF213" s="130"/>
      <c r="AG213" s="130"/>
      <c r="AH213" s="130"/>
      <c r="AI213" s="130"/>
      <c r="AJ213" s="130"/>
      <c r="AK213" s="130"/>
      <c r="AL213" s="130"/>
      <c r="AM213" s="130"/>
      <c r="AN213" s="130"/>
      <c r="AO213" s="130"/>
      <c r="AP213" s="130"/>
      <c r="AQ213" s="130"/>
      <c r="AR213" s="130"/>
      <c r="AS213" s="130"/>
      <c r="AT213" s="130"/>
      <c r="AU213" s="130"/>
      <c r="AV213" s="130"/>
      <c r="AW213" s="130"/>
      <c r="AX213" s="130"/>
      <c r="AY213" s="130"/>
      <c r="AZ213" s="130"/>
      <c r="BA213" s="130"/>
      <c r="BB213" s="130"/>
      <c r="BC213" s="130"/>
      <c r="BD213" s="130"/>
      <c r="BE213" s="130"/>
      <c r="BF213" s="130"/>
    </row>
    <row r="214" spans="1:58" s="129" customFormat="1" ht="72">
      <c r="A214" s="389" t="s">
        <v>2190</v>
      </c>
      <c r="B214" s="200" t="s">
        <v>2191</v>
      </c>
      <c r="C214" s="189">
        <v>2</v>
      </c>
      <c r="D214" s="189">
        <v>2</v>
      </c>
      <c r="E214" s="189">
        <v>3</v>
      </c>
      <c r="F214" s="189">
        <v>3</v>
      </c>
      <c r="G214" s="189">
        <v>4</v>
      </c>
      <c r="H214" s="189"/>
      <c r="I214" s="189">
        <v>5</v>
      </c>
      <c r="J214" s="189">
        <v>6</v>
      </c>
      <c r="K214" s="189"/>
      <c r="L214" s="189">
        <v>8</v>
      </c>
      <c r="M214" s="189">
        <v>9</v>
      </c>
      <c r="N214" s="128"/>
      <c r="O214" s="128"/>
      <c r="P214" s="128"/>
      <c r="Q214" s="128"/>
      <c r="R214" s="128"/>
      <c r="S214" s="128"/>
      <c r="T214" s="128"/>
      <c r="U214" s="128"/>
      <c r="V214" s="130"/>
      <c r="W214" s="130"/>
      <c r="X214" s="130"/>
      <c r="Y214" s="130"/>
      <c r="Z214" s="130"/>
      <c r="AA214" s="130"/>
      <c r="AB214" s="130"/>
      <c r="AC214" s="130"/>
      <c r="AD214" s="130"/>
      <c r="AE214" s="130"/>
      <c r="AF214" s="130"/>
      <c r="AG214" s="130"/>
      <c r="AH214" s="130"/>
      <c r="AI214" s="130"/>
      <c r="AJ214" s="130"/>
      <c r="AK214" s="130"/>
      <c r="AL214" s="130"/>
      <c r="AM214" s="130"/>
      <c r="AN214" s="130"/>
      <c r="AO214" s="130"/>
      <c r="AP214" s="130"/>
      <c r="AQ214" s="130"/>
      <c r="AR214" s="130"/>
      <c r="AS214" s="130"/>
      <c r="AT214" s="130"/>
      <c r="AU214" s="130"/>
      <c r="AV214" s="130"/>
      <c r="AW214" s="130"/>
      <c r="AX214" s="130"/>
      <c r="AY214" s="130"/>
      <c r="AZ214" s="130"/>
      <c r="BA214" s="130"/>
      <c r="BB214" s="130"/>
      <c r="BC214" s="130"/>
      <c r="BD214" s="130"/>
      <c r="BE214" s="130"/>
      <c r="BF214" s="130"/>
    </row>
    <row r="215" spans="1:58" s="129" customFormat="1" ht="16">
      <c r="A215" s="390"/>
      <c r="B215" s="156" t="s">
        <v>2146</v>
      </c>
      <c r="C215" s="157" t="s">
        <v>2096</v>
      </c>
      <c r="D215" s="157" t="s">
        <v>2096</v>
      </c>
      <c r="E215" s="157" t="s">
        <v>2096</v>
      </c>
      <c r="F215" s="157" t="s">
        <v>2096</v>
      </c>
      <c r="G215" s="157" t="s">
        <v>2096</v>
      </c>
      <c r="H215" s="157"/>
      <c r="I215" s="157" t="s">
        <v>2189</v>
      </c>
      <c r="J215" s="157" t="s">
        <v>2189</v>
      </c>
      <c r="K215" s="157"/>
      <c r="L215" s="157" t="s">
        <v>2189</v>
      </c>
      <c r="M215" s="157" t="s">
        <v>2189</v>
      </c>
      <c r="N215" s="128"/>
      <c r="O215" s="128"/>
      <c r="P215" s="128"/>
      <c r="Q215" s="128"/>
      <c r="R215" s="128"/>
      <c r="S215" s="128"/>
      <c r="T215" s="128"/>
      <c r="U215" s="128"/>
      <c r="V215" s="130"/>
      <c r="W215" s="130"/>
      <c r="X215" s="130"/>
      <c r="Y215" s="130"/>
      <c r="Z215" s="130"/>
      <c r="AA215" s="130"/>
      <c r="AB215" s="130"/>
      <c r="AC215" s="130"/>
      <c r="AD215" s="130"/>
      <c r="AE215" s="130"/>
      <c r="AF215" s="130"/>
      <c r="AG215" s="130"/>
      <c r="AH215" s="130"/>
      <c r="AI215" s="130"/>
      <c r="AJ215" s="130"/>
      <c r="AK215" s="130"/>
      <c r="AL215" s="130"/>
      <c r="AM215" s="130"/>
      <c r="AN215" s="130"/>
      <c r="AO215" s="130"/>
      <c r="AP215" s="130"/>
      <c r="AQ215" s="130"/>
      <c r="AR215" s="130"/>
      <c r="AS215" s="130"/>
      <c r="AT215" s="130"/>
      <c r="AU215" s="130"/>
      <c r="AV215" s="130"/>
      <c r="AW215" s="130"/>
      <c r="AX215" s="130"/>
      <c r="AY215" s="130"/>
      <c r="AZ215" s="130"/>
      <c r="BA215" s="130"/>
      <c r="BB215" s="130"/>
      <c r="BC215" s="130"/>
      <c r="BD215" s="130"/>
      <c r="BE215" s="130"/>
      <c r="BF215" s="130"/>
    </row>
    <row r="216" spans="1:58" s="129" customFormat="1" ht="16">
      <c r="A216" s="390"/>
      <c r="B216" s="156" t="s">
        <v>2148</v>
      </c>
      <c r="C216" s="157">
        <v>2</v>
      </c>
      <c r="D216" s="157">
        <v>2</v>
      </c>
      <c r="E216" s="157">
        <v>3</v>
      </c>
      <c r="F216" s="157" t="s">
        <v>2149</v>
      </c>
      <c r="G216" s="157">
        <v>3</v>
      </c>
      <c r="H216" s="157"/>
      <c r="I216" s="157">
        <v>2</v>
      </c>
      <c r="J216" s="157">
        <v>3</v>
      </c>
      <c r="K216" s="157"/>
      <c r="L216" s="157">
        <v>2</v>
      </c>
      <c r="M216" s="157" t="s">
        <v>2149</v>
      </c>
      <c r="N216" s="128"/>
      <c r="O216" s="128"/>
      <c r="P216" s="128"/>
      <c r="Q216" s="128"/>
      <c r="R216" s="128"/>
      <c r="S216" s="128"/>
      <c r="T216" s="128"/>
      <c r="U216" s="128"/>
      <c r="V216" s="130"/>
      <c r="W216" s="130"/>
      <c r="X216" s="130"/>
      <c r="Y216" s="130"/>
      <c r="Z216" s="130"/>
      <c r="AA216" s="130"/>
      <c r="AB216" s="130"/>
      <c r="AC216" s="130"/>
      <c r="AD216" s="130"/>
      <c r="AE216" s="130"/>
      <c r="AF216" s="130"/>
      <c r="AG216" s="130"/>
      <c r="AH216" s="130"/>
      <c r="AI216" s="130"/>
      <c r="AJ216" s="130"/>
      <c r="AK216" s="130"/>
      <c r="AL216" s="130"/>
      <c r="AM216" s="130"/>
      <c r="AN216" s="130"/>
      <c r="AO216" s="130"/>
      <c r="AP216" s="130"/>
      <c r="AQ216" s="130"/>
      <c r="AR216" s="130"/>
      <c r="AS216" s="130"/>
      <c r="AT216" s="130"/>
      <c r="AU216" s="130"/>
      <c r="AV216" s="130"/>
      <c r="AW216" s="130"/>
      <c r="AX216" s="130"/>
      <c r="AY216" s="130"/>
      <c r="AZ216" s="130"/>
      <c r="BA216" s="130"/>
      <c r="BB216" s="130"/>
      <c r="BC216" s="130"/>
      <c r="BD216" s="130"/>
      <c r="BE216" s="130"/>
      <c r="BF216" s="130"/>
    </row>
    <row r="217" spans="1:58" s="129" customFormat="1" ht="16">
      <c r="A217" s="390"/>
      <c r="B217" s="156" t="s">
        <v>2151</v>
      </c>
      <c r="C217" s="157" t="s">
        <v>2152</v>
      </c>
      <c r="D217" s="157"/>
      <c r="E217" s="157"/>
      <c r="F217" s="157"/>
      <c r="G217" s="157" t="s">
        <v>2152</v>
      </c>
      <c r="H217" s="157"/>
      <c r="I217" s="157" t="s">
        <v>2152</v>
      </c>
      <c r="J217" s="157"/>
      <c r="K217" s="157"/>
      <c r="L217" s="157" t="s">
        <v>2153</v>
      </c>
      <c r="M217" s="157" t="s">
        <v>2153</v>
      </c>
      <c r="N217" s="128"/>
      <c r="O217" s="128"/>
      <c r="P217" s="128"/>
      <c r="Q217" s="128"/>
      <c r="R217" s="128"/>
      <c r="S217" s="128"/>
      <c r="T217" s="128"/>
      <c r="U217" s="128"/>
      <c r="V217" s="130"/>
      <c r="W217" s="130"/>
      <c r="X217" s="130"/>
      <c r="Y217" s="130"/>
      <c r="Z217" s="130"/>
      <c r="AA217" s="130"/>
      <c r="AB217" s="130"/>
      <c r="AC217" s="130"/>
      <c r="AD217" s="130"/>
      <c r="AE217" s="130"/>
      <c r="AF217" s="130"/>
      <c r="AG217" s="130"/>
      <c r="AH217" s="130"/>
      <c r="AI217" s="130"/>
      <c r="AJ217" s="130"/>
      <c r="AK217" s="130"/>
      <c r="AL217" s="130"/>
      <c r="AM217" s="130"/>
      <c r="AN217" s="130"/>
      <c r="AO217" s="130"/>
      <c r="AP217" s="130"/>
      <c r="AQ217" s="130"/>
      <c r="AR217" s="130"/>
      <c r="AS217" s="130"/>
      <c r="AT217" s="130"/>
      <c r="AU217" s="130"/>
      <c r="AV217" s="130"/>
      <c r="AW217" s="130"/>
      <c r="AX217" s="130"/>
      <c r="AY217" s="130"/>
      <c r="AZ217" s="130"/>
      <c r="BA217" s="130"/>
      <c r="BB217" s="130"/>
      <c r="BC217" s="130"/>
      <c r="BD217" s="130"/>
      <c r="BE217" s="130"/>
      <c r="BF217" s="130"/>
    </row>
    <row r="218" spans="1:58" s="129" customFormat="1" ht="16">
      <c r="A218" s="390"/>
      <c r="B218" s="156" t="s">
        <v>2154</v>
      </c>
      <c r="C218" s="157"/>
      <c r="D218" s="157"/>
      <c r="E218" s="157" t="s">
        <v>2161</v>
      </c>
      <c r="F218" s="157"/>
      <c r="G218" s="157" t="s">
        <v>2155</v>
      </c>
      <c r="H218" s="157"/>
      <c r="I218" s="157"/>
      <c r="J218" s="157" t="s">
        <v>2161</v>
      </c>
      <c r="K218" s="157"/>
      <c r="L218" s="157" t="s">
        <v>2155</v>
      </c>
      <c r="M218" s="157" t="s">
        <v>2155</v>
      </c>
      <c r="N218" s="128"/>
      <c r="O218" s="128"/>
      <c r="P218" s="128"/>
      <c r="Q218" s="128"/>
      <c r="R218" s="128"/>
      <c r="S218" s="128"/>
      <c r="T218" s="128"/>
      <c r="U218" s="128"/>
      <c r="V218" s="130"/>
      <c r="W218" s="130"/>
      <c r="X218" s="130"/>
      <c r="Y218" s="130"/>
      <c r="Z218" s="130"/>
      <c r="AA218" s="130"/>
      <c r="AB218" s="130"/>
      <c r="AC218" s="130"/>
      <c r="AD218" s="130"/>
      <c r="AE218" s="130"/>
      <c r="AF218" s="130"/>
      <c r="AG218" s="130"/>
      <c r="AH218" s="130"/>
      <c r="AI218" s="130"/>
      <c r="AJ218" s="130"/>
      <c r="AK218" s="130"/>
      <c r="AL218" s="130"/>
      <c r="AM218" s="130"/>
      <c r="AN218" s="130"/>
      <c r="AO218" s="130"/>
      <c r="AP218" s="130"/>
      <c r="AQ218" s="130"/>
      <c r="AR218" s="130"/>
      <c r="AS218" s="130"/>
      <c r="AT218" s="130"/>
      <c r="AU218" s="130"/>
      <c r="AV218" s="130"/>
      <c r="AW218" s="130"/>
      <c r="AX218" s="130"/>
      <c r="AY218" s="130"/>
      <c r="AZ218" s="130"/>
      <c r="BA218" s="130"/>
      <c r="BB218" s="130"/>
      <c r="BC218" s="130"/>
      <c r="BD218" s="130"/>
      <c r="BE218" s="130"/>
      <c r="BF218" s="130"/>
    </row>
    <row r="219" spans="1:58" s="129" customFormat="1" ht="16">
      <c r="A219" s="390"/>
      <c r="B219" s="156" t="s">
        <v>2156</v>
      </c>
      <c r="C219" s="157"/>
      <c r="D219" s="157"/>
      <c r="E219" s="157"/>
      <c r="F219" s="157"/>
      <c r="G219" s="157"/>
      <c r="H219" s="157"/>
      <c r="I219" s="157"/>
      <c r="J219" s="157"/>
      <c r="K219" s="157"/>
      <c r="L219" s="157" t="s">
        <v>2157</v>
      </c>
      <c r="M219" s="157" t="s">
        <v>2162</v>
      </c>
      <c r="N219" s="128"/>
      <c r="O219" s="128"/>
      <c r="P219" s="128"/>
      <c r="Q219" s="128"/>
      <c r="R219" s="128"/>
      <c r="S219" s="128"/>
      <c r="T219" s="128"/>
      <c r="U219" s="128"/>
      <c r="V219" s="130"/>
      <c r="W219" s="130"/>
      <c r="X219" s="130"/>
      <c r="Y219" s="130"/>
      <c r="Z219" s="130"/>
      <c r="AA219" s="130"/>
      <c r="AB219" s="130"/>
      <c r="AC219" s="130"/>
      <c r="AD219" s="130"/>
      <c r="AE219" s="130"/>
      <c r="AF219" s="130"/>
      <c r="AG219" s="130"/>
      <c r="AH219" s="130"/>
      <c r="AI219" s="130"/>
      <c r="AJ219" s="130"/>
      <c r="AK219" s="130"/>
      <c r="AL219" s="130"/>
      <c r="AM219" s="130"/>
      <c r="AN219" s="130"/>
      <c r="AO219" s="130"/>
      <c r="AP219" s="130"/>
      <c r="AQ219" s="130"/>
      <c r="AR219" s="130"/>
      <c r="AS219" s="130"/>
      <c r="AT219" s="130"/>
      <c r="AU219" s="130"/>
      <c r="AV219" s="130"/>
      <c r="AW219" s="130"/>
      <c r="AX219" s="130"/>
      <c r="AY219" s="130"/>
      <c r="AZ219" s="130"/>
      <c r="BA219" s="130"/>
      <c r="BB219" s="130"/>
      <c r="BC219" s="130"/>
      <c r="BD219" s="130"/>
      <c r="BE219" s="130"/>
      <c r="BF219" s="130"/>
    </row>
    <row r="220" spans="1:58" s="129" customFormat="1" ht="16">
      <c r="A220" s="390"/>
      <c r="B220" s="156" t="s">
        <v>2109</v>
      </c>
      <c r="C220" s="157"/>
      <c r="D220" s="157"/>
      <c r="E220" s="157"/>
      <c r="F220" s="157"/>
      <c r="G220" s="157"/>
      <c r="H220" s="157"/>
      <c r="I220" s="157"/>
      <c r="J220" s="157"/>
      <c r="K220" s="157"/>
      <c r="L220" s="157"/>
      <c r="M220" s="157"/>
      <c r="O220" s="130"/>
    </row>
    <row r="221" spans="1:58" s="129" customFormat="1" ht="16">
      <c r="A221" s="391"/>
      <c r="B221" s="139" t="s">
        <v>2179</v>
      </c>
      <c r="C221" s="141" t="s">
        <v>2181</v>
      </c>
      <c r="D221" s="141" t="s">
        <v>2180</v>
      </c>
      <c r="E221" s="141" t="s">
        <v>2181</v>
      </c>
      <c r="F221" s="141" t="s">
        <v>2180</v>
      </c>
      <c r="G221" s="141" t="s">
        <v>2181</v>
      </c>
      <c r="H221" s="141"/>
      <c r="I221" s="141" t="s">
        <v>2181</v>
      </c>
      <c r="J221" s="141" t="s">
        <v>2181</v>
      </c>
      <c r="K221" s="141"/>
      <c r="L221" s="141" t="s">
        <v>2181</v>
      </c>
      <c r="M221" s="141" t="s">
        <v>2181</v>
      </c>
      <c r="O221" s="130"/>
    </row>
    <row r="222" spans="1:58" s="129" customFormat="1" ht="16">
      <c r="O222" s="130"/>
    </row>
    <row r="223" spans="1:58" s="129" customFormat="1" ht="55">
      <c r="A223" s="392" t="s">
        <v>2192</v>
      </c>
      <c r="B223" s="200" t="s">
        <v>2139</v>
      </c>
      <c r="C223" s="189">
        <v>2</v>
      </c>
      <c r="D223" s="189">
        <v>3</v>
      </c>
      <c r="E223" s="189">
        <v>4</v>
      </c>
      <c r="F223" s="189">
        <v>5</v>
      </c>
      <c r="G223" s="189">
        <v>6</v>
      </c>
      <c r="H223" s="189"/>
      <c r="I223" s="189">
        <v>7</v>
      </c>
      <c r="J223" s="189">
        <v>9</v>
      </c>
      <c r="K223" s="189"/>
      <c r="L223" s="189">
        <v>12</v>
      </c>
      <c r="O223" s="130"/>
    </row>
    <row r="224" spans="1:58" s="129" customFormat="1" ht="16">
      <c r="A224" s="393"/>
      <c r="B224" s="156" t="s">
        <v>2146</v>
      </c>
      <c r="C224" s="157" t="s">
        <v>2140</v>
      </c>
      <c r="D224" s="157" t="s">
        <v>2140</v>
      </c>
      <c r="E224" s="157" t="s">
        <v>2141</v>
      </c>
      <c r="F224" s="157" t="s">
        <v>2141</v>
      </c>
      <c r="G224" s="157" t="s">
        <v>2096</v>
      </c>
      <c r="H224" s="157"/>
      <c r="I224" s="157" t="s">
        <v>2096</v>
      </c>
      <c r="J224" s="157" t="s">
        <v>2144</v>
      </c>
      <c r="K224" s="157"/>
      <c r="L224" s="157" t="s">
        <v>2144</v>
      </c>
      <c r="O224" s="130"/>
    </row>
    <row r="225" spans="1:12" s="129" customFormat="1" ht="16">
      <c r="A225" s="393"/>
      <c r="B225" s="156" t="s">
        <v>2148</v>
      </c>
      <c r="C225" s="157">
        <v>2</v>
      </c>
      <c r="D225" s="157" t="s">
        <v>2149</v>
      </c>
      <c r="E225" s="157">
        <v>2</v>
      </c>
      <c r="F225" s="157" t="s">
        <v>2149</v>
      </c>
      <c r="G225" s="157">
        <v>2</v>
      </c>
      <c r="H225" s="157"/>
      <c r="I225" s="157" t="s">
        <v>2149</v>
      </c>
      <c r="J225" s="157">
        <v>3</v>
      </c>
      <c r="K225" s="157"/>
      <c r="L225" s="157" t="s">
        <v>2150</v>
      </c>
    </row>
    <row r="226" spans="1:12" s="129" customFormat="1" ht="16">
      <c r="A226" s="393"/>
      <c r="B226" s="156" t="s">
        <v>2151</v>
      </c>
      <c r="C226" s="157"/>
      <c r="D226" s="157"/>
      <c r="E226" s="157"/>
      <c r="F226" s="157"/>
      <c r="G226" s="157" t="s">
        <v>2152</v>
      </c>
      <c r="H226" s="157"/>
      <c r="I226" s="157" t="s">
        <v>2152</v>
      </c>
      <c r="J226" s="157" t="s">
        <v>2152</v>
      </c>
      <c r="K226" s="157"/>
      <c r="L226" s="157" t="s">
        <v>2153</v>
      </c>
    </row>
    <row r="227" spans="1:12" s="129" customFormat="1" ht="16">
      <c r="A227" s="393"/>
      <c r="B227" s="156" t="s">
        <v>2154</v>
      </c>
      <c r="C227" s="157"/>
      <c r="D227" s="157"/>
      <c r="E227" s="157"/>
      <c r="F227" s="157"/>
      <c r="G227" s="157" t="s">
        <v>2155</v>
      </c>
      <c r="H227" s="157"/>
      <c r="I227" s="157"/>
      <c r="J227" s="157" t="s">
        <v>2155</v>
      </c>
      <c r="K227" s="157"/>
      <c r="L227" s="157" t="s">
        <v>2155</v>
      </c>
    </row>
    <row r="228" spans="1:12" s="129" customFormat="1" ht="16">
      <c r="A228" s="393"/>
      <c r="B228" s="156" t="s">
        <v>2156</v>
      </c>
      <c r="C228" s="157"/>
      <c r="D228" s="157"/>
      <c r="E228" s="157"/>
      <c r="F228" s="157"/>
      <c r="G228" s="157"/>
      <c r="H228" s="157"/>
      <c r="I228" s="157"/>
      <c r="J228" s="157"/>
      <c r="K228" s="157"/>
      <c r="L228" s="157" t="s">
        <v>2157</v>
      </c>
    </row>
    <row r="229" spans="1:12" s="129" customFormat="1" ht="16">
      <c r="A229" s="394"/>
      <c r="B229" s="139" t="s">
        <v>2109</v>
      </c>
      <c r="C229" s="141"/>
      <c r="D229" s="141"/>
      <c r="E229" s="141"/>
      <c r="F229" s="141"/>
      <c r="G229" s="141"/>
      <c r="H229" s="141"/>
      <c r="I229" s="141"/>
      <c r="J229" s="141"/>
      <c r="K229" s="141"/>
      <c r="L229" s="141"/>
    </row>
    <row r="230" spans="1:12" s="129" customFormat="1" ht="16">
      <c r="A230" s="128"/>
      <c r="D230" s="128"/>
      <c r="E230" s="128"/>
      <c r="F230" s="128"/>
      <c r="G230" s="128"/>
      <c r="H230" s="128"/>
      <c r="I230" s="128"/>
      <c r="J230" s="128"/>
      <c r="K230" s="128"/>
      <c r="L230" s="128"/>
    </row>
    <row r="231" spans="1:12" s="129" customFormat="1" ht="55">
      <c r="A231" s="392" t="s">
        <v>2193</v>
      </c>
      <c r="B231" s="200" t="s">
        <v>2194</v>
      </c>
      <c r="C231" s="189">
        <v>2</v>
      </c>
      <c r="D231" s="189">
        <v>3</v>
      </c>
      <c r="E231" s="189">
        <v>4</v>
      </c>
      <c r="F231" s="189">
        <v>5</v>
      </c>
      <c r="G231" s="189">
        <v>6</v>
      </c>
      <c r="H231" s="189"/>
      <c r="I231" s="189">
        <v>7</v>
      </c>
      <c r="J231" s="189">
        <v>9</v>
      </c>
      <c r="K231" s="189"/>
      <c r="L231" s="189"/>
    </row>
    <row r="232" spans="1:12" s="129" customFormat="1" ht="16">
      <c r="A232" s="393"/>
      <c r="B232" s="156" t="s">
        <v>2146</v>
      </c>
      <c r="C232" s="157" t="s">
        <v>2140</v>
      </c>
      <c r="D232" s="157" t="s">
        <v>2140</v>
      </c>
      <c r="E232" s="157" t="s">
        <v>2141</v>
      </c>
      <c r="F232" s="157" t="s">
        <v>2141</v>
      </c>
      <c r="G232" s="157" t="s">
        <v>2096</v>
      </c>
      <c r="H232" s="157"/>
      <c r="I232" s="157" t="s">
        <v>2096</v>
      </c>
      <c r="J232" s="157" t="s">
        <v>2143</v>
      </c>
      <c r="K232" s="157"/>
      <c r="L232" s="157"/>
    </row>
    <row r="233" spans="1:12" s="129" customFormat="1" ht="16">
      <c r="A233" s="393"/>
      <c r="B233" s="156" t="s">
        <v>2148</v>
      </c>
      <c r="C233" s="157">
        <v>2</v>
      </c>
      <c r="D233" s="157" t="s">
        <v>2149</v>
      </c>
      <c r="E233" s="157">
        <v>2</v>
      </c>
      <c r="F233" s="157" t="s">
        <v>2149</v>
      </c>
      <c r="G233" s="157">
        <v>2</v>
      </c>
      <c r="H233" s="157"/>
      <c r="I233" s="157" t="s">
        <v>2149</v>
      </c>
      <c r="J233" s="157" t="s">
        <v>2149</v>
      </c>
      <c r="K233" s="157"/>
      <c r="L233" s="157"/>
    </row>
    <row r="234" spans="1:12" s="129" customFormat="1" ht="16">
      <c r="A234" s="393"/>
      <c r="B234" s="156" t="s">
        <v>2151</v>
      </c>
      <c r="C234" s="157"/>
      <c r="D234" s="157"/>
      <c r="E234" s="157"/>
      <c r="F234" s="157"/>
      <c r="G234" s="157"/>
      <c r="H234" s="157"/>
      <c r="I234" s="157"/>
      <c r="J234" s="157"/>
      <c r="K234" s="157"/>
      <c r="L234" s="157"/>
    </row>
    <row r="235" spans="1:12" s="129" customFormat="1" ht="16">
      <c r="A235" s="393"/>
      <c r="B235" s="156" t="s">
        <v>2154</v>
      </c>
      <c r="C235" s="157"/>
      <c r="D235" s="157"/>
      <c r="E235" s="157"/>
      <c r="F235" s="157"/>
      <c r="G235" s="157"/>
      <c r="H235" s="157"/>
      <c r="I235" s="157"/>
      <c r="J235" s="157"/>
      <c r="K235" s="157"/>
      <c r="L235" s="157"/>
    </row>
    <row r="236" spans="1:12" s="129" customFormat="1" ht="16">
      <c r="A236" s="393"/>
      <c r="B236" s="156" t="s">
        <v>2156</v>
      </c>
      <c r="C236" s="157"/>
      <c r="D236" s="157"/>
      <c r="E236" s="157"/>
      <c r="F236" s="157"/>
      <c r="G236" s="157"/>
      <c r="H236" s="157"/>
      <c r="I236" s="157"/>
      <c r="J236" s="157"/>
      <c r="K236" s="157"/>
      <c r="L236" s="157"/>
    </row>
    <row r="237" spans="1:12" s="129" customFormat="1" ht="16">
      <c r="A237" s="394"/>
      <c r="B237" s="139" t="s">
        <v>2109</v>
      </c>
      <c r="C237" s="141"/>
      <c r="D237" s="141"/>
      <c r="E237" s="141"/>
      <c r="F237" s="141"/>
      <c r="G237" s="141"/>
      <c r="H237" s="141"/>
      <c r="I237" s="141"/>
      <c r="J237" s="141"/>
      <c r="K237" s="141"/>
      <c r="L237" s="141"/>
    </row>
    <row r="238" spans="1:12" s="129" customFormat="1" ht="16">
      <c r="L238" s="128"/>
    </row>
    <row r="239" spans="1:12" s="129" customFormat="1" ht="55">
      <c r="A239" s="392" t="s">
        <v>2195</v>
      </c>
      <c r="B239" s="200" t="s">
        <v>2196</v>
      </c>
      <c r="C239" s="189">
        <v>2</v>
      </c>
      <c r="D239" s="189">
        <v>3</v>
      </c>
      <c r="E239" s="189">
        <v>4</v>
      </c>
      <c r="F239" s="189">
        <v>5</v>
      </c>
      <c r="G239" s="189">
        <v>6</v>
      </c>
      <c r="H239" s="189"/>
      <c r="I239" s="189">
        <v>7</v>
      </c>
      <c r="J239" s="189">
        <v>9</v>
      </c>
      <c r="K239" s="189"/>
      <c r="L239" s="189">
        <v>12</v>
      </c>
    </row>
    <row r="240" spans="1:12" s="129" customFormat="1" ht="16">
      <c r="A240" s="393"/>
      <c r="B240" s="156" t="s">
        <v>2146</v>
      </c>
      <c r="C240" s="157" t="s">
        <v>2096</v>
      </c>
      <c r="D240" s="157" t="s">
        <v>2096</v>
      </c>
      <c r="E240" s="157" t="s">
        <v>2144</v>
      </c>
      <c r="F240" s="157" t="s">
        <v>2144</v>
      </c>
      <c r="G240" s="157" t="s">
        <v>2144</v>
      </c>
      <c r="H240" s="157"/>
      <c r="I240" s="157" t="s">
        <v>2144</v>
      </c>
      <c r="J240" s="157" t="s">
        <v>2144</v>
      </c>
      <c r="K240" s="157"/>
      <c r="L240" s="157" t="s">
        <v>2144</v>
      </c>
    </row>
    <row r="241" spans="1:15" s="129" customFormat="1" ht="16">
      <c r="A241" s="393"/>
      <c r="B241" s="156" t="s">
        <v>2148</v>
      </c>
      <c r="C241" s="157">
        <v>2</v>
      </c>
      <c r="D241" s="157" t="s">
        <v>2149</v>
      </c>
      <c r="E241" s="157">
        <v>2</v>
      </c>
      <c r="F241" s="157" t="s">
        <v>2149</v>
      </c>
      <c r="G241" s="157" t="s">
        <v>2149</v>
      </c>
      <c r="H241" s="157"/>
      <c r="I241" s="157">
        <v>2</v>
      </c>
      <c r="J241" s="157">
        <v>2</v>
      </c>
      <c r="K241" s="157"/>
      <c r="L241" s="157" t="s">
        <v>2149</v>
      </c>
    </row>
    <row r="242" spans="1:15" s="129" customFormat="1" ht="16">
      <c r="A242" s="393"/>
      <c r="B242" s="156" t="s">
        <v>2151</v>
      </c>
      <c r="C242" s="157" t="s">
        <v>2152</v>
      </c>
      <c r="D242" s="157" t="s">
        <v>2152</v>
      </c>
      <c r="E242" s="157" t="s">
        <v>2152</v>
      </c>
      <c r="F242" s="157" t="s">
        <v>2152</v>
      </c>
      <c r="G242" s="157" t="s">
        <v>2152</v>
      </c>
      <c r="H242" s="157"/>
      <c r="I242" s="157" t="s">
        <v>2153</v>
      </c>
      <c r="J242" s="157" t="s">
        <v>2153</v>
      </c>
      <c r="K242" s="157"/>
      <c r="L242" s="157" t="s">
        <v>2153</v>
      </c>
    </row>
    <row r="243" spans="1:15" s="129" customFormat="1" ht="16">
      <c r="A243" s="393"/>
      <c r="B243" s="156" t="s">
        <v>2154</v>
      </c>
      <c r="C243" s="157" t="s">
        <v>2155</v>
      </c>
      <c r="D243" s="157" t="s">
        <v>2155</v>
      </c>
      <c r="E243" s="157" t="s">
        <v>2155</v>
      </c>
      <c r="F243" s="157" t="s">
        <v>2155</v>
      </c>
      <c r="G243" s="157" t="s">
        <v>2161</v>
      </c>
      <c r="H243" s="157"/>
      <c r="I243" s="157"/>
      <c r="J243" s="157"/>
      <c r="K243" s="157"/>
      <c r="L243" s="157"/>
    </row>
    <row r="244" spans="1:15" s="129" customFormat="1" ht="16">
      <c r="A244" s="393"/>
      <c r="B244" s="156" t="s">
        <v>2156</v>
      </c>
      <c r="C244" s="157"/>
      <c r="D244" s="157"/>
      <c r="E244" s="157"/>
      <c r="F244" s="157"/>
      <c r="G244" s="157"/>
      <c r="H244" s="157"/>
      <c r="I244" s="157" t="s">
        <v>2162</v>
      </c>
      <c r="J244" s="157" t="s">
        <v>2162</v>
      </c>
      <c r="K244" s="157"/>
      <c r="L244" s="157" t="s">
        <v>2157</v>
      </c>
    </row>
    <row r="245" spans="1:15" s="129" customFormat="1" ht="16">
      <c r="A245" s="394"/>
      <c r="B245" s="139" t="s">
        <v>2109</v>
      </c>
      <c r="C245" s="141"/>
      <c r="D245" s="141"/>
      <c r="E245" s="141"/>
      <c r="F245" s="141"/>
      <c r="G245" s="141"/>
      <c r="H245" s="141"/>
      <c r="I245" s="141" t="s">
        <v>2163</v>
      </c>
      <c r="J245" s="141" t="s">
        <v>2110</v>
      </c>
      <c r="K245" s="141"/>
      <c r="L245" s="141"/>
    </row>
    <row r="246" spans="1:15" s="129" customFormat="1" ht="16">
      <c r="C246" s="128"/>
      <c r="D246" s="128"/>
      <c r="E246" s="128"/>
      <c r="F246" s="128"/>
      <c r="G246" s="128"/>
      <c r="H246" s="128"/>
      <c r="I246" s="128"/>
      <c r="J246" s="128"/>
      <c r="K246" s="128"/>
      <c r="L246" s="128"/>
    </row>
    <row r="247" spans="1:15" s="129" customFormat="1" ht="74">
      <c r="A247" s="392" t="s">
        <v>2197</v>
      </c>
      <c r="B247" s="200" t="s">
        <v>2165</v>
      </c>
      <c r="C247" s="189">
        <v>2</v>
      </c>
      <c r="D247" s="189">
        <v>3</v>
      </c>
      <c r="E247" s="189">
        <v>4</v>
      </c>
      <c r="F247" s="189">
        <v>5</v>
      </c>
      <c r="G247" s="189">
        <v>6</v>
      </c>
      <c r="H247" s="189"/>
      <c r="I247" s="189">
        <v>7</v>
      </c>
      <c r="J247" s="189"/>
      <c r="K247" s="189"/>
      <c r="L247" s="189"/>
    </row>
    <row r="248" spans="1:15" s="129" customFormat="1" ht="16">
      <c r="A248" s="393"/>
      <c r="B248" s="156" t="s">
        <v>2146</v>
      </c>
      <c r="C248" s="157" t="s">
        <v>2096</v>
      </c>
      <c r="D248" s="157" t="s">
        <v>2096</v>
      </c>
      <c r="E248" s="157" t="s">
        <v>2143</v>
      </c>
      <c r="F248" s="157" t="s">
        <v>2143</v>
      </c>
      <c r="G248" s="157" t="s">
        <v>2142</v>
      </c>
      <c r="H248" s="157"/>
      <c r="I248" s="157" t="s">
        <v>2142</v>
      </c>
      <c r="J248" s="157"/>
      <c r="K248" s="157"/>
      <c r="L248" s="157"/>
    </row>
    <row r="249" spans="1:15" s="129" customFormat="1" ht="16">
      <c r="A249" s="393"/>
      <c r="B249" s="156" t="s">
        <v>2148</v>
      </c>
      <c r="C249" s="157">
        <v>2</v>
      </c>
      <c r="D249" s="157" t="s">
        <v>2149</v>
      </c>
      <c r="E249" s="157">
        <v>2</v>
      </c>
      <c r="F249" s="157" t="s">
        <v>2149</v>
      </c>
      <c r="G249" s="157">
        <v>2</v>
      </c>
      <c r="H249" s="157"/>
      <c r="I249" s="157" t="s">
        <v>2149</v>
      </c>
      <c r="J249" s="157"/>
      <c r="K249" s="157"/>
      <c r="L249" s="157"/>
    </row>
    <row r="250" spans="1:15" s="129" customFormat="1" ht="16">
      <c r="A250" s="393"/>
      <c r="B250" s="156" t="s">
        <v>2151</v>
      </c>
      <c r="C250" s="157"/>
      <c r="D250" s="157"/>
      <c r="E250" s="157"/>
      <c r="F250" s="157"/>
      <c r="G250" s="157"/>
      <c r="H250" s="157"/>
      <c r="I250" s="157"/>
      <c r="J250" s="157"/>
      <c r="K250" s="157"/>
      <c r="L250" s="157"/>
    </row>
    <row r="251" spans="1:15" s="129" customFormat="1" ht="16">
      <c r="A251" s="393"/>
      <c r="B251" s="156" t="s">
        <v>2154</v>
      </c>
      <c r="C251" s="157"/>
      <c r="D251" s="157"/>
      <c r="E251" s="157"/>
      <c r="F251" s="157"/>
      <c r="G251" s="157"/>
      <c r="H251" s="157"/>
      <c r="I251" s="157"/>
      <c r="J251" s="157"/>
      <c r="K251" s="157"/>
      <c r="L251" s="157"/>
    </row>
    <row r="252" spans="1:15" s="129" customFormat="1" ht="16">
      <c r="A252" s="393"/>
      <c r="B252" s="156" t="s">
        <v>2156</v>
      </c>
      <c r="C252" s="157"/>
      <c r="D252" s="157"/>
      <c r="E252" s="157"/>
      <c r="F252" s="157"/>
      <c r="G252" s="157"/>
      <c r="H252" s="157"/>
      <c r="I252" s="157"/>
      <c r="J252" s="157"/>
      <c r="K252" s="157"/>
      <c r="L252" s="157"/>
    </row>
    <row r="253" spans="1:15" s="129" customFormat="1" ht="16">
      <c r="A253" s="394"/>
      <c r="B253" s="139" t="s">
        <v>2109</v>
      </c>
      <c r="C253" s="141"/>
      <c r="D253" s="141"/>
      <c r="E253" s="141"/>
      <c r="F253" s="141"/>
      <c r="G253" s="141"/>
      <c r="H253" s="141"/>
      <c r="I253" s="141"/>
      <c r="J253" s="141"/>
      <c r="K253" s="141"/>
      <c r="L253" s="141"/>
    </row>
    <row r="254" spans="1:15" s="129" customFormat="1" ht="16">
      <c r="O254" s="130"/>
    </row>
    <row r="255" spans="1:15" s="129" customFormat="1" ht="55">
      <c r="A255" s="389" t="s">
        <v>2198</v>
      </c>
      <c r="B255" s="200" t="s">
        <v>2169</v>
      </c>
      <c r="C255" s="189">
        <v>2</v>
      </c>
      <c r="D255" s="189">
        <v>3</v>
      </c>
      <c r="E255" s="189">
        <v>4</v>
      </c>
      <c r="F255" s="189">
        <v>5</v>
      </c>
      <c r="G255" s="189">
        <v>6</v>
      </c>
      <c r="H255" s="189"/>
      <c r="I255" s="189">
        <v>7</v>
      </c>
      <c r="J255" s="189">
        <v>9</v>
      </c>
      <c r="K255" s="189"/>
      <c r="L255" s="189">
        <v>12</v>
      </c>
    </row>
    <row r="256" spans="1:15" s="129" customFormat="1" ht="16">
      <c r="A256" s="390"/>
      <c r="B256" s="156" t="s">
        <v>2146</v>
      </c>
      <c r="C256" s="157" t="s">
        <v>2140</v>
      </c>
      <c r="D256" s="157" t="s">
        <v>2140</v>
      </c>
      <c r="E256" s="157" t="s">
        <v>2141</v>
      </c>
      <c r="F256" s="157" t="s">
        <v>2141</v>
      </c>
      <c r="G256" s="157" t="s">
        <v>2096</v>
      </c>
      <c r="H256" s="157"/>
      <c r="I256" s="157" t="s">
        <v>2096</v>
      </c>
      <c r="J256" s="157" t="s">
        <v>2144</v>
      </c>
      <c r="K256" s="157"/>
      <c r="L256" s="157" t="s">
        <v>2144</v>
      </c>
    </row>
    <row r="257" spans="1:12" s="129" customFormat="1" ht="16">
      <c r="A257" s="390"/>
      <c r="B257" s="156" t="s">
        <v>2148</v>
      </c>
      <c r="C257" s="157">
        <v>2</v>
      </c>
      <c r="D257" s="157" t="s">
        <v>2149</v>
      </c>
      <c r="E257" s="157">
        <v>2</v>
      </c>
      <c r="F257" s="157" t="s">
        <v>2149</v>
      </c>
      <c r="G257" s="157">
        <v>2</v>
      </c>
      <c r="H257" s="157"/>
      <c r="I257" s="157" t="s">
        <v>2149</v>
      </c>
      <c r="J257" s="157">
        <v>3</v>
      </c>
      <c r="K257" s="157"/>
      <c r="L257" s="157" t="s">
        <v>2150</v>
      </c>
    </row>
    <row r="258" spans="1:12" s="129" customFormat="1" ht="16">
      <c r="A258" s="390"/>
      <c r="B258" s="156" t="s">
        <v>2151</v>
      </c>
      <c r="C258" s="157"/>
      <c r="D258" s="157"/>
      <c r="E258" s="157"/>
      <c r="F258" s="157"/>
      <c r="G258" s="157" t="s">
        <v>2152</v>
      </c>
      <c r="H258" s="157"/>
      <c r="I258" s="157" t="s">
        <v>2152</v>
      </c>
      <c r="J258" s="157" t="s">
        <v>2152</v>
      </c>
      <c r="K258" s="157"/>
      <c r="L258" s="157" t="s">
        <v>2153</v>
      </c>
    </row>
    <row r="259" spans="1:12" s="129" customFormat="1" ht="16">
      <c r="A259" s="390"/>
      <c r="B259" s="156" t="s">
        <v>2154</v>
      </c>
      <c r="C259" s="157"/>
      <c r="D259" s="157"/>
      <c r="E259" s="157"/>
      <c r="F259" s="157"/>
      <c r="G259" s="157" t="s">
        <v>2155</v>
      </c>
      <c r="H259" s="157"/>
      <c r="I259" s="157"/>
      <c r="J259" s="157" t="s">
        <v>2155</v>
      </c>
      <c r="K259" s="157"/>
      <c r="L259" s="157" t="s">
        <v>2155</v>
      </c>
    </row>
    <row r="260" spans="1:12" s="129" customFormat="1" ht="16">
      <c r="A260" s="390"/>
      <c r="B260" s="156" t="s">
        <v>2156</v>
      </c>
      <c r="C260" s="157"/>
      <c r="D260" s="157"/>
      <c r="E260" s="157"/>
      <c r="F260" s="157"/>
      <c r="G260" s="157"/>
      <c r="H260" s="157"/>
      <c r="I260" s="157"/>
      <c r="J260" s="157"/>
      <c r="K260" s="157"/>
      <c r="L260" s="157" t="s">
        <v>2157</v>
      </c>
    </row>
    <row r="261" spans="1:12" s="129" customFormat="1" ht="16">
      <c r="A261" s="391"/>
      <c r="B261" s="139" t="s">
        <v>2109</v>
      </c>
      <c r="C261" s="141"/>
      <c r="D261" s="141"/>
      <c r="E261" s="141"/>
      <c r="F261" s="141"/>
      <c r="G261" s="141"/>
      <c r="H261" s="141"/>
      <c r="I261" s="141"/>
      <c r="J261" s="141"/>
      <c r="K261" s="141"/>
      <c r="L261" s="141"/>
    </row>
    <row r="262" spans="1:12" s="129" customFormat="1" ht="16">
      <c r="A262" s="207"/>
      <c r="D262" s="128"/>
      <c r="E262" s="128"/>
      <c r="F262" s="128"/>
      <c r="G262" s="128"/>
      <c r="H262" s="128"/>
      <c r="I262" s="128"/>
      <c r="J262" s="128"/>
      <c r="K262" s="128"/>
      <c r="L262" s="128"/>
    </row>
    <row r="263" spans="1:12" s="129" customFormat="1" ht="55">
      <c r="A263" s="389" t="s">
        <v>2199</v>
      </c>
      <c r="B263" s="200" t="s">
        <v>2171</v>
      </c>
      <c r="C263" s="189">
        <v>2</v>
      </c>
      <c r="D263" s="189">
        <v>3</v>
      </c>
      <c r="E263" s="189">
        <v>4</v>
      </c>
      <c r="F263" s="189">
        <v>5</v>
      </c>
      <c r="G263" s="189">
        <v>6</v>
      </c>
      <c r="H263" s="189"/>
      <c r="I263" s="189">
        <v>7</v>
      </c>
      <c r="J263" s="189">
        <v>9</v>
      </c>
      <c r="K263" s="189"/>
      <c r="L263" s="189"/>
    </row>
    <row r="264" spans="1:12" s="129" customFormat="1" ht="16">
      <c r="A264" s="390"/>
      <c r="B264" s="156" t="s">
        <v>2146</v>
      </c>
      <c r="C264" s="157" t="s">
        <v>2140</v>
      </c>
      <c r="D264" s="157" t="s">
        <v>2140</v>
      </c>
      <c r="E264" s="157" t="s">
        <v>2141</v>
      </c>
      <c r="F264" s="157" t="s">
        <v>2141</v>
      </c>
      <c r="G264" s="157" t="s">
        <v>2096</v>
      </c>
      <c r="H264" s="157"/>
      <c r="I264" s="157" t="s">
        <v>2096</v>
      </c>
      <c r="J264" s="157" t="s">
        <v>2143</v>
      </c>
      <c r="K264" s="157"/>
      <c r="L264" s="157"/>
    </row>
    <row r="265" spans="1:12" s="129" customFormat="1" ht="16">
      <c r="A265" s="390"/>
      <c r="B265" s="156" t="s">
        <v>2148</v>
      </c>
      <c r="C265" s="157">
        <v>2</v>
      </c>
      <c r="D265" s="157" t="s">
        <v>2149</v>
      </c>
      <c r="E265" s="157">
        <v>2</v>
      </c>
      <c r="F265" s="157" t="s">
        <v>2149</v>
      </c>
      <c r="G265" s="157">
        <v>2</v>
      </c>
      <c r="H265" s="157"/>
      <c r="I265" s="157" t="s">
        <v>2149</v>
      </c>
      <c r="J265" s="157" t="s">
        <v>2149</v>
      </c>
      <c r="K265" s="157"/>
      <c r="L265" s="157"/>
    </row>
    <row r="266" spans="1:12" s="129" customFormat="1" ht="16">
      <c r="A266" s="390"/>
      <c r="B266" s="156" t="s">
        <v>2151</v>
      </c>
      <c r="C266" s="157"/>
      <c r="D266" s="157"/>
      <c r="E266" s="157"/>
      <c r="F266" s="157"/>
      <c r="G266" s="157"/>
      <c r="H266" s="157"/>
      <c r="I266" s="157"/>
      <c r="J266" s="157"/>
      <c r="K266" s="157"/>
      <c r="L266" s="157"/>
    </row>
    <row r="267" spans="1:12" s="129" customFormat="1" ht="16">
      <c r="A267" s="390"/>
      <c r="B267" s="156" t="s">
        <v>2154</v>
      </c>
      <c r="C267" s="157"/>
      <c r="D267" s="157"/>
      <c r="E267" s="157"/>
      <c r="F267" s="157"/>
      <c r="G267" s="157"/>
      <c r="H267" s="157"/>
      <c r="I267" s="157"/>
      <c r="J267" s="157"/>
      <c r="K267" s="157"/>
      <c r="L267" s="157"/>
    </row>
    <row r="268" spans="1:12" s="129" customFormat="1" ht="16">
      <c r="A268" s="390"/>
      <c r="B268" s="156" t="s">
        <v>2156</v>
      </c>
      <c r="C268" s="157"/>
      <c r="D268" s="157"/>
      <c r="E268" s="157"/>
      <c r="F268" s="157"/>
      <c r="G268" s="157"/>
      <c r="H268" s="157"/>
      <c r="I268" s="157"/>
      <c r="J268" s="157"/>
      <c r="K268" s="157"/>
      <c r="L268" s="157"/>
    </row>
    <row r="269" spans="1:12" s="129" customFormat="1" ht="16">
      <c r="A269" s="391"/>
      <c r="B269" s="139" t="s">
        <v>2109</v>
      </c>
      <c r="C269" s="141"/>
      <c r="D269" s="141"/>
      <c r="E269" s="141"/>
      <c r="F269" s="141"/>
      <c r="G269" s="141"/>
      <c r="H269" s="141"/>
      <c r="I269" s="141"/>
      <c r="J269" s="141"/>
      <c r="K269" s="141"/>
      <c r="L269" s="141"/>
    </row>
    <row r="270" spans="1:12" s="129" customFormat="1" ht="16">
      <c r="A270" s="208"/>
      <c r="L270" s="128"/>
    </row>
    <row r="271" spans="1:12" s="129" customFormat="1" ht="55">
      <c r="A271" s="389" t="s">
        <v>2200</v>
      </c>
      <c r="B271" s="200" t="s">
        <v>2173</v>
      </c>
      <c r="C271" s="189">
        <v>2</v>
      </c>
      <c r="D271" s="189">
        <v>3</v>
      </c>
      <c r="E271" s="189">
        <v>4</v>
      </c>
      <c r="F271" s="189">
        <v>5</v>
      </c>
      <c r="G271" s="189">
        <v>6</v>
      </c>
      <c r="H271" s="189"/>
      <c r="I271" s="189">
        <v>7</v>
      </c>
      <c r="J271" s="189">
        <v>9</v>
      </c>
      <c r="K271" s="189"/>
      <c r="L271" s="189">
        <v>12</v>
      </c>
    </row>
    <row r="272" spans="1:12" s="129" customFormat="1" ht="16">
      <c r="A272" s="390"/>
      <c r="B272" s="156" t="s">
        <v>2146</v>
      </c>
      <c r="C272" s="157" t="s">
        <v>2096</v>
      </c>
      <c r="D272" s="157" t="s">
        <v>2096</v>
      </c>
      <c r="E272" s="157" t="s">
        <v>2144</v>
      </c>
      <c r="F272" s="157" t="s">
        <v>2144</v>
      </c>
      <c r="G272" s="157" t="s">
        <v>2144</v>
      </c>
      <c r="H272" s="157"/>
      <c r="I272" s="157" t="s">
        <v>2144</v>
      </c>
      <c r="J272" s="157" t="s">
        <v>2144</v>
      </c>
      <c r="K272" s="157"/>
      <c r="L272" s="157" t="s">
        <v>2144</v>
      </c>
    </row>
    <row r="273" spans="1:15" s="129" customFormat="1" ht="16">
      <c r="A273" s="390"/>
      <c r="B273" s="156" t="s">
        <v>2148</v>
      </c>
      <c r="C273" s="157">
        <v>2</v>
      </c>
      <c r="D273" s="157" t="s">
        <v>2149</v>
      </c>
      <c r="E273" s="157">
        <v>2</v>
      </c>
      <c r="F273" s="157" t="s">
        <v>2149</v>
      </c>
      <c r="G273" s="157" t="s">
        <v>2149</v>
      </c>
      <c r="H273" s="157"/>
      <c r="I273" s="157">
        <v>2</v>
      </c>
      <c r="J273" s="157">
        <v>2</v>
      </c>
      <c r="K273" s="157"/>
      <c r="L273" s="157" t="s">
        <v>2149</v>
      </c>
    </row>
    <row r="274" spans="1:15" s="129" customFormat="1" ht="16">
      <c r="A274" s="390"/>
      <c r="B274" s="156" t="s">
        <v>2151</v>
      </c>
      <c r="C274" s="157" t="s">
        <v>2152</v>
      </c>
      <c r="D274" s="157" t="s">
        <v>2152</v>
      </c>
      <c r="E274" s="157" t="s">
        <v>2152</v>
      </c>
      <c r="F274" s="157" t="s">
        <v>2152</v>
      </c>
      <c r="G274" s="157" t="s">
        <v>2152</v>
      </c>
      <c r="H274" s="157"/>
      <c r="I274" s="157" t="s">
        <v>2153</v>
      </c>
      <c r="J274" s="157" t="s">
        <v>2153</v>
      </c>
      <c r="K274" s="157"/>
      <c r="L274" s="157" t="s">
        <v>2153</v>
      </c>
    </row>
    <row r="275" spans="1:15" s="129" customFormat="1" ht="16">
      <c r="A275" s="390"/>
      <c r="B275" s="156" t="s">
        <v>2154</v>
      </c>
      <c r="C275" s="157" t="s">
        <v>2155</v>
      </c>
      <c r="D275" s="157" t="s">
        <v>2155</v>
      </c>
      <c r="E275" s="157" t="s">
        <v>2155</v>
      </c>
      <c r="F275" s="157" t="s">
        <v>2155</v>
      </c>
      <c r="G275" s="157" t="s">
        <v>2161</v>
      </c>
      <c r="H275" s="157"/>
      <c r="I275" s="157"/>
      <c r="J275" s="157"/>
      <c r="K275" s="157"/>
      <c r="L275" s="157"/>
    </row>
    <row r="276" spans="1:15" s="129" customFormat="1" ht="16">
      <c r="A276" s="390"/>
      <c r="B276" s="156" t="s">
        <v>2156</v>
      </c>
      <c r="C276" s="157"/>
      <c r="D276" s="157"/>
      <c r="E276" s="157"/>
      <c r="F276" s="157"/>
      <c r="G276" s="157"/>
      <c r="H276" s="157"/>
      <c r="I276" s="157" t="s">
        <v>2162</v>
      </c>
      <c r="J276" s="157" t="s">
        <v>2162</v>
      </c>
      <c r="K276" s="157"/>
      <c r="L276" s="157" t="s">
        <v>2157</v>
      </c>
    </row>
    <row r="277" spans="1:15" s="129" customFormat="1" ht="16">
      <c r="A277" s="391"/>
      <c r="B277" s="139" t="s">
        <v>2109</v>
      </c>
      <c r="C277" s="141"/>
      <c r="D277" s="141"/>
      <c r="E277" s="141"/>
      <c r="F277" s="141"/>
      <c r="G277" s="141"/>
      <c r="H277" s="141"/>
      <c r="I277" s="141" t="s">
        <v>2163</v>
      </c>
      <c r="J277" s="141" t="s">
        <v>2110</v>
      </c>
      <c r="K277" s="141"/>
      <c r="L277" s="141"/>
    </row>
    <row r="278" spans="1:15" s="129" customFormat="1" ht="16">
      <c r="C278" s="128"/>
      <c r="D278" s="128"/>
      <c r="E278" s="128"/>
      <c r="F278" s="128"/>
      <c r="G278" s="128"/>
      <c r="H278" s="128"/>
      <c r="I278" s="128"/>
      <c r="J278" s="128"/>
      <c r="K278" s="128"/>
      <c r="L278" s="128"/>
    </row>
    <row r="279" spans="1:15" s="129" customFormat="1" ht="74">
      <c r="A279" s="389" t="s">
        <v>2201</v>
      </c>
      <c r="B279" s="200" t="s">
        <v>2175</v>
      </c>
      <c r="C279" s="189">
        <v>2</v>
      </c>
      <c r="D279" s="189">
        <v>3</v>
      </c>
      <c r="E279" s="189">
        <v>4</v>
      </c>
      <c r="F279" s="189">
        <v>5</v>
      </c>
      <c r="G279" s="189">
        <v>6</v>
      </c>
      <c r="H279" s="189"/>
      <c r="I279" s="189">
        <v>7</v>
      </c>
      <c r="J279" s="189"/>
      <c r="K279" s="189"/>
      <c r="L279" s="189"/>
    </row>
    <row r="280" spans="1:15" s="129" customFormat="1" ht="16">
      <c r="A280" s="390"/>
      <c r="B280" s="156" t="s">
        <v>2146</v>
      </c>
      <c r="C280" s="157" t="s">
        <v>2096</v>
      </c>
      <c r="D280" s="157" t="s">
        <v>2096</v>
      </c>
      <c r="E280" s="157" t="s">
        <v>2143</v>
      </c>
      <c r="F280" s="157" t="s">
        <v>2143</v>
      </c>
      <c r="G280" s="157" t="s">
        <v>2142</v>
      </c>
      <c r="H280" s="157"/>
      <c r="I280" s="157" t="s">
        <v>2142</v>
      </c>
      <c r="J280" s="157"/>
      <c r="K280" s="157"/>
      <c r="L280" s="157"/>
    </row>
    <row r="281" spans="1:15" s="129" customFormat="1" ht="16">
      <c r="A281" s="390"/>
      <c r="B281" s="156" t="s">
        <v>2148</v>
      </c>
      <c r="C281" s="157">
        <v>2</v>
      </c>
      <c r="D281" s="157" t="s">
        <v>2149</v>
      </c>
      <c r="E281" s="157">
        <v>2</v>
      </c>
      <c r="F281" s="157" t="s">
        <v>2149</v>
      </c>
      <c r="G281" s="157">
        <v>2</v>
      </c>
      <c r="H281" s="157"/>
      <c r="I281" s="157" t="s">
        <v>2149</v>
      </c>
      <c r="J281" s="157"/>
      <c r="K281" s="157"/>
      <c r="L281" s="157"/>
    </row>
    <row r="282" spans="1:15" s="129" customFormat="1" ht="16">
      <c r="A282" s="390"/>
      <c r="B282" s="156" t="s">
        <v>2151</v>
      </c>
      <c r="C282" s="157"/>
      <c r="D282" s="157"/>
      <c r="E282" s="157"/>
      <c r="F282" s="157"/>
      <c r="G282" s="157"/>
      <c r="H282" s="157"/>
      <c r="I282" s="157"/>
      <c r="J282" s="157"/>
      <c r="K282" s="157"/>
      <c r="L282" s="157"/>
    </row>
    <row r="283" spans="1:15" s="129" customFormat="1" ht="16">
      <c r="A283" s="390"/>
      <c r="B283" s="156" t="s">
        <v>2154</v>
      </c>
      <c r="C283" s="157"/>
      <c r="D283" s="157"/>
      <c r="E283" s="157"/>
      <c r="F283" s="157"/>
      <c r="G283" s="157"/>
      <c r="H283" s="157"/>
      <c r="I283" s="157"/>
      <c r="J283" s="157"/>
      <c r="K283" s="157"/>
      <c r="L283" s="157"/>
    </row>
    <row r="284" spans="1:15" s="129" customFormat="1" ht="16">
      <c r="A284" s="390"/>
      <c r="B284" s="156" t="s">
        <v>2156</v>
      </c>
      <c r="C284" s="157"/>
      <c r="D284" s="157"/>
      <c r="E284" s="157"/>
      <c r="F284" s="157"/>
      <c r="G284" s="157"/>
      <c r="H284" s="157"/>
      <c r="I284" s="157"/>
      <c r="J284" s="157"/>
      <c r="K284" s="157"/>
      <c r="L284" s="157"/>
    </row>
    <row r="285" spans="1:15" s="129" customFormat="1" ht="16">
      <c r="A285" s="391"/>
      <c r="B285" s="139" t="s">
        <v>2109</v>
      </c>
      <c r="C285" s="141"/>
      <c r="D285" s="141"/>
      <c r="E285" s="141"/>
      <c r="F285" s="141"/>
      <c r="G285" s="141"/>
      <c r="H285" s="141"/>
      <c r="I285" s="141"/>
      <c r="J285" s="141"/>
      <c r="K285" s="141"/>
      <c r="L285" s="141"/>
    </row>
    <row r="286" spans="1:15" s="129" customFormat="1" ht="16">
      <c r="O286" s="130"/>
    </row>
  </sheetData>
  <mergeCells count="30">
    <mergeCell ref="A19:A21"/>
    <mergeCell ref="A51:A60"/>
    <mergeCell ref="A61:A68"/>
    <mergeCell ref="A75:A77"/>
    <mergeCell ref="B75:B77"/>
    <mergeCell ref="A178:A185"/>
    <mergeCell ref="C94:C101"/>
    <mergeCell ref="C102:C103"/>
    <mergeCell ref="A106:A112"/>
    <mergeCell ref="A114:A120"/>
    <mergeCell ref="A122:A128"/>
    <mergeCell ref="A130:A136"/>
    <mergeCell ref="B94:B103"/>
    <mergeCell ref="A138:A144"/>
    <mergeCell ref="A146:A152"/>
    <mergeCell ref="A154:A160"/>
    <mergeCell ref="A162:A168"/>
    <mergeCell ref="A170:A176"/>
    <mergeCell ref="A279:A285"/>
    <mergeCell ref="A187:A194"/>
    <mergeCell ref="A196:A203"/>
    <mergeCell ref="A205:A212"/>
    <mergeCell ref="A214:A221"/>
    <mergeCell ref="A223:A229"/>
    <mergeCell ref="A231:A237"/>
    <mergeCell ref="A239:A245"/>
    <mergeCell ref="A247:A253"/>
    <mergeCell ref="A255:A261"/>
    <mergeCell ref="A263:A269"/>
    <mergeCell ref="A271:A277"/>
  </mergeCells>
  <phoneticPr fontId="24" type="noConversion"/>
  <conditionalFormatting sqref="A25:N29">
    <cfRule type="cellIs" dxfId="10" priority="1" stopIfTrue="1" operator="equal">
      <formula>0</formula>
    </cfRule>
  </conditionalFormatting>
  <conditionalFormatting sqref="C4:C8 A4:A19 K7:L12 D9:G10 B9:C23 M9:N23 A30:G35">
    <cfRule type="cellIs" dxfId="9" priority="8" stopIfTrue="1" operator="equal">
      <formula>0</formula>
    </cfRule>
  </conditionalFormatting>
  <conditionalFormatting sqref="D36:G42 A36:A45 B36:C74 A47 P48:AD50">
    <cfRule type="cellIs" dxfId="8" priority="10" stopIfTrue="1" operator="equal">
      <formula>0</formula>
    </cfRule>
  </conditionalFormatting>
  <conditionalFormatting sqref="D44:J61">
    <cfRule type="cellIs" dxfId="7" priority="7" stopIfTrue="1" operator="equal">
      <formula>0</formula>
    </cfRule>
  </conditionalFormatting>
  <conditionalFormatting sqref="D59:O59">
    <cfRule type="expression" dxfId="6" priority="3">
      <formula>OR(D51="4G1",D51="4G2")</formula>
    </cfRule>
  </conditionalFormatting>
  <conditionalFormatting sqref="H44:H48">
    <cfRule type="cellIs" dxfId="5" priority="6" stopIfTrue="1" operator="equal">
      <formula>0</formula>
    </cfRule>
  </conditionalFormatting>
  <conditionalFormatting sqref="H7:J10 D11:J12">
    <cfRule type="cellIs" dxfId="4" priority="5" stopIfTrue="1" operator="equal">
      <formula>0</formula>
    </cfRule>
  </conditionalFormatting>
  <conditionalFormatting sqref="K51:L53">
    <cfRule type="cellIs" dxfId="3" priority="2" stopIfTrue="1" operator="equal">
      <formula>0</formula>
    </cfRule>
  </conditionalFormatting>
  <conditionalFormatting sqref="K54:L61 D13:L23 H30:N42 K44:N50 H63:K80 H84:N103 C102:G102">
    <cfRule type="cellIs" dxfId="2" priority="4" stopIfTrue="1" operator="equal">
      <formula>0</formula>
    </cfRule>
  </conditionalFormatting>
  <conditionalFormatting sqref="M51:AD59 B3 D4:H5 Q4:Q5 Z4:AA5 B5:B8 L6:T6 D7:G7 O7 E8:G8 A22:A23 A51 M60:N74 P60:AD74 D62:L62 D63:G74 L63:L74 O68 A75:B75 C75:G77 L75:N80 D78:G80 B78:C94 P78:AD103 D81:N83 D84:G101 O94:O103 D103:G103 B104:AA104 AC104:AQ104 S105:S106 N105:O113 A105:M116 P105:R116 T105:BF116 S108:S116 B119 A122 B123 B127 A130:A132 B131 B135 A138:A140 B139 B143 A146 B147 B151 A153:A156 B155 B159 A162 B163 B167 A170:A172 B171 B175 A178:A180 B179 B184 A187:A189 B188 B193 A196:A198 B197 B202 A205:A207 B206 B211 A214:A216 B215 B220 A223 B224 B228 A230:A233 B232 B236 A239 B240 B244 A247:A249 B248 B252 A255 B256 B260 A262:A265 B264 B268 A271 B272 B276 A279:A281 B280">
    <cfRule type="cellIs" dxfId="1" priority="11" stopIfTrue="1" operator="equal">
      <formula>0</formula>
    </cfRule>
  </conditionalFormatting>
  <pageMargins left="0.25" right="0.25" top="0.25" bottom="0.25" header="0" footer="0"/>
  <pageSetup paperSize="154" scale="70" orientation="portrait" horizontalDpi="4294967293" verticalDpi="4294967293"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30</vt:i4>
      </vt:variant>
    </vt:vector>
  </HeadingPairs>
  <TitlesOfParts>
    <vt:vector size="36" baseType="lpstr">
      <vt:lpstr>Items</vt:lpstr>
      <vt:lpstr>Client List</vt:lpstr>
      <vt:lpstr>INVOICE</vt:lpstr>
      <vt:lpstr>Customer Base</vt:lpstr>
      <vt:lpstr>T</vt:lpstr>
      <vt:lpstr>CABLE SIZING TOOL</vt:lpstr>
      <vt:lpstr>BYD_Lithium</vt:lpstr>
      <vt:lpstr>BYD_Solar_Panel</vt:lpstr>
      <vt:lpstr>Deye</vt:lpstr>
      <vt:lpstr>EasySolar</vt:lpstr>
      <vt:lpstr>EasySolar_II</vt:lpstr>
      <vt:lpstr>Eco</vt:lpstr>
      <vt:lpstr>Galvo</vt:lpstr>
      <vt:lpstr>Gen_24_Primo</vt:lpstr>
      <vt:lpstr>Gen_24_Symo</vt:lpstr>
      <vt:lpstr>Hoppecke_Lead_Acid</vt:lpstr>
      <vt:lpstr>Hoppecke_OPzV</vt:lpstr>
      <vt:lpstr>Huawei</vt:lpstr>
      <vt:lpstr>Huawei_Lithium</vt:lpstr>
      <vt:lpstr>Jinko_Lithium</vt:lpstr>
      <vt:lpstr>Jinko_Solar_Panel</vt:lpstr>
      <vt:lpstr>Multiplus</vt:lpstr>
      <vt:lpstr>Multiplus_II</vt:lpstr>
      <vt:lpstr>Multiplus_II_GX</vt:lpstr>
      <vt:lpstr>Phocos_B</vt:lpstr>
      <vt:lpstr>Phocos_H</vt:lpstr>
      <vt:lpstr>Phoenix</vt:lpstr>
      <vt:lpstr>Primo</vt:lpstr>
      <vt:lpstr>INVOICE!Print_Area</vt:lpstr>
      <vt:lpstr>Quattro</vt:lpstr>
      <vt:lpstr>Sharp_Solar_Panel</vt:lpstr>
      <vt:lpstr>Symo</vt:lpstr>
      <vt:lpstr>Tauro</vt:lpstr>
      <vt:lpstr>Victron_AGM</vt:lpstr>
      <vt:lpstr>Victron_Gel</vt:lpstr>
      <vt:lpstr>Victron_Solar_Panel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Microsoft Office User</cp:lastModifiedBy>
  <cp:lastPrinted>2024-11-11T13:17:06Z</cp:lastPrinted>
  <dcterms:created xsi:type="dcterms:W3CDTF">2019-09-10T17:01:16Z</dcterms:created>
  <dcterms:modified xsi:type="dcterms:W3CDTF">2024-11-14T10:04:12Z</dcterms:modified>
</cp:coreProperties>
</file>