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B63D8804-3F83-4A4A-A729-CED269BF94BF}"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1" i="13"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O103" i="12" l="1"/>
  <c r="A134" i="12"/>
  <c r="AO429" i="12"/>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76" i="13" a="1"/>
  <c r="Z587" i="13" a="1"/>
  <c r="Z585" i="13" a="1"/>
  <c r="Z586" i="13" a="1"/>
  <c r="Z532" i="13" a="1"/>
  <c r="Z562" i="13" a="1"/>
  <c r="Z530" i="13" a="1"/>
  <c r="Z595" i="13" a="1"/>
  <c r="Z600" i="13" a="1"/>
  <c r="Z534" i="13" a="1"/>
  <c r="Z548" i="13" a="1"/>
  <c r="Z591" i="13" a="1"/>
  <c r="Z544" i="13" a="1"/>
  <c r="Z528" i="13" a="1"/>
  <c r="Z556" i="13" a="1"/>
  <c r="Z531" i="13" a="1"/>
  <c r="Z547" i="13" a="1"/>
  <c r="Z577" i="13" a="1"/>
  <c r="Z554" i="13" a="1"/>
  <c r="Z555" i="13" a="1"/>
  <c r="Z580" i="13" a="1"/>
  <c r="Z596" i="13" a="1"/>
  <c r="Z598" i="13" a="1"/>
  <c r="Z583" i="13" a="1"/>
  <c r="Z557" i="13" a="1"/>
  <c r="Z590" i="13" a="1"/>
  <c r="Z592" i="13" a="1"/>
  <c r="Z537" i="13" a="1"/>
  <c r="Z584" i="13" a="1"/>
  <c r="Z523" i="13" a="1"/>
  <c r="Z579" i="13" a="1"/>
  <c r="Z564" i="13" a="1"/>
  <c r="Z551" i="13" a="1"/>
  <c r="Z561" i="13" a="1"/>
  <c r="Z542" i="13" a="1"/>
  <c r="Z582" i="13" a="1"/>
  <c r="Z539" i="13" a="1"/>
  <c r="Z567" i="13" a="1"/>
  <c r="Z521" i="13" a="1"/>
  <c r="Z541" i="13" a="1"/>
  <c r="Z518" i="13" a="1"/>
  <c r="Z581" i="13" a="1"/>
  <c r="Z552" i="13" a="1"/>
  <c r="Z571" i="13" a="1"/>
  <c r="Z599" i="13" a="1"/>
  <c r="Z549" i="13" a="1"/>
  <c r="Z535" i="13" a="1"/>
  <c r="Z578" i="13" a="1"/>
  <c r="Z529" i="13" a="1"/>
  <c r="Z522" i="13" a="1"/>
  <c r="Z526" i="13" a="1"/>
  <c r="Z519" i="13" a="1"/>
  <c r="Z594" i="13" a="1"/>
  <c r="Z566" i="13" a="1"/>
  <c r="Z550" i="13" a="1"/>
  <c r="Z546" i="13" a="1"/>
  <c r="Z540" i="13" a="1"/>
  <c r="Z553" i="13" a="1"/>
  <c r="Z573" i="13" a="1"/>
  <c r="Z568" i="13" a="1"/>
  <c r="Z543" i="13" a="1"/>
  <c r="Z570" i="13" a="1"/>
  <c r="Z545" i="13" a="1"/>
  <c r="Z588" i="13" a="1"/>
  <c r="Z597" i="13" a="1"/>
  <c r="Z575" i="13" a="1"/>
  <c r="Z525" i="13" a="1"/>
  <c r="Z517" i="13" a="1"/>
  <c r="Z559" i="13" a="1"/>
  <c r="Z569" i="13" a="1"/>
  <c r="Z589" i="13" a="1"/>
  <c r="Z527" i="13" a="1"/>
  <c r="Z574" i="13" a="1"/>
  <c r="Z593" i="13" a="1"/>
  <c r="Z601" i="13" a="1"/>
  <c r="Z520" i="13" a="1"/>
  <c r="Z536" i="13" a="1"/>
  <c r="Z560" i="13" a="1"/>
  <c r="Z563" i="13" a="1"/>
  <c r="Z565" i="13" a="1"/>
  <c r="Z524" i="13" a="1"/>
  <c r="Z538" i="13" a="1"/>
  <c r="Z558" i="13" a="1"/>
  <c r="Z533" i="13" a="1"/>
  <c r="Z572"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84" i="12"/>
  <c r="AO478" i="12"/>
  <c r="AO482" i="12"/>
  <c r="AO479" i="12"/>
  <c r="AO481" i="12"/>
  <c r="AO149" i="12"/>
  <c r="O149" i="12"/>
  <c r="J29" i="20"/>
  <c r="J100" i="20" s="1"/>
  <c r="J76" i="20" a="1"/>
  <c r="J76" i="20" s="1"/>
  <c r="J77" i="20" a="1"/>
  <c r="J77" i="20" s="1"/>
  <c r="D76" i="20" a="1"/>
  <c r="D76" i="20" s="1"/>
  <c r="D35" i="20"/>
  <c r="D80" i="20" a="1"/>
  <c r="D80" i="20" s="1"/>
  <c r="D29" i="20"/>
  <c r="D100" i="20" s="1"/>
  <c r="D77" i="20" a="1"/>
  <c r="D77" i="20" s="1"/>
  <c r="AO466" i="12" l="1"/>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11" i="13" a="1"/>
  <c r="Z513" i="13" a="1"/>
  <c r="Z510" i="13" a="1"/>
  <c r="Z515" i="13" a="1"/>
  <c r="Z502" i="13" a="1"/>
  <c r="Z507" i="13" a="1"/>
  <c r="Z509" i="13" a="1"/>
  <c r="Z504" i="13" a="1"/>
  <c r="Z512" i="13" a="1"/>
  <c r="Z514" i="13" a="1"/>
  <c r="Z505" i="13" a="1"/>
  <c r="Z506" i="13" a="1"/>
  <c r="Z508" i="13" a="1"/>
  <c r="Z503"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N478" i="13" l="1"/>
  <c r="EN477" i="13"/>
  <c r="EE491" i="13"/>
  <c r="EE490" i="13"/>
  <c r="EE478" i="13"/>
  <c r="EE489" i="13"/>
  <c r="EE479" i="13"/>
  <c r="EE483" i="13"/>
  <c r="EE484" i="13"/>
  <c r="IK485" i="13" a="1"/>
  <c r="IK485" i="13" s="1"/>
  <c r="IK483" i="13" a="1"/>
  <c r="IK483" i="13" s="1"/>
  <c r="IK489" i="13" a="1"/>
  <c r="IK489" i="13" s="1"/>
  <c r="IK484" i="13" a="1"/>
  <c r="IK484" i="13" s="1"/>
  <c r="IK478" i="13" a="1"/>
  <c r="IK478" i="13" s="1"/>
  <c r="IK477" i="13" a="1"/>
  <c r="IK477"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6" i="12"/>
  <c r="A337" i="12"/>
  <c r="A335"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<sst xmlns="http://schemas.openxmlformats.org/spreadsheetml/2006/main" count="5558" uniqueCount="2840">
  <si>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</si>
  <si>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</si>
  <si>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</si>
  <si>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</si>
  <si>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</si>
  <si>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</si>
  <si>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</si>
  <si>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</si>
  <si>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</si>
  <si>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</si>
  <si>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</si>
  <si>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</si>
  <si>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</si>
  <si>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</si>
  <si>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</si>
  <si>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</si>
  <si>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</si>
  <si>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</si>
  <si>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</si>
  <si>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</si>
  <si>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</si>
  <si>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</si>
  <si>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</si>
  <si>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</si>
  <si>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</si>
  <si>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</si>
  <si>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</si>
  <si>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</si>
  <si>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</si>
  <si>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</si>
  <si>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</si>
  <si>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</si>
  <si>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</si>
  <si>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</si>
  <si>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</si>
  <si>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</si>
  <si>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</si>
  <si>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</si>
  <si>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</si>
  <si>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</si>
  <si>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</si>
  <si>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</si>
  <si>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</si>
  <si>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</si>
  <si>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</si>
  <si>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</si>
  <si>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</si>
  <si>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</si>
  <si>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</si>
  <si>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</si>
  <si>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</si>
  <si>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</si>
  <si>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</si>
  <si>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</si>
  <si>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</si>
  <si>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</si>
  <si>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</si>
  <si>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</si>
  <si>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</si>
  <si>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</si>
  <si>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</si>
  <si>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</si>
  <si>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</si>
  <si>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</si>
  <si>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</si>
  <si>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</si>
  <si>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</si>
  <si>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</si>
  <si>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</si>
  <si>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</si>
  <si>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</si>
  <si>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</si>
  <si>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</si>
  <si>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</si>
  <si>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</si>
  <si>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</si>
  <si>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</si>
  <si>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</si>
  <si>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</si>
  <si>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</si>
  <si>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</si>
  <si>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</si>
  <si>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</si>
  <si>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</si>
  <si>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</si>
  <si>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</si>
  <si>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</si>
  <si>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</si>
  <si>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</si>
  <si>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</si>
  <si>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</si>
  <si>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</si>
  <si>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</si>
  <si>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</si>
  <si>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</si>
  <si>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</si>
  <si>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</si>
  <si>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</si>
  <si>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</si>
  <si>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</si>
  <si>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</si>
  <si>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</si>
  <si>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</si>
  <si>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</si>
  <si>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</si>
  <si>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</si>
  <si>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</si>
  <si>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</si>
  <si>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</si>
  <si>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</si>
  <si>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</si>
  <si>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</si>
  <si>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</si>
  <si>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</si>
  <si>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</si>
  <si>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</si>
  <si>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</si>
  <si>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</si>
  <si>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</si>
  <si>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</si>
  <si>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</si>
  <si>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</si>
  <si>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</si>
  <si>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</si>
  <si>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</si>
  <si>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</si>
  <si>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</si>
  <si>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</si>
  <si>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</si>
  <si>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</si>
  <si>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</si>
  <si>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</si>
  <si>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</si>
  <si>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</si>
  <si>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</si>
  <si>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</si>
  <si>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</si>
  <si>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</si>
  <si>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</si>
  <si>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</si>
  <si>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</si>
  <si>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</si>
  <si>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</si>
  <si>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</si>
  <si>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</si>
  <si>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</si>
  <si>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</si>
  <si>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</si>
  <si>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</si>
  <si>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</si>
  <si>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</si>
  <si>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</si>
  <si>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</si>
  <si>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</si>
  <si>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</si>
  <si>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</si>
  <si>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</si>
  <si>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</si>
  <si>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</si>
  <si>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</si>
  <si>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</si>
  <si>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</si>
  <si>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</si>
  <si>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</si>
  <si>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</si>
  <si>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</si>
  <si>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</si>
  <si>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</si>
  <si>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</si>
  <si>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</si>
  <si>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</si>
  <si>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</si>
  <si>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</si>
  <si>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</si>
  <si>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</si>
  <si>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</si>
  <si>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</si>
  <si>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</si>
  <si>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</si>
  <si>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</si>
  <si>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</si>
  <si>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</si>
  <si>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</si>
  <si>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</si>
  <si>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</si>
  <si>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</si>
  <si>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</si>
  <si>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</si>
  <si>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</si>
  <si>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</si>
  <si>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</si>
  <si>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</si>
  <si>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</si>
  <si>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</si>
  <si>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</si>
  <si>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</si>
  <si>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</si>
  <si>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</si>
  <si>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</si>
  <si>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</si>
  <si>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</si>
  <si>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</si>
  <si>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</si>
  <si>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</si>
  <si>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</si>
  <si>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</si>
  <si>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</si>
  <si>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</si>
  <si>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</si>
  <si>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</si>
  <si>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</si>
  <si>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</si>
  <si>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</si>
  <si>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</si>
  <si>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</si>
  <si>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</si>
  <si>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</si>
  <si>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</si>
  <si>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</si>
  <si>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</si>
  <si>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</si>
  <si>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</si>
  <si>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</si>
  <si>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</si>
  <si>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</si>
  <si>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</si>
  <si>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</si>
  <si>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</si>
  <si>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</si>
  <si>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</si>
  <si>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</si>
  <si>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</si>
  <si>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</si>
  <si>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</si>
  <si>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</si>
  <si>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</si>
  <si>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</si>
  <si>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</si>
  <si>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</si>
  <si>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</si>
  <si>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</si>
  <si>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</si>
  <si>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</si>
  <si>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</si>
  <si>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</si>
  <si>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</si>
  <si>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</si>
  <si>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</si>
  <si>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</si>
  <si>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</si>
  <si>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</si>
  <si>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</si>
  <si>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</si>
  <si>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</si>
  <si>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</si>
  <si>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</si>
  <si>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</si>
  <si>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</si>
  <si>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</si>
  <si>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</si>
  <si>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</si>
  <si>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</si>
  <si>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</si>
  <si>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</si>
  <si>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</si>
  <si>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</si>
  <si>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</si>
  <si>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</si>
  <si>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</si>
  <si>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</si>
  <si>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</si>
  <si>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</si>
  <si>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</si>
  <si>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</si>
  <si>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</si>
  <si>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</si>
  <si>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</si>
  <si>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</si>
  <si>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</si>
  <si>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</si>
  <si>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</si>
  <si>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</si>
  <si>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</si>
  <si>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</si>
  <si>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</si>
  <si>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</si>
  <si>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</si>
  <si>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</si>
  <si>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</si>
  <si>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</si>
  <si>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</si>
  <si>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</si>
  <si>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</si>
  <si>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</si>
  <si>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</si>
  <si>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</si>
  <si>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</si>
  <si>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</si>
  <si>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</si>
  <si>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</si>
  <si>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</si>
  <si>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</si>
  <si>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</si>
  <si>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</si>
  <si>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</si>
  <si>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</si>
  <si>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</si>
  <si>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</si>
  <si>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</si>
  <si>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</si>
  <si>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</si>
  <si>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</si>
  <si>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</si>
  <si>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</si>
  <si>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</si>
  <si>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</si>
  <si>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</si>
  <si>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</si>
  <si>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</si>
  <si>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</si>
  <si>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</si>
  <si>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</si>
  <si>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</si>
  <si>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</si>
  <si>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</si>
  <si>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</si>
  <si>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</si>
  <si>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</si>
  <si>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</si>
  <si>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</si>
  <si>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</si>
  <si>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</si>
  <si>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</si>
  <si>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</si>
  <si>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</si>
  <si>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</si>
  <si>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</si>
  <si>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</si>
  <si>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</si>
  <si>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</si>
  <si>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</si>
  <si>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</si>
  <si>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</si>
  <si>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</si>
  <si>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</si>
  <si>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</si>
  <si>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</si>
  <si>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</si>
  <si>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</si>
  <si>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</si>
  <si>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</si>
  <si>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</si>
  <si>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</si>
  <si>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</si>
  <si>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</si>
  <si>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</si>
  <si>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</si>
  <si>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</si>
  <si>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</si>
  <si>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</si>
  <si>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</si>
  <si>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</si>
  <si>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</si>
  <si>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</si>
  <si>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</si>
  <si>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</si>
  <si>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</si>
  <si>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</si>
  <si>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</si>
  <si>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</si>
  <si>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</si>
  <si>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</si>
  <si>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</si>
  <si>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</si>
  <si>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</si>
  <si>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</si>
  <si>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</si>
  <si>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</si>
  <si>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</si>
  <si>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</si>
  <si>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</si>
  <si>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</si>
  <si>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</si>
  <si>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</si>
  <si>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</si>
  <si>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</si>
  <si>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</si>
  <si>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</si>
  <si>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</si>
  <si>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</si>
  <si>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</si>
  <si>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</si>
  <si>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</si>
  <si>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</si>
  <si>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</si>
  <si>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</si>
  <si>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</si>
  <si>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</si>
  <si>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</si>
  <si>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</si>
  <si>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</si>
  <si>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</si>
  <si>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</si>
  <si>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</si>
  <si>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</si>
  <si>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</si>
  <si>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</si>
  <si>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</si>
  <si>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</si>
  <si>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</si>
  <si>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</si>
  <si>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</si>
  <si>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</si>
  <si>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</si>
  <si>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</si>
  <si>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</si>
  <si>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</si>
  <si>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</si>
  <si>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</si>
  <si>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</si>
  <si>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</si>
  <si>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</si>
  <si>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</si>
  <si>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</si>
  <si>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</si>
  <si>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</si>
  <si>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</si>
  <si>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</si>
  <si>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</si>
  <si>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</si>
  <si>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</si>
  <si>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</si>
  <si>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</si>
  <si>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</si>
  <si>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</si>
  <si>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</si>
  <si>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</si>
  <si>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</si>
  <si>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</si>
  <si>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</si>
  <si>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</si>
  <si>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</si>
  <si>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</si>
  <si>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</si>
  <si>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</si>
  <si>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</si>
  <si>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</si>
  <si>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</si>
  <si>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</si>
  <si>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</si>
  <si>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</si>
  <si>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</si>
  <si>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</si>
  <si>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</si>
  <si>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</si>
  <si>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</si>
  <si>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</si>
  <si>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</si>
  <si>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</si>
  <si>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</si>
  <si>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</si>
  <si>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</si>
  <si>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</si>
  <si>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</si>
  <si>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</si>
  <si>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</si>
  <si>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</si>
  <si>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</si>
  <si>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</si>
  <si>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</si>
  <si>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</si>
  <si>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</si>
  <si>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</si>
  <si>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</si>
  <si>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</si>
  <si>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</si>
  <si>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</si>
  <si>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</si>
  <si>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</si>
  <si>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</si>
  <si>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</si>
  <si>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</si>
  <si>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</si>
  <si>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</si>
  <si>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</si>
  <si>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</si>
  <si>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</si>
  <si>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</si>
  <si>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</si>
  <si>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</si>
  <si>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</si>
  <si>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</si>
  <si>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</si>
  <si>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</si>
  <si>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</si>
  <si>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</si>
  <si>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</si>
  <si>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</si>
  <si>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</si>
  <si>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</si>
  <si>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</si>
  <si>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</si>
  <si>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</si>
  <si>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</si>
  <si>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</si>
  <si>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</si>
  <si>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</si>
  <si>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</si>
  <si>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</si>
  <si>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</si>
  <si>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</si>
  <si>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</si>
  <si>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</si>
  <si>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</si>
  <si>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</si>
  <si>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</si>
  <si>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</si>
  <si>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</si>
  <si>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</si>
  <si>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</si>
  <si>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</si>
  <si>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</si>
  <si>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</si>
  <si>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</si>
  <si>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</si>
  <si>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</si>
  <si>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</si>
  <si>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</si>
  <si>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</si>
  <si>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</si>
  <si>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</si>
  <si>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</si>
  <si>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</si>
  <si>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</si>
  <si>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</si>
  <si>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</si>
  <si>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</si>
  <si>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</si>
  <si>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</si>
  <si>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</si>
  <si>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</si>
  <si>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</si>
  <si>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</si>
  <si>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</si>
  <si>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</si>
  <si>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</si>
  <si>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</si>
  <si>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</si>
  <si>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</si>
  <si>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</si>
  <si>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</si>
  <si>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</si>
  <si>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</si>
  <si>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</si>
  <si>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</si>
  <si>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</si>
  <si>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</si>
  <si>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</si>
  <si>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</si>
  <si>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</si>
  <si>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</si>
  <si>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</si>
  <si>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</si>
  <si>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</si>
  <si>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</si>
  <si>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</si>
  <si>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</si>
  <si>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</si>
  <si>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</si>
  <si>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</si>
  <si>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</si>
  <si>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</si>
  <si>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</si>
  <si>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</si>
  <si>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</si>
  <si>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</si>
  <si>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</si>
  <si>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</si>
  <si>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</si>
  <si>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</si>
  <si>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</si>
  <si>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</si>
  <si>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</si>
  <si>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</si>
  <si>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</si>
  <si>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</si>
  <si>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</si>
  <si>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</si>
  <si>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</si>
  <si>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</si>
  <si>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</si>
  <si>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</si>
  <si>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</si>
  <si>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</si>
  <si>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</si>
  <si>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</si>
  <si>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</si>
  <si>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</si>
  <si>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</si>
  <si>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</si>
  <si>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</si>
  <si>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</si>
  <si>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</si>
  <si>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</si>
  <si>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</si>
  <si>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</si>
  <si>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</si>
  <si>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</si>
  <si>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</si>
  <si>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</si>
  <si>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</si>
  <si>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</si>
  <si>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</si>
  <si>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</si>
  <si>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</si>
  <si>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</si>
  <si>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</si>
  <si>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</si>
  <si>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</si>
  <si>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</si>
  <si>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</si>
  <si>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</si>
  <si>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</si>
  <si>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</si>
  <si>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</si>
  <si>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</si>
  <si>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</si>
  <si>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</si>
  <si>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</si>
  <si>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</si>
  <si>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</si>
  <si>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</si>
  <si>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</si>
  <si>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</si>
  <si>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</si>
  <si>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</si>
  <si>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</si>
  <si>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</si>
  <si>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</si>
  <si>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</si>
  <si>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</si>
  <si>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</si>
  <si>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</si>
  <si>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</si>
  <si>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</si>
  <si>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</si>
  <si>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</si>
  <si>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</si>
  <si>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</si>
  <si>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</si>
  <si>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</si>
  <si>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</si>
  <si>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</si>
  <si>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</si>
  <si>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</si>
  <si>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</si>
  <si>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</si>
  <si>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</si>
  <si>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</si>
  <si>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</si>
  <si>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</si>
  <si>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</si>
  <si>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</si>
  <si>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</si>
  <si>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</si>
  <si>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</si>
  <si>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</si>
  <si>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</si>
  <si>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</si>
  <si>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</si>
  <si>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</si>
  <si>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</si>
  <si>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</si>
  <si>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</si>
  <si>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</si>
  <si>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</si>
  <si>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</si>
  <si>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</si>
  <si>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</si>
  <si>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</si>
  <si>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</si>
  <si>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</si>
  <si>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</si>
  <si>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</si>
  <si>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</si>
  <si>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</si>
  <si>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</si>
  <si>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</si>
  <si>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</si>
  <si>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</si>
  <si>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</si>
  <si>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</si>
  <si>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</si>
  <si>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</si>
  <si>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</si>
  <si>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</si>
  <si>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</si>
  <si>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</si>
  <si>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</si>
  <si>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</si>
  <si>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</si>
  <si>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</si>
  <si>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</si>
  <si>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</si>
  <si>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</si>
  <si>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</si>
  <si>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</si>
  <si>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</si>
  <si>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</si>
  <si>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</si>
  <si>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</si>
  <si>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</si>
  <si>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</si>
  <si>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</si>
  <si>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</si>
  <si>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</si>
  <si>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</si>
  <si>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</si>
  <si>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</si>
  <si>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</si>
  <si>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</si>
  <si>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</si>
  <si>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</si>
  <si>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</si>
  <si>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</si>
  <si>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</si>
  <si>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</si>
  <si>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</si>
  <si>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</si>
  <si>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</si>
  <si>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</si>
  <si>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</si>
  <si>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</si>
  <si>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</si>
  <si>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</si>
  <si>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</si>
  <si>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</si>
  <si>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</si>
  <si>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</si>
  <si>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</si>
  <si>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</si>
  <si>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</si>
  <si>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</si>
  <si>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</si>
  <si>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</si>
  <si>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</si>
  <si>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</si>
  <si>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</si>
  <si>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</si>
  <si>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</si>
  <si>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</si>
  <si>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</si>
  <si>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</si>
  <si>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</si>
  <si>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</si>
  <si>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</si>
  <si>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</si>
  <si>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</si>
  <si>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</si>
  <si>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</si>
  <si>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</si>
  <si>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</si>
  <si>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</si>
  <si>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</si>
  <si>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</si>
  <si>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</si>
  <si>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</si>
  <si>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</si>
  <si>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</si>
  <si>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</si>
  <si>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</si>
  <si>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</si>
  <si>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</si>
  <si>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</si>
  <si>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</si>
  <si>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</si>
  <si>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</si>
  <si>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</si>
  <si>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</si>
  <si>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</si>
  <si>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</si>
  <si>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</si>
  <si>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</si>
  <si>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</si>
  <si>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</si>
  <si>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</si>
  <si>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</si>
  <si>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</si>
  <si>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</si>
  <si>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</si>
  <si>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</si>
  <si>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</si>
  <si>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</si>
  <si>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</si>
  <si>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</si>
  <si>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</si>
  <si>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</si>
  <si>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</si>
  <si>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</si>
  <si>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</si>
  <si>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</si>
  <si>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</si>
  <si>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</si>
  <si>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</si>
  <si>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</si>
  <si>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</si>
  <si>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</si>
  <si>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</si>
  <si>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</si>
  <si>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</si>
  <si>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</si>
  <si>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</si>
  <si>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</si>
  <si>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</si>
  <si>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</si>
  <si>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</si>
  <si>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</si>
  <si>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</si>
  <si>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</si>
  <si>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</si>
  <si>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</si>
  <si>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</si>
  <si>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</si>
  <si>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</si>
  <si>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</si>
  <si>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</si>
  <si>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</si>
  <si>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</si>
  <si>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</si>
  <si>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</si>
  <si>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</si>
  <si>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</si>
  <si>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</si>
  <si>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</si>
  <si>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</si>
  <si>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</si>
  <si>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</si>
  <si>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</si>
  <si>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</si>
  <si>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</si>
  <si>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</si>
  <si>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</si>
  <si>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</si>
  <si>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</si>
  <si>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</si>
  <si>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</si>
  <si>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</si>
  <si>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</si>
  <si>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</si>
  <si>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</si>
  <si>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</si>
  <si>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</si>
  <si>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</si>
  <si>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</si>
  <si>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</si>
  <si>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</si>
  <si>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</si>
  <si>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</si>
  <si>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</si>
  <si>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</si>
  <si>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</si>
  <si>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</si>
  <si>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</si>
  <si>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</si>
  <si>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</si>
  <si>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</si>
  <si>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</si>
  <si>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</si>
  <si>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</si>
  <si>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</si>
  <si>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</si>
  <si>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</si>
  <si>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</si>
  <si>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</si>
  <si>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</si>
  <si>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</si>
  <si>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</si>
  <si>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</si>
  <si>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</si>
  <si>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</si>
  <si>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</si>
  <si>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</si>
  <si>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</si>
  <si>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</si>
  <si>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</si>
  <si>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</si>
  <si>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</si>
  <si>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</si>
  <si>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</si>
  <si>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</si>
  <si>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</si>
  <si>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</si>
  <si>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</si>
  <si>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</si>
  <si>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</si>
  <si>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</si>
  <si>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</si>
  <si>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</si>
  <si>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</si>
  <si>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</si>
  <si>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</si>
  <si>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</si>
  <si>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</si>
  <si>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</si>
  <si>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</si>
  <si>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</si>
  <si>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</si>
  <si>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</si>
  <si>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</si>
  <si>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</si>
  <si>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</si>
  <si>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</si>
  <si>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</si>
  <si>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</si>
  <si>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</si>
  <si>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</si>
  <si>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</si>
  <si>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</si>
  <si>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</si>
  <si>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</si>
  <si>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</si>
  <si>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</si>
  <si>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</si>
  <si>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</si>
  <si>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</si>
  <si>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</si>
  <si>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</si>
  <si>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</si>
  <si>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</si>
  <si>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</si>
  <si>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</si>
  <si>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</si>
  <si>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</si>
  <si>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</si>
  <si>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</si>
  <si>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</si>
  <si>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</si>
  <si>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</si>
  <si>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</si>
  <si>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</si>
  <si>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</si>
  <si>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</si>
  <si>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</si>
  <si>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</si>
  <si>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</si>
  <si>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</si>
  <si>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</si>
  <si>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</si>
  <si>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</si>
  <si>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</si>
  <si>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</si>
  <si>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</si>
  <si>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</si>
  <si>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</si>
  <si>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</si>
  <si>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</si>
  <si>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</si>
  <si>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</si>
  <si>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</si>
  <si>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</si>
  <si>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</si>
  <si>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</si>
  <si>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</si>
  <si>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</si>
  <si>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</si>
  <si>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</si>
  <si>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</si>
  <si>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</si>
  <si>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</si>
  <si>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</si>
  <si>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</si>
  <si>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</si>
  <si>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</si>
  <si>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</si>
  <si>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</si>
  <si>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</si>
  <si>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</si>
  <si>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</si>
  <si>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</si>
  <si>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</si>
  <si>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</si>
  <si>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</si>
  <si>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</si>
  <si>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</si>
  <si>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</si>
  <si>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</si>
  <si>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</si>
  <si>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</si>
  <si>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</si>
  <si>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</si>
  <si>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</si>
  <si>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</si>
  <si>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</si>
  <si>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</si>
  <si>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</si>
  <si>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</si>
  <si>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</si>
  <si>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</si>
  <si>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</si>
  <si>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</si>
  <si>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</si>
  <si>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</si>
  <si>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</si>
  <si>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</si>
  <si>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</si>
  <si>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</si>
  <si>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</si>
  <si>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</si>
  <si>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</si>
  <si>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</si>
  <si>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</si>
  <si>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</si>
  <si>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</si>
  <si>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</si>
  <si>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</si>
  <si>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</si>
  <si>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</si>
  <si>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</si>
  <si>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</si>
  <si>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</si>
  <si>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</si>
  <si>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</si>
  <si>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</si>
  <si>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</si>
  <si>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</si>
  <si>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</si>
  <si>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</si>
  <si>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</si>
  <si>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</si>
  <si>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</si>
  <si>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</si>
  <si>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</si>
  <si>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</si>
  <si>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</si>
  <si>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</si>
  <si>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</si>
  <si>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</si>
  <si>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</si>
  <si>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</si>
  <si>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</si>
  <si>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</si>
  <si>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</si>
  <si>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</si>
  <si>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</si>
  <si>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</si>
  <si>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</si>
  <si>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</si>
  <si>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</si>
  <si>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</si>
  <si>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</si>
  <si>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</si>
  <si>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</si>
  <si>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</si>
  <si>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</si>
  <si>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</si>
  <si>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</si>
  <si>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</si>
  <si>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</si>
  <si>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</si>
  <si>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</si>
  <si>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</si>
  <si>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</si>
  <si>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</si>
  <si>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</si>
  <si>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</si>
  <si>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</si>
  <si>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</si>
  <si>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</si>
  <si>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</si>
  <si>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</si>
  <si>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</si>
  <si>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</si>
  <si>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</si>
  <si>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</si>
  <si>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</si>
  <si>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</si>
  <si>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</si>
  <si>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</si>
  <si>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</si>
  <si>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</si>
  <si>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</si>
  <si>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</si>
  <si>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</si>
  <si>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</si>
  <si>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</si>
  <si>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</si>
  <si>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</si>
  <si>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</si>
  <si>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</si>
  <si>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</si>
  <si>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</si>
  <si>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</si>
  <si>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</si>
  <si>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</si>
  <si>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</si>
  <si>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</si>
  <si>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</si>
  <si>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</si>
  <si>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</si>
  <si>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</si>
  <si>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</si>
  <si>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</si>
  <si>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</si>
  <si>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</si>
  <si>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</si>
  <si>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</si>
  <si>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</si>
  <si>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</si>
  <si>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</si>
  <si>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</si>
  <si>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</si>
  <si>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</si>
  <si>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</si>
  <si>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</si>
  <si>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</si>
  <si>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</si>
  <si>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</si>
  <si>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</si>
  <si>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</si>
  <si>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</si>
  <si>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</si>
  <si>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</si>
  <si>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</si>
  <si>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</si>
  <si>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</si>
  <si>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</si>
  <si>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</si>
  <si>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</si>
  <si>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</si>
  <si>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</si>
  <si>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</si>
  <si>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</si>
  <si>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</si>
  <si>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</si>
  <si>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</si>
  <si>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</si>
  <si>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</si>
  <si>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</si>
  <si>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</si>
  <si>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</si>
  <si>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</si>
  <si>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</si>
  <si>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</si>
  <si>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</si>
  <si>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</si>
  <si>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</si>
  <si>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</si>
  <si>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</si>
  <si>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</si>
  <si>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</si>
  <si>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</si>
  <si>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</si>
  <si>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</si>
  <si>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</si>
  <si>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</si>
  <si>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</si>
  <si>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</si>
  <si>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</si>
  <si>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</si>
  <si>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</si>
  <si>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</si>
  <si>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</si>
  <si>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</si>
  <si>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</si>
  <si>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</si>
  <si>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</si>
  <si>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</si>
  <si>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</si>
  <si>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</si>
  <si>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</si>
  <si>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</si>
  <si>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</si>
  <si>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</si>
  <si>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</si>
  <si>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</si>
  <si>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</si>
  <si>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</si>
  <si>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</si>
  <si>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</si>
  <si>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</si>
  <si>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</si>
  <si>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</si>
  <si>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</si>
  <si>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</si>
  <si>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</si>
  <si>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</si>
  <si>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</si>
  <si>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</si>
  <si>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</si>
  <si>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</si>
  <si>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</si>
  <si>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</si>
  <si>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</si>
  <si>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</si>
  <si>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</si>
  <si>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</si>
  <si>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</si>
  <si>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</si>
  <si>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</si>
  <si>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</si>
  <si>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</si>
  <si>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</si>
  <si>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</si>
  <si>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</si>
  <si>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</si>
  <si>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</si>
  <si>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</si>
  <si>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</si>
  <si>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</si>
  <si>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</si>
  <si>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</si>
  <si>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</si>
  <si>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</si>
  <si>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</si>
  <si>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</si>
  <si>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</si>
  <si>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</si>
  <si>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</si>
  <si>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</si>
  <si>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</si>
  <si>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</si>
  <si>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</si>
  <si>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</si>
  <si>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</si>
  <si>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</si>
  <si>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</si>
  <si>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</si>
  <si>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</si>
  <si>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</si>
  <si>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</si>
  <si>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</si>
  <si>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</si>
  <si>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</si>
  <si>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</si>
  <si>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</si>
  <si>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</si>
  <si>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</si>
  <si>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</si>
  <si>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</si>
  <si>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</si>
  <si>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</si>
  <si>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</si>
  <si>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</si>
  <si>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</si>
  <si>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</si>
  <si>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</si>
  <si>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</si>
  <si>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</si>
  <si>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</si>
  <si>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</si>
  <si>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</si>
  <si>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</si>
  <si>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</si>
  <si>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</si>
  <si>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</si>
  <si>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</si>
  <si>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</si>
  <si>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</si>
  <si>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</si>
  <si>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</si>
  <si>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</si>
  <si>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</si>
  <si>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</si>
  <si>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</si>
  <si>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</si>
  <si>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</si>
  <si>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</si>
  <si>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</si>
  <si>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</si>
  <si>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</si>
  <si>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</si>
  <si>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</si>
  <si>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</si>
  <si>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</si>
  <si>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</si>
  <si>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</si>
  <si>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</si>
  <si>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</si>
  <si>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</si>
  <si>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</si>
  <si>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</si>
  <si>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</si>
  <si>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</si>
  <si>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</si>
  <si>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</si>
  <si>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</si>
  <si>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</si>
  <si>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</si>
  <si>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</si>
  <si>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</si>
  <si>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</si>
  <si>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</si>
  <si>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</si>
  <si>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</si>
  <si>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</si>
  <si>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</si>
  <si>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</si>
  <si>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</si>
  <si>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</si>
  <si>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</si>
  <si>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</si>
  <si>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</si>
  <si>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</si>
  <si>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</si>
  <si>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</si>
  <si>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</si>
  <si>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</si>
  <si>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</si>
  <si>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</si>
  <si>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</si>
  <si>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</si>
  <si>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</si>
  <si>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</si>
  <si>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</si>
  <si>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</si>
  <si>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</si>
  <si>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</si>
  <si>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</si>
  <si>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</si>
  <si>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</si>
  <si>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</si>
  <si>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</si>
  <si>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</si>
  <si>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</si>
  <si>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</si>
  <si>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</si>
  <si>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</si>
  <si>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</si>
  <si>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</si>
  <si>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</si>
  <si>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</si>
  <si>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</si>
  <si>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</si>
  <si>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</si>
  <si>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</si>
  <si>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</si>
  <si>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</si>
  <si>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</si>
  <si>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</si>
  <si>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</si>
  <si>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</si>
  <si>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</si>
  <si>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</si>
  <si>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</si>
  <si>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</si>
  <si>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</si>
  <si>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</si>
  <si>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</si>
  <si>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</si>
  <si>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</si>
  <si>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</si>
  <si>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</si>
  <si>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</si>
  <si>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</si>
  <si>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</si>
  <si>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</si>
  <si>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</si>
  <si>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</si>
  <si>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</si>
  <si>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</si>
  <si>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</si>
  <si>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</si>
  <si>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</si>
  <si>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</si>
  <si>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</si>
  <si>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</si>
  <si>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</si>
  <si>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</si>
  <si>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</si>
  <si>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</si>
  <si>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</si>
  <si>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</si>
  <si>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</si>
  <si>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</si>
  <si>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</si>
  <si>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</si>
  <si>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</si>
  <si>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</si>
  <si>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</si>
  <si>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</si>
  <si>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</si>
  <si>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</si>
  <si>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</si>
  <si>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</si>
  <si>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</si>
  <si>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</si>
  <si>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</si>
  <si>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</si>
  <si>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</si>
  <si>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</si>
  <si>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</si>
  <si>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</si>
  <si>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</si>
  <si>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</si>
  <si>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</si>
  <si>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</si>
  <si>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</si>
  <si>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</si>
  <si>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</si>
  <si>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</si>
  <si>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</si>
  <si>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</si>
  <si>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</si>
  <si>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</si>
  <si>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</si>
  <si>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</si>
  <si>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</si>
  <si>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</si>
  <si>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</si>
  <si>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</si>
  <si>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</si>
  <si>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</si>
  <si>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</si>
  <si>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</si>
  <si>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</si>
  <si>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</si>
  <si>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</si>
  <si>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</si>
  <si>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</si>
  <si>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</si>
  <si>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</si>
  <si>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</si>
  <si>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</si>
  <si>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</si>
  <si>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</si>
  <si>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</si>
  <si>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</si>
  <si>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</si>
  <si>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</si>
  <si>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</si>
  <si>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</si>
  <si>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</si>
  <si>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</si>
  <si>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</si>
  <si>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</si>
  <si>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</si>
  <si>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</si>
  <si>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</si>
  <si>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</si>
  <si>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</si>
  <si>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</si>
  <si>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</si>
  <si>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</si>
  <si>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</si>
  <si>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</si>
  <si>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</si>
  <si>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</si>
  <si>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</si>
  <si>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</si>
  <si>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</si>
  <si>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</si>
  <si>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</si>
  <si>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</si>
  <si>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</si>
  <si>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</si>
  <si>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</si>
  <si>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</si>
  <si>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</si>
  <si>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</si>
  <si>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</si>
  <si>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</si>
  <si>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</si>
  <si>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</si>
  <si>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</si>
  <si>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</si>
  <si>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</si>
  <si>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</si>
  <si>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</si>
  <si>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</si>
  <si>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</si>
  <si>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</si>
  <si>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</si>
  <si>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</si>
  <si>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</si>
  <si>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</si>
  <si>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</si>
  <si>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</si>
  <si>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</si>
  <si>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</si>
  <si>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</si>
  <si>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</si>
  <si>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</si>
  <si>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</si>
  <si>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</si>
  <si>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</si>
  <si>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</si>
  <si>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</si>
  <si>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</si>
  <si>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</si>
  <si>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</si>
  <si>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</si>
  <si>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</si>
  <si>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</si>
  <si>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</si>
  <si>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</si>
  <si>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</si>
  <si>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</si>
  <si>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</si>
  <si>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</si>
  <si>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</si>
  <si>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</si>
  <si>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</si>
  <si>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</si>
  <si>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</si>
  <si>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</si>
  <si>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</si>
  <si>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</si>
  <si>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</si>
  <si>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</si>
  <si>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</si>
  <si>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</si>
  <si>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</si>
  <si>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</si>
  <si>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</si>
  <si>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</si>
  <si>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</si>
  <si>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</si>
  <si>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</si>
  <si>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</si>
  <si>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</si>
  <si>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</si>
  <si>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</si>
  <si>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</si>
  <si>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</si>
  <si>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</si>
  <si>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</si>
  <si>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</si>
  <si>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</si>
  <si>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</si>
  <si>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</si>
  <si>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</si>
  <si>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</si>
  <si>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</si>
  <si>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</si>
  <si>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</si>
  <si>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</si>
  <si>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</si>
  <si>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</si>
  <si>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</si>
  <si>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</si>
  <si>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</si>
  <si>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</si>
  <si>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</si>
  <si>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</si>
  <si>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</si>
  <si>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</si>
  <si>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</si>
  <si>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</si>
  <si>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</si>
  <si>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</si>
  <si>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</si>
  <si>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</si>
  <si>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</si>
  <si>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</si>
  <si>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</si>
  <si>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</si>
  <si>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</si>
  <si>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</si>
  <si>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</si>
  <si>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</si>
  <si>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</si>
  <si>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</si>
  <si>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</si>
  <si>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</si>
  <si>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</si>
  <si>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</si>
  <si>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</si>
  <si>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</si>
  <si>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</si>
  <si>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</si>
  <si>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</si>
  <si>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</si>
  <si>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</si>
  <si>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</si>
  <si>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</si>
  <si>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</si>
  <si>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</si>
  <si>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</si>
  <si>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</si>
  <si>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</si>
  <si>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</si>
  <si>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</si>
  <si>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</si>
  <si>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</si>
  <si>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</si>
  <si>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</si>
  <si>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</si>
  <si>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</si>
  <si>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</si>
  <si>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</si>
  <si>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</si>
  <si>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</si>
  <si>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</si>
  <si>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</si>
  <si>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</si>
  <si>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</si>
  <si>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</si>
  <si>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</si>
  <si>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</si>
  <si>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</si>
  <si>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</si>
  <si>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</si>
  <si>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</si>
  <si>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</si>
  <si>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</si>
  <si>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</si>
  <si>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</si>
  <si>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</si>
  <si>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</si>
  <si>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</si>
  <si>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</si>
  <si>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</si>
  <si>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</si>
  <si>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</si>
  <si>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</si>
  <si>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</si>
  <si>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</si>
  <si>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</si>
  <si>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</si>
  <si>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</si>
  <si>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</si>
  <si>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</si>
  <si>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</si>
  <si>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</si>
  <si>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</si>
  <si>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</si>
  <si>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</si>
  <si>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</si>
  <si>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</si>
  <si>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</si>
  <si>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</si>
  <si>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</si>
  <si>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</si>
  <si>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</si>
  <si>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</si>
  <si>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</si>
  <si>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</si>
  <si>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</si>
  <si>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</si>
  <si>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</si>
  <si>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</si>
  <si>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</si>
  <si>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</si>
  <si>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</si>
  <si>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</si>
  <si>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</si>
  <si>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</si>
  <si>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</si>
  <si>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</si>
  <si>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</si>
  <si>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</si>
  <si>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</si>
  <si>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</si>
  <si>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</si>
  <si>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</si>
  <si>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</si>
  <si>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</si>
  <si>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</si>
  <si>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</si>
  <si>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</si>
  <si>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</si>
  <si>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</si>
  <si>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</si>
  <si>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</si>
  <si>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</si>
  <si>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</si>
  <si>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</si>
  <si>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</si>
  <si>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</si>
  <si>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</si>
  <si>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</si>
  <si>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</si>
  <si>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</si>
  <si>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</si>
  <si>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</si>
  <si>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</si>
  <si>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</si>
  <si>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</si>
  <si>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</si>
  <si>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</si>
  <si>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</si>
  <si>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</si>
  <si>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</si>
  <si>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</si>
  <si>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</si>
  <si>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</si>
  <si>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</si>
  <si>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</si>
  <si>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</si>
  <si>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</si>
  <si>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</si>
  <si>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</si>
  <si>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</si>
  <si>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</si>
  <si>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</si>
  <si>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</si>
  <si>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</si>
  <si>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</si>
  <si>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</si>
  <si>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</si>
  <si>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</si>
  <si>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</si>
  <si>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</si>
  <si>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</si>
  <si>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</si>
  <si>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</si>
  <si>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</si>
  <si>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</si>
  <si>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</si>
  <si>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</si>
  <si>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</si>
  <si>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</si>
  <si>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</si>
  <si>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</si>
  <si>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</si>
  <si>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</si>
  <si>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</si>
  <si>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</si>
  <si>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</si>
  <si>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</si>
  <si>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</si>
  <si>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</si>
  <si>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</si>
  <si>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</si>
  <si>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</si>
  <si>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</si>
  <si>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</si>
  <si>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</si>
  <si>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</si>
  <si>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</si>
  <si>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</si>
  <si>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</si>
  <si>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</si>
  <si>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</si>
  <si>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</si>
  <si>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</si>
  <si>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</si>
  <si>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</si>
  <si>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</si>
  <si>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</si>
  <si>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</si>
  <si>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</si>
  <si>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</si>
  <si>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</si>
  <si>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</si>
  <si>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</si>
  <si>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</si>
  <si>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</si>
  <si>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</si>
  <si>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</si>
  <si>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</si>
  <si>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</si>
  <si>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</si>
  <si>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</si>
  <si>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</si>
  <si>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</si>
  <si>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</si>
  <si>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</si>
  <si>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</si>
  <si>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</si>
  <si>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</si>
  <si>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</si>
  <si>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</si>
  <si>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</si>
  <si>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</si>
  <si>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</si>
  <si>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</si>
  <si>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</si>
  <si>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</si>
  <si>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</si>
  <si>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</si>
  <si>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</si>
  <si>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</si>
  <si>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</si>
  <si>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</si>
  <si>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</si>
  <si>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</si>
  <si>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</si>
  <si>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</si>
  <si>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</si>
  <si>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</si>
  <si>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</si>
  <si>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</si>
  <si>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</si>
  <si>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</si>
  <si>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</si>
  <si>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</si>
  <si>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</si>
  <si>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</si>
  <si>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</si>
  <si>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</si>
  <si>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</si>
  <si>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</si>
  <si>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</si>
  <si>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</si>
  <si>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</si>
  <si>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</si>
  <si>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</si>
  <si>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</si>
  <si>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</si>
  <si>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</si>
  <si>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</si>
  <si>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</si>
  <si>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</si>
  <si>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</si>
  <si>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</si>
  <si>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</si>
  <si>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</si>
  <si>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</si>
  <si>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</si>
  <si>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</si>
  <si>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</si>
  <si>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</si>
  <si>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</si>
  <si>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</si>
  <si>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</si>
  <si>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</si>
  <si>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</si>
  <si>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</si>
  <si>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</si>
  <si>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</si>
  <si>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</si>
  <si>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</si>
  <si>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</si>
  <si>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</si>
  <si>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</si>
  <si>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</si>
  <si>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</si>
  <si>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</si>
  <si>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</si>
  <si>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</si>
  <si>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</si>
  <si>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</si>
  <si>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</si>
  <si>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</si>
  <si>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</si>
  <si>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</si>
  <si>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</si>
  <si>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</si>
  <si>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</si>
  <si>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</si>
  <si>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</si>
  <si>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</si>
  <si>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</si>
  <si>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</si>
  <si>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</si>
  <si>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</si>
  <si>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</si>
  <si>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</si>
  <si>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</si>
  <si>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</si>
  <si>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</si>
  <si>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</si>
  <si>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</si>
  <si>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</si>
  <si>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</si>
  <si>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</si>
  <si>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</si>
  <si>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</si>
  <si>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</si>
  <si>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</si>
  <si>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</si>
  <si>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</si>
  <si>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</si>
  <si>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</si>
  <si>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</si>
  <si>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</si>
  <si>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</si>
  <si>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</si>
  <si>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</si>
  <si>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</si>
  <si>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</si>
  <si>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</si>
  <si>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</si>
  <si>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</si>
  <si>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</si>
  <si>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</si>
  <si>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</si>
  <si>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</si>
  <si>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</si>
  <si>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</si>
  <si>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</si>
  <si>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</si>
  <si>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</si>
  <si>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</si>
  <si>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</si>
  <si>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</si>
  <si>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</si>
  <si>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</si>
  <si>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</si>
  <si>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</si>
  <si>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</si>
  <si>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</si>
  <si>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</si>
  <si>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</si>
  <si>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</si>
  <si>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</si>
  <si>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</si>
  <si>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</si>
  <si>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</si>
  <si>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</si>
  <si>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</si>
  <si>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</si>
  <si>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</si>
  <si>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</si>
  <si>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</si>
  <si>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</si>
  <si>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</si>
  <si>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</si>
  <si>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</si>
  <si>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</si>
  <si>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</si>
  <si>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</si>
  <si>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</si>
  <si>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</si>
  <si>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</si>
  <si>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</si>
  <si>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</si>
  <si>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</si>
  <si>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</si>
  <si>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</si>
  <si>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</si>
  <si>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</si>
  <si>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</si>
  <si>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</si>
  <si>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</si>
  <si>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</si>
  <si>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</si>
  <si>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</si>
  <si>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</si>
  <si>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</si>
  <si>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</si>
  <si>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</si>
  <si>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</si>
  <si>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</si>
  <si>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</si>
  <si>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</si>
  <si>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</si>
  <si>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</si>
  <si>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</si>
  <si>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</si>
  <si>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</si>
  <si>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</si>
  <si>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</si>
  <si>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</si>
  <si>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</si>
  <si>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</si>
  <si>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</si>
  <si>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</si>
  <si>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</si>
  <si>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</si>
  <si>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</si>
  <si>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</si>
  <si>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</si>
  <si>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</si>
  <si>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</si>
  <si>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</si>
  <si>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</si>
  <si>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</si>
  <si>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</si>
  <si>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</si>
  <si>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</si>
  <si>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</si>
  <si>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</si>
  <si>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</si>
  <si>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</si>
  <si>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</si>
  <si>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</si>
  <si>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</si>
  <si>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</si>
  <si>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</si>
  <si>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</si>
  <si>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</si>
  <si>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</si>
  <si>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</si>
  <si>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</si>
  <si>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</si>
  <si>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</si>
  <si>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</si>
  <si>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</si>
  <si>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</si>
  <si>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</si>
  <si>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</si>
  <si>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</si>
  <si>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</si>
  <si>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</si>
  <si>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</si>
  <si>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</si>
  <si>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</si>
  <si>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</si>
  <si>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</si>
  <si>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</si>
  <si>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</si>
  <si>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</si>
  <si>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</si>
  <si>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</si>
  <si>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</si>
  <si>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</si>
  <si>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</si>
  <si>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</si>
  <si>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</si>
  <si>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</si>
  <si>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</si>
  <si>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</si>
  <si>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</si>
  <si>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</si>
  <si>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</si>
  <si>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</si>
  <si>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</si>
  <si>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</si>
  <si>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</si>
  <si>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</si>
  <si>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</si>
  <si>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</si>
  <si>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</si>
  <si>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</si>
  <si>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</si>
  <si>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</si>
  <si>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</si>
  <si>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</si>
  <si>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</si>
  <si>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</si>
  <si>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</si>
  <si>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</si>
  <si>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</si>
  <si>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</si>
  <si>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</si>
  <si>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</si>
  <si>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</si>
  <si>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</si>
  <si>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</si>
  <si>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</si>
  <si>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</si>
  <si>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</si>
  <si>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</si>
  <si>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</si>
  <si>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</si>
  <si>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</si>
  <si>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</si>
  <si>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</si>
  <si>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</si>
  <si>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</si>
  <si>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</si>
  <si>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</si>
  <si>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</si>
  <si>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</si>
  <si>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</si>
  <si>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</si>
  <si>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</si>
  <si>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</si>
  <si>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</si>
  <si>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</si>
  <si>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</si>
  <si>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</si>
  <si>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</si>
  <si>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</si>
  <si>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</si>
  <si>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</si>
  <si>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</si>
  <si>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</si>
  <si>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</si>
  <si>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</si>
  <si>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</si>
  <si>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</si>
  <si>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</si>
  <si>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</si>
  <si>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</si>
  <si>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</si>
  <si>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</si>
  <si>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</si>
  <si>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</si>
  <si>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</si>
  <si>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</si>
  <si>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</si>
  <si>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</si>
  <si>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</si>
  <si>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</si>
  <si>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</si>
  <si>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</si>
  <si>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</si>
  <si>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</si>
  <si>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</si>
  <si>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</si>
  <si>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</si>
  <si>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</si>
  <si>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</si>
  <si>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</si>
  <si>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</si>
  <si>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</si>
  <si>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</si>
  <si>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</si>
  <si>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</si>
  <si>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</si>
  <si>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</si>
  <si>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</si>
  <si>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</si>
  <si>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</si>
  <si>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</si>
  <si>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</si>
  <si>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</si>
  <si>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</si>
  <si>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</si>
  <si>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</si>
  <si>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</si>
  <si>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</si>
  <si>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</si>
  <si>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</si>
  <si>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</si>
  <si>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</si>
  <si>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</si>
  <si>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</si>
  <si>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</si>
  <si>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</si>
  <si>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</si>
  <si>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</si>
  <si>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</si>
  <si>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</si>
  <si>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</si>
  <si>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</si>
  <si>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</si>
  <si>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</si>
  <si>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</si>
  <si>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</si>
  <si>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</si>
  <si>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</si>
  <si>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</si>
  <si>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</si>
  <si>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</si>
  <si>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</si>
  <si>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</si>
  <si>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</si>
  <si>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</si>
  <si>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</si>
  <si>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</si>
  <si>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</si>
  <si>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</si>
  <si>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</si>
  <si>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</si>
  <si>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</si>
  <si>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</si>
  <si>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</si>
  <si>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</si>
  <si>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</si>
  <si>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</si>
  <si>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</si>
  <si>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</si>
  <si>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</si>
  <si>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</si>
  <si>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</si>
  <si>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</si>
  <si>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</si>
  <si>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</si>
  <si>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</si>
  <si>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</si>
  <si>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</si>
  <si>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</si>
  <si>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</si>
  <si>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</si>
  <si>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</si>
  <si>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</si>
  <si>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</si>
  <si>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</si>
  <si>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</si>
  <si>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</si>
  <si>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</si>
  <si>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</si>
  <si>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</si>
  <si>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</si>
  <si>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</si>
  <si>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</si>
  <si>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</si>
  <si>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</si>
  <si>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</si>
  <si>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</si>
  <si>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</si>
  <si>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</si>
  <si>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</si>
  <si>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</si>
  <si>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</si>
  <si>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</si>
  <si>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</si>
  <si>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</si>
  <si>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</si>
  <si>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</si>
  <si>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</si>
  <si>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</si>
  <si>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</si>
  <si>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</si>
  <si>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</si>
  <si>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</si>
  <si>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</si>
  <si>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</si>
  <si>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</si>
  <si>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</si>
  <si>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</si>
  <si>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</si>
  <si>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</si>
  <si>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</si>
  <si>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</si>
  <si>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</si>
  <si>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</si>
  <si>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</si>
  <si>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</si>
  <si>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</si>
  <si>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</si>
  <si>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</si>
  <si>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</si>
  <si>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</si>
  <si>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</si>
  <si>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</si>
  <si>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</si>
  <si>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</si>
  <si>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</si>
  <si>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</si>
  <si>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</si>
  <si>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</si>
  <si>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</si>
  <si>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</si>
  <si>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</si>
  <si>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</si>
  <si>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</si>
  <si>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</si>
  <si>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</si>
  <si>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</si>
  <si>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</si>
  <si>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</si>
  <si>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</si>
  <si>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</si>
  <si>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</si>
  <si>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</si>
  <si>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</si>
  <si>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</si>
  <si>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</si>
  <si>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</si>
  <si>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</si>
  <si>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</si>
  <si>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</si>
  <si>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</si>
  <si>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</si>
  <si>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</si>
  <si>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</si>
  <si>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</si>
  <si>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</si>
  <si>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</si>
  <si>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</si>
  <si>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</si>
  <si>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</si>
  <si>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</si>
  <si>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</si>
  <si>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</si>
  <si>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</si>
  <si>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</si>
  <si>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</si>
  <si>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</si>
  <si>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</si>
  <si>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</si>
  <si>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</si>
  <si>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</si>
  <si>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</si>
  <si>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</si>
  <si>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</si>
  <si>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</si>
  <si>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</si>
  <si>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</si>
  <si>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</si>
  <si>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</si>
  <si>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</si>
  <si>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</si>
  <si>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</si>
  <si>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</si>
  <si>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</si>
  <si>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</si>
  <si>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</si>
  <si>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</si>
  <si>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</si>
  <si>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</si>
  <si>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</si>
  <si>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</si>
  <si>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</si>
  <si>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</si>
  <si>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</si>
  <si>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</si>
  <si>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</si>
  <si>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</si>
  <si>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</si>
  <si>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</si>
  <si>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</si>
  <si>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</si>
  <si>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</si>
  <si>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</si>
  <si>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</si>
  <si>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</si>
  <si>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</si>
  <si>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</si>
  <si>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</si>
  <si>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</si>
  <si>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</si>
  <si>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</si>
  <si>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</si>
  <si>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</si>
  <si>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</si>
  <si>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</si>
  <si>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</si>
  <si>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</si>
  <si>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</si>
  <si>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</si>
  <si>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</si>
  <si>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</si>
  <si>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</si>
  <si>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</si>
  <si>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</si>
  <si>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</si>
  <si>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</si>
  <si>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</si>
  <si>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</si>
  <si>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</si>
  <si>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</si>
  <si>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</si>
  <si>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</si>
  <si>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</si>
  <si>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</si>
  <si>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</si>
  <si>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</si>
  <si>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</si>
  <si>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</si>
  <si>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</si>
  <si>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</si>
  <si>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</si>
  <si>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</si>
  <si>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</si>
  <si>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</si>
  <si>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</si>
  <si>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</si>
  <si>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</si>
  <si>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</si>
  <si>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</si>
  <si>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</si>
  <si>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</si>
  <si>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</si>
  <si>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</si>
  <si>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</si>
  <si>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</si>
  <si>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</si>
  <si>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</si>
  <si>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</si>
  <si>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</si>
  <si>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</si>
  <si>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</si>
  <si>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</si>
  <si>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</si>
  <si>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</si>
  <si>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</si>
  <si>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</si>
  <si>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</si>
  <si>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</si>
  <si>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</si>
  <si>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</si>
  <si>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</si>
  <si>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</si>
  <si>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</si>
  <si>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</si>
  <si>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</si>
  <si>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</si>
  <si>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</si>
  <si>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</si>
  <si>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</si>
  <si>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</si>
  <si>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</si>
  <si>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</si>
  <si>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</si>
  <si>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</si>
  <si>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</si>
  <si>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</si>
  <si>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</si>
  <si>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</si>
  <si>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</si>
  <si>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</si>
  <si>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</si>
  <si>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</si>
  <si>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</si>
  <si>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</si>
  <si>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</si>
  <si>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</si>
  <si>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</si>
  <si>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</si>
  <si>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</si>
  <si>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</si>
  <si>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</si>
  <si>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</si>
  <si>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</si>
  <si>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</si>
  <si>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</si>
  <si>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</si>
  <si>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</si>
  <si>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</si>
  <si>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</si>
  <si>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</si>
  <si>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</si>
  <si>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</si>
  <si>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</si>
  <si>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</si>
  <si>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</si>
  <si>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</si>
  <si>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</si>
  <si>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</si>
  <si>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</si>
  <si>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</si>
  <si>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</si>
  <si>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</si>
  <si>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</si>
  <si>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</si>
  <si>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</si>
  <si>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</si>
  <si>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</si>
  <si>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</si>
  <si>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</si>
  <si>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</si>
  <si>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</si>
  <si>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</si>
  <si>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</si>
  <si>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</si>
  <si>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</si>
  <si>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</si>
  <si>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</si>
  <si>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</si>
  <si>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</si>
  <si>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</si>
  <si>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</si>
  <si>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</si>
  <si>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</si>
  <si>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</si>
  <si>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</si>
  <si>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</si>
  <si>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</si>
  <si>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</si>
  <si>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</si>
  <si>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</si>
  <si>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</si>
  <si>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</si>
  <si>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</si>
  <si>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</si>
  <si>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</si>
  <si>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</si>
  <si>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</si>
  <si>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</si>
  <si>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</si>
  <si>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</si>
  <si>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</si>
  <si>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</si>
  <si>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</si>
  <si>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</si>
  <si>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</si>
  <si>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</si>
  <si>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</si>
  <si>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</si>
  <si>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</si>
  <si>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</si>
  <si>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</si>
  <si>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</si>
  <si>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</si>
  <si>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</si>
  <si>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</si>
  <si>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</si>
  <si>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</si>
  <si>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</si>
  <si>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</si>
  <si>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</si>
  <si>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</si>
  <si>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</si>
  <si>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</si>
  <si>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</si>
  <si>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</si>
  <si>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</si>
  <si>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</si>
  <si>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</si>
  <si>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</si>
  <si>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</si>
  <si>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</si>
  <si>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</si>
  <si>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</si>
  <si>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</si>
  <si>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</si>
  <si>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</si>
  <si>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</si>
  <si>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</si>
  <si>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</si>
  <si>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</si>
  <si>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</si>
  <si>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</si>
  <si>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</si>
  <si>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</si>
  <si>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</si>
  <si>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</si>
  <si>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</si>
  <si>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</si>
  <si>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</si>
  <si>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</si>
  <si>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</si>
  <si>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</si>
  <si>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</si>
  <si>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</si>
  <si>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</si>
  <si>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</si>
  <si>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</si>
  <si>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</si>
  <si>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</si>
  <si>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</si>
  <si>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</si>
  <si>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</si>
  <si>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</si>
  <si>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</si>
  <si>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</si>
  <si>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</si>
  <si>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</si>
  <si>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</si>
  <si>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</si>
  <si>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</si>
  <si>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</si>
  <si>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</si>
  <si>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</si>
  <si>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</si>
  <si>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</si>
  <si>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</si>
  <si>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</si>
  <si>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</si>
  <si>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</si>
  <si>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</si>
  <si>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</si>
  <si>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</si>
  <si>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</si>
  <si>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</si>
  <si>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</si>
  <si>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</si>
  <si>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</si>
  <si>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</si>
  <si>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</si>
  <si>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</si>
  <si>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</si>
  <si>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</si>
  <si>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</si>
  <si>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</si>
  <si>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</si>
  <si>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</si>
  <si>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</si>
  <si>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</si>
  <si>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</si>
  <si>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</si>
  <si>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</si>
  <si>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</si>
  <si>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</si>
  <si>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</si>
  <si>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</si>
  <si>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</si>
  <si>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</si>
  <si>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</si>
  <si>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</si>
  <si>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</si>
  <si>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</si>
  <si>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</si>
  <si>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</si>
  <si>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</si>
  <si>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</si>
  <si>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</si>
  <si>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</si>
  <si>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</si>
  <si>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</si>
  <si>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</si>
  <si>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</si>
  <si>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</si>
  <si>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</si>
  <si>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</si>
  <si>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</si>
  <si>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</si>
  <si>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</si>
  <si>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</si>
  <si>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</si>
  <si>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</si>
  <si>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</si>
  <si>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</si>
  <si>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</si>
  <si>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</si>
  <si>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</si>
  <si>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</si>
  <si>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</si>
  <si>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</si>
  <si>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</si>
  <si>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</si>
  <si>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</si>
  <si>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</si>
  <si>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</si>
  <si>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</si>
  <si>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</si>
  <si>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</si>
  <si>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</si>
  <si>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</si>
  <si>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</si>
  <si>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</si>
  <si>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</si>
  <si>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</si>
  <si>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</si>
  <si>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</si>
  <si>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</si>
  <si>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</si>
  <si>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</si>
  <si>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</si>
  <si>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</si>
  <si>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</si>
  <si>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</si>
  <si>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</si>
  <si>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</si>
  <si>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</si>
  <si>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</si>
  <si>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</si>
  <si>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</si>
  <si>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</si>
  <si>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</si>
  <si>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</si>
  <si>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</si>
  <si>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</si>
  <si>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</si>
  <si>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</si>
  <si>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</si>
  <si>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</si>
  <si>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</si>
  <si>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</si>
  <si>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</si>
  <si>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</si>
  <si>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</si>
  <si>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</si>
  <si>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</si>
  <si>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</si>
  <si>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</si>
  <si>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</si>
  <si>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</si>
  <si>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</si>
  <si>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</si>
  <si>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</si>
  <si>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</si>
  <si>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</si>
  <si>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</si>
  <si>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</si>
  <si>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</si>
  <si>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</si>
  <si>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</si>
  <si>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</si>
  <si>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</si>
  <si>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</si>
  <si>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</si>
  <si>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</si>
  <si>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</si>
  <si>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</si>
  <si>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</si>
  <si>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</si>
  <si>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</si>
  <si>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</si>
  <si>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</si>
  <si>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</si>
  <si>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</si>
  <si>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</si>
  <si>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</si>
  <si>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</si>
  <si>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</si>
  <si>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</si>
  <si>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</si>
  <si>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</si>
  <si>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</si>
  <si>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</si>
  <si>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</si>
  <si>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</si>
  <si>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</si>
  <si>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</si>
  <si>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</si>
  <si>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</si>
  <si>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</si>
  <si>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</si>
  <si>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</si>
  <si>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</si>
  <si>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</si>
  <si>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</si>
  <si>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</si>
  <si>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</si>
  <si>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</si>
  <si>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</si>
  <si>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</si>
  <si>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</si>
  <si>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</si>
  <si>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</si>
  <si>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</si>
  <si>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</si>
  <si>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</si>
  <si>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</si>
  <si>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</si>
  <si>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</si>
  <si>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</si>
  <si>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</si>
  <si>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</si>
  <si>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</si>
  <si>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</si>
  <si>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</si>
  <si>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</si>
  <si>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</si>
  <si>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</si>
  <si>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</si>
  <si>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</si>
  <si>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</si>
  <si>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</si>
  <si>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</si>
  <si>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</si>
  <si>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</si>
  <si>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</si>
  <si>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</si>
  <si>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</si>
  <si>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</si>
  <si>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</si>
  <si>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</si>
  <si>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</si>
  <si>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</si>
  <si>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</si>
  <si>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</si>
  <si>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</si>
  <si>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</si>
  <si>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</si>
  <si>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</si>
  <si>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</si>
  <si>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</si>
  <si>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</si>
  <si>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</si>
  <si>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</si>
  <si>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</si>
  <si>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</si>
  <si>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</si>
  <si>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</si>
  <si>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</si>
  <si>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</si>
  <si>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</si>
  <si>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</si>
  <si>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</si>
  <si>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</si>
  <si>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</si>
  <si>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</si>
  <si>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</si>
  <si>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</si>
  <si>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</si>
  <si>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</si>
  <si>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</si>
  <si>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</si>
  <si>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</si>
  <si>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</si>
  <si>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</si>
  <si>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</si>
  <si>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</si>
  <si>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</si>
  <si>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</si>
  <si>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</si>
  <si>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</si>
  <si>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</si>
  <si>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</si>
  <si>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</si>
  <si>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</si>
  <si>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</si>
  <si>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</si>
  <si>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</si>
  <si>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</si>
  <si>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</si>
  <si>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</si>
  <si>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</si>
  <si>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</si>
  <si>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</si>
  <si>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</si>
  <si>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</si>
  <si>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</si>
  <si>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</si>
  <si>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</si>
  <si>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</si>
  <si>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</si>
  <si>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</si>
  <si>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</si>
  <si>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</si>
  <si>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</si>
  <si>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</si>
  <si>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</si>
  <si>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</si>
  <si>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</si>
  <si>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</si>
  <si>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</si>
  <si>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</si>
  <si>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</si>
  <si>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</si>
  <si>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</si>
  <si>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</si>
  <si>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</si>
  <si>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</si>
  <si>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</si>
  <si>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</si>
  <si>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</si>
  <si>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</si>
  <si>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</si>
  <si>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</si>
  <si>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</si>
  <si>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</si>
  <si>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</si>
  <si>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</si>
  <si>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</si>
  <si>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</si>
  <si>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</si>
  <si>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</si>
  <si>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</si>
  <si>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</si>
  <si>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</si>
  <si>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</si>
  <si>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</si>
  <si>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</si>
  <si>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</si>
  <si>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</si>
  <si>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</si>
  <si>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</si>
  <si>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</si>
  <si>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</si>
  <si>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</si>
  <si>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</si>
  <si>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</si>
  <si>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</si>
  <si>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</si>
  <si>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</si>
  <si>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</si>
  <si>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</si>
  <si>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</si>
  <si>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</si>
  <si>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</si>
  <si>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</si>
  <si>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</si>
  <si>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</si>
  <si>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</si>
  <si>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</si>
  <si>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</si>
  <si>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</si>
  <si>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</si>
  <si>
    <t>JA Solar JAM66-S45 600 Watts Solar Panel</t>
  </si>
  <si>
    <t>600W Mono</t>
  </si>
  <si>
    <t>AC DC 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</si>
</sst>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AT237" activePane="bottomRight" state="frozen"/>
      <selection activeCell="O51" sqref="O51"/>
      <selection pane="topRight" activeCell="O51" sqref="O51"/>
      <selection pane="bottomLeft" activeCell="O51" sqref="O51"/>
      <selection pane="bottomRight" activeCell="A247" sqref="A247"/>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9</v>
      </c>
      <c r="M1" s="103" t="s">
        <v>2488</v>
      </c>
      <c r="N1" s="103">
        <f ca="1">IFERROR('Client List'!AC493,IF(AND('Customer Base'!D7&lt;&gt;"Backup",SUMPRODUCT(A6:A132,AP6:AP132)&gt;0),SUM(A242:A254)/L5,0))</f>
        <v>5</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3</v>
      </c>
      <c r="B2" s="270">
        <v>4</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48.413793103448278</v>
      </c>
      <c r="BM4" s="103">
        <f>MOD('Customer Base'!$J$9*1000*0.8,$BO4)</f>
        <v>480</v>
      </c>
      <c r="BN4" s="103">
        <v>20</v>
      </c>
      <c r="BO4" s="103">
        <v>1160</v>
      </c>
      <c r="BP4" s="231"/>
    </row>
    <row r="5" spans="1:68">
      <c r="C5" s="232" t="s">
        <v>1885</v>
      </c>
      <c r="D5" s="233"/>
      <c r="E5" s="233"/>
      <c r="F5" s="233"/>
      <c r="G5" s="234"/>
      <c r="H5" s="233"/>
      <c r="I5" s="235"/>
      <c r="K5" s="225" t="s">
        <v>2700</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6</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28.08</v>
      </c>
      <c r="BM5" s="103">
        <f>MOD('Customer Base'!$J$9*1000*0.8,$BO5)</f>
        <v>160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21.6</v>
      </c>
      <c r="BM6" s="103">
        <f>MOD('Customer Base'!$J$9*1000*0.8,$BO6)</f>
        <v>1560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16.325581395348838</v>
      </c>
      <c r="BM7" s="103">
        <f>MOD('Customer Base'!$J$9*1000*0.8,$BO7)</f>
        <v>1120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14.04</v>
      </c>
      <c r="BM8" s="103">
        <f>MOD('Customer Base'!$J$9*1000*0.8,$BO8)</f>
        <v>160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11.461224489795919</v>
      </c>
      <c r="BM9" s="103">
        <f>MOD('Customer Base'!$J$9*1000*0.8,$BO9)</f>
        <v>2260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9.6827586206896559</v>
      </c>
      <c r="BM10" s="103">
        <f>MOD('Customer Base'!$J$9*1000*0.8,$BO10)</f>
        <v>3960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9.6827586206896559</v>
      </c>
      <c r="BM12" s="103">
        <f>MAX(BM4:BM10)</f>
        <v>3960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100</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100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60kVA inverter, 100kWh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60kVA inverter, 70.2kWp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60kVA inverter, 100kWh Battery, 70.2kWp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60kVA inverter, 100kWh Battery, and 70.2kWp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60kVA inverter, 100kWh Battery, 70.2kWp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2785</v>
      </c>
      <c r="L36" s="224">
        <f>J36/'Customer Base'!$J$5</f>
        <v>412.5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2259</v>
      </c>
      <c r="AO50" s="103" t="str">
        <f>IF('Customer Base'!$I$15="MANUAL",IFERROR(AM50*B50,""),IF('Customer Base'!$I$15="AUTOMATE",IFERROR(AM50*A50,""),""))</f>
        <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f>IF(AND('Customer Base'!D$8=48,'Customer Base'!D$13="Victron",'Customer Base'!E$13="Multiplus",'Customer Base'!D$14&gt;8,'Customer Base'!D$14&lt;=10),'Customer Base'!D$15,IF(AND('Customer Base'!D$7="Mini-Grid",'Customer Base'!D$8=48,'Customer Base'!F$13="Victron",'Customer Base'!F$14&gt;8,'Customer Base'!F$14&lt;=10),'Customer Base'!F$15,""))</f>
        <v>6</v>
      </c>
      <c r="B52" s="270" t="s">
        <v>1</v>
      </c>
      <c r="C52" s="237" t="s">
        <v>2715</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Victron MultiPlus-II 48/10000/140-100 230V</v>
      </c>
      <c r="AM52" s="103">
        <v>10</v>
      </c>
      <c r="AN52" s="103" t="s">
        <v>2262</v>
      </c>
      <c r="AO52" s="103">
        <f>IF('Customer Base'!$I$15="MANUAL",IFERROR(AM52*B52,""),IF('Customer Base'!$I$15="AUTOMATE",IFERROR(AM52*A52,""),""))</f>
        <v>60</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9</v>
      </c>
      <c r="C53" s="237" t="s">
        <v>2716</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f>IF(AND('Customer Base'!D$9=3,'Customer Base'!D$13="Fronius",'Customer Base'!D$14&gt;17.5,'Customer Base'!D$14&lt;=20),'Customer Base'!D$15,IF(AND('Customer Base'!D$7="Mini-Grid",'Customer Base'!D$9=3,'Customer Base'!F$13="Fronius",'Customer Base'!F$14&gt;17.5,'Customer Base'!F$14&lt;=20),'Customer Base'!F$15,""))</f>
        <v>3</v>
      </c>
      <c r="B112" s="270" t="s">
        <v>1</v>
      </c>
      <c r="C112" s="248" t="s">
        <v>2767</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Fronius Symo Advanced 20.0-3-M 20kw light</v>
      </c>
      <c r="AM112" s="103">
        <v>20</v>
      </c>
      <c r="AN112" s="103" t="s">
        <v>2283</v>
      </c>
      <c r="AO112" s="103">
        <f>IF('Customer Base'!$I$15="MANUAL",IFERROR(AM112*B112,""),IF('Customer Base'!$I$15="AUTOMATE",IFERROR(AM112*A112,""),""))</f>
        <v>60</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f>IFERROR(IF(OR(ROUNDUP(SUM(A103:A118)/6,0)=0),"",ROUNDUP(SUM(A103:A118)/6,0)),"")</f>
        <v>1</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Fronius datamanager 2.0 Wlan GalSymPrim</v>
      </c>
      <c r="AO134" s="103">
        <f>IF('Customer Base'!$I$15="MANUAL",IFERROR(AM134*B134,""),IF('Customer Base'!$I$15="AUTOMATE",IFERROR(AM134*A134,""),""))</f>
        <v>0</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20</v>
      </c>
      <c r="B207" s="270">
        <v>54</v>
      </c>
      <c r="C207" s="257" t="s">
        <v>2775</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100</v>
      </c>
      <c r="AR207" s="103" t="s">
        <v>2214</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2655</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2658</v>
      </c>
      <c r="AO247" s="103" t="str">
        <f>IF('Customer Base'!$I$15="MANUAL",IFERROR(AM247*B247,""),IF('Customer Base'!$I$15="AUTOMATE",IFERROR(AM247*A247,""),""))</f>
        <v/>
      </c>
      <c r="AP247" s="103">
        <v>14.31</v>
      </c>
      <c r="AQ247" s="103">
        <v>50.5</v>
      </c>
      <c r="AR247" s="103" t="s">
        <v>2301</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117</v>
      </c>
      <c r="B248" s="270">
        <v>224</v>
      </c>
      <c r="C248" s="103" t="s">
        <v>2837</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2838</v>
      </c>
      <c r="AO248" s="103">
        <f>IF('Customer Base'!$I$15="MANUAL",IFERROR(AM248*B248,""),IF('Customer Base'!$I$15="AUTOMATE",IFERROR(AM248*A248,""),""))</f>
        <v>70.2</v>
      </c>
      <c r="AP248" s="103">
        <v>15.95</v>
      </c>
      <c r="AQ248" s="103">
        <v>47.7</v>
      </c>
      <c r="AR248" s="103" t="s">
        <v>2301</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1678</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1</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2835</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f>IF(AND('Customer Base'!D$19="Lithium",SUMPRODUCT(A$6:A$132,AW$6:AW$132)&gt;600,SUMPRODUCT(A$6:A$132,AW$6:AW$132)&lt;=1000),1,IF(SUMPRODUCT(A$6:A$132,AW$6:AW$132)&gt;1000,ROUNDUP(SUMPRODUCT(A$6:A$132,AW$6:AW$132)/1000,0),""))</f>
        <v>1</v>
      </c>
      <c r="B322" s="270">
        <v>2</v>
      </c>
      <c r="C322" s="237" t="s">
        <v>2756</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Victron Lynx Distributor (M10)</v>
      </c>
      <c r="AO322" s="103">
        <f>IF('Customer Base'!$I$15="MANUAL",IFERROR(AM322*B322,""),IF('Customer Base'!$I$15="AUTOMATE",IFERROR(AM322*A322,""),""))</f>
        <v>0</v>
      </c>
      <c r="AV322" s="103">
        <f t="shared" si="59"/>
        <v>0</v>
      </c>
    </row>
    <row r="323" spans="1:48">
      <c r="A323" s="103" t="str">
        <f>IF(AND('Customer Base'!D$19="Lithium",SUMPRODUCT(A$6:A$132,AW$6:AW$132)&gt;0,SUMPRODUCT(A$6:A$132,AW$6:AW$132)&lt;=150),2,"")</f>
        <v/>
      </c>
      <c r="B323" s="270" t="s">
        <v>1</v>
      </c>
      <c r="C323" s="237" t="s">
        <v>2757</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IFERROR(IF(AND('Customer Base'!D$13="Victron",'Customer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1</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3</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450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60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100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5</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f>IF('CABLE SIZING TOOL'!I$45=50,5*'Customer Base'!D$15,"")</f>
        <v>30</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Hikra Sol DC Solar cable 1x50mm2 1500V H1Z2Z2</v>
      </c>
      <c r="AO372" s="103">
        <f>IF('Customer Base'!$I$15="MANUAL",IFERROR(AM372*B372,""),IF('Customer Base'!$I$15="AUTOMATE",IFERROR(AM372*A372,""),""))</f>
        <v>0</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60</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Top Cable AC solar cable 5x16mm2 RV-K 0.6/1KV</v>
      </c>
      <c r="AO379" s="103">
        <f>IF('Customer Base'!$I$15="MANUAL",IFERROR(AM379*B379,""),IF('Customer Base'!$I$15="AUTOMATE",IFERROR(AM379*A379,""),""))</f>
        <v>0</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25</v>
      </c>
      <c r="B384" s="270" t="s">
        <v>1</v>
      </c>
      <c r="C384" s="253" t="s">
        <v>1846</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Top Cable AC solar cable 1x70mm2 RV-K 0.6/1KV</v>
      </c>
      <c r="AO384" s="103">
        <f>IF('Customer Base'!$I$15="MANUAL",IFERROR(AM384*B384,""),IF('Customer Base'!$I$15="AUTOMATE",IFERROR(AM384*A384,""),""))</f>
        <v>0</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1279</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145</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135.309</v>
      </c>
      <c r="E400" s="325">
        <f>H400*1.219</f>
        <v>117.024</v>
      </c>
      <c r="F400" s="255">
        <f>1%*IF('Customer Base'!I15="AUTOMATE",ROUNDUP(SUMPRODUCT($A$242:$A$254,F$242:F$254),-2),ROUNDUP(SUMPRODUCT($B$242:$B$254,F$242:F$254),-2))</f>
        <v>111</v>
      </c>
      <c r="G400" s="255">
        <f>IFERROR(ROUNDUP(F400*'Customer Base'!$J$5,2),0)</f>
        <v>1776</v>
      </c>
      <c r="H400" s="255">
        <f>1%*IF('Customer Base'!I15="AUTOMATE",ROUNDUP(SUMPRODUCT($A$242:$A$254,H$242:H$254),-2),ROUNDUP(SUMPRODUCT($B$242:$B$254,H$242:H$254),-2))</f>
        <v>96</v>
      </c>
      <c r="I400" s="255">
        <f>IFERROR(ROUNDUP(H400*'Customer Base'!$J$5,2),0)</f>
        <v>1536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9</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1</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B459" s="270" t="s">
        <v>1</v>
      </c>
      <c r="C459" s="250" t="s">
        <v>1245</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B460" s="270">
        <v>1</v>
      </c>
      <c r="C460" s="250" t="s">
        <v>1902</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1381</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f>IF(AND(OR(AND('Customer Base'!E13="Phoenix",'Customer Base'!D13="Victron"),'Customer Base'!D$7="Grid-Tied"),'Customer Base'!D$9=3,'CABLE SIZING TOOL'!J$27&gt;125,'CABLE SIZING TOOL'!J$27&lt;=160),1,IF(AND('Customer Base'!D$9=3,'CABLE SIZING TOOL'!J$27&gt;125,'CABLE SIZING TOOL'!J$27&lt;=160),2,""))</f>
        <v>2</v>
      </c>
      <c r="B484" s="270" t="s">
        <v>1</v>
      </c>
      <c r="C484" s="250" t="s">
        <v>1498</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160A 4-Pole AC Circuit Breaker</v>
      </c>
      <c r="AO484" s="103">
        <f>IF('Customer Base'!$I$15="MANUAL",IFERROR(AM484*B484,""),IF('Customer Base'!$I$15="AUTOMATE",IFERROR(AM484*A484,""),""))</f>
        <v>0</v>
      </c>
    </row>
    <row r="485" spans="1:48">
      <c r="C485" s="250" t="s">
        <v>1390</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2481</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14</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B502" s="270">
        <v>1</v>
      </c>
      <c r="C502" s="250" t="s">
        <v>1852</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29.5</v>
      </c>
      <c r="B505" s="270">
        <v>56</v>
      </c>
      <c r="C505" s="237" t="s">
        <v>1851</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1198.0999999999999</v>
      </c>
      <c r="E509" s="238">
        <f>IF(H509="",IF(I509&lt;&gt;"",ROUNDUP(I509*1.219/'Customer Base'!$J$5,1),""),ROUNDUP(H509*1.219,1))</f>
        <v>1198.0999999999999</v>
      </c>
      <c r="F509" s="238">
        <f>'Customer Base'!$J$9*14</f>
        <v>982.80000000000007</v>
      </c>
      <c r="G509" s="238">
        <f>IFERROR(ROUNDUP(F509*'Customer Base'!$J$5,2),0)</f>
        <v>15724.8</v>
      </c>
      <c r="H509" s="238">
        <f>'Customer Base'!$J$9*14</f>
        <v>982.80000000000007</v>
      </c>
      <c r="I509" s="238">
        <f>IFERROR(ROUNDUP(H509*'Customer Base'!$J$5,2),0)</f>
        <v>15724.8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1198.0999999999999</v>
      </c>
      <c r="E510" s="238">
        <f>IF(H510="",IF(I510&lt;&gt;"",ROUNDUP(I510*1.219/'Customer Base'!$J$5,1),""),ROUNDUP(H510*1.219,1))</f>
        <v>1198.0999999999999</v>
      </c>
      <c r="F510" s="238">
        <f>'Customer Base'!$J$9*14</f>
        <v>982.80000000000007</v>
      </c>
      <c r="G510" s="238">
        <f>IFERROR(ROUNDUP(F510*'Customer Base'!$J$5,2),0)</f>
        <v>15724.8</v>
      </c>
      <c r="H510" s="238">
        <f>'Customer Base'!$J$9*14</f>
        <v>982.80000000000007</v>
      </c>
      <c r="I510" s="238">
        <f>IFERROR(ROUNDUP(H510*'Customer Base'!$J$5,2),0)</f>
        <v>15724.8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558.5</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7330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300</v>
      </c>
      <c r="E544" s="330">
        <f>ROUNDUP('Customer Base'!J9*4,-2)</f>
        <v>300</v>
      </c>
      <c r="F544" s="263">
        <f t="shared" si="95"/>
        <v>246.10336341263329</v>
      </c>
      <c r="G544" s="263">
        <f>IFERROR(ROUNDUP(F544*'Customer Base'!$J$5,2),0)</f>
        <v>3937.6600000000003</v>
      </c>
      <c r="H544" s="263">
        <f t="shared" si="96"/>
        <v>246.10336341263329</v>
      </c>
      <c r="I544" s="263">
        <f>IFERROR(ROUNDUP(H544*'Customer Base'!$J$5,2),0)</f>
        <v>3937.6600000000003</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3822.6586624200008</v>
      </c>
      <c r="E550" s="333">
        <f>H550*1.219</f>
        <v>3394.6399082700004</v>
      </c>
      <c r="F550" s="249">
        <f>(IF(ISNA(VLOOKUP(INVOICE!$C$13,Items!$K$6:$L$56,2,0)),0,ROUNDUP(VLOOKUP(INVOICE!$C$13,Items!$K$6:$L$56,2,0),0))+(0.25%*ROUNDUP(SUMPRODUCT($B$242:$B$254,F$242:F$254),-1)*'Customer Base'!J9/10))*(IF('Customer Base'!J9&lt;10,1,'Customer Base'!J9/10))</f>
        <v>3135.8971800000004</v>
      </c>
      <c r="G550" s="249">
        <f>IFERROR(ROUNDUP(F550*'Customer Base'!$J$5,0),0)</f>
        <v>50175</v>
      </c>
      <c r="H550" s="249">
        <f>(IF(ISNA(VLOOKUP(INVOICE!$C$13,Items!$K$6:$L$56,2,0)),0,ROUNDUP(VLOOKUP(INVOICE!$C$13,Items!$K$6:$L$56,2,0),0))+(0.25%*ROUNDUP(SUMPRODUCT($B$242:$B$254,H$242:H$254),-1)*'Customer Base'!J9/10))*(IF('Customer Base'!J9&lt;10,1,'Customer Base'!J9/10))</f>
        <v>2784.7743300000002</v>
      </c>
      <c r="I550" s="249">
        <f>IFERROR(ROUNDUP(H550*'Customer Base'!$J$5,0),0)</f>
        <v>44557</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544.53827100000001</v>
      </c>
      <c r="E551" s="333">
        <f>H551*1.219</f>
        <v>483.56693850000005</v>
      </c>
      <c r="F551" s="249">
        <f>IF(ISNA(VLOOKUP(INVOICE!$C$13,Items!$K$6:$L$56,2,0)),0,ROUNDUP(VLOOKUP(INVOICE!$C$13,Items!$K$6:$L$56,2,0),0))+0.25%*ROUNDUP(SUMPRODUCT($B$242:$B$254,F$242:F$254),-1)*'Customer Base'!J9/10</f>
        <v>446.709</v>
      </c>
      <c r="G551" s="249">
        <f>IFERROR(ROUNDUP(F551*'Customer Base'!$J$5,0),0)</f>
        <v>7148</v>
      </c>
      <c r="H551" s="249">
        <f>IF(ISNA(VLOOKUP(INVOICE!$C$13,Items!$K$6:$L$56,2,0)),0,ROUNDUP(VLOOKUP(INVOICE!$C$13,Items!$K$6:$L$56,2,0),0))+0.25%*ROUNDUP(SUMPRODUCT($B$242:$B$254,H$242:H$254),-1)*'Customer Base'!J9/10</f>
        <v>396.69150000000002</v>
      </c>
      <c r="I551" s="249">
        <f>IFERROR(ROUNDUP(H551*'Customer Base'!$J$5,0),0)</f>
        <v>6348</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3822.6586624200008</v>
      </c>
      <c r="E553" s="333">
        <f>H553*1.219</f>
        <v>3394.6399082700004</v>
      </c>
      <c r="F553" s="268">
        <f>F550+F552</f>
        <v>3135.8971800000004</v>
      </c>
      <c r="G553" s="249">
        <f>IFERROR(ROUNDUP(F553*'Customer Base'!$J$5,2),0)</f>
        <v>50174.36</v>
      </c>
      <c r="H553" s="268">
        <f>H550+H552</f>
        <v>2784.7743300000002</v>
      </c>
      <c r="I553" s="249">
        <f>IFERROR(ROUNDUP(H553*'Customer Base'!$J$5,2),0)</f>
        <v>44556.39</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2.0057142857142858</v>
      </c>
      <c r="E554" s="321">
        <f>'Customer Base'!J9/35</f>
        <v>2.0057142857142858</v>
      </c>
      <c r="F554" s="249">
        <f t="shared" ref="F554" si="98">$D554/1.219</f>
        <v>1.6453767725301769</v>
      </c>
      <c r="G554" s="249">
        <f>IFERROR(ROUNDUP(F554*'Customer Base'!$J$5,2),0)</f>
        <v>26.330000000000002</v>
      </c>
      <c r="H554" s="249">
        <f t="shared" ref="H554" si="99">$E554/1.219</f>
        <v>1.6453767725301769</v>
      </c>
      <c r="I554" s="249">
        <f>IFERROR(ROUNDUP(H554*'Customer Base'!$J$5,2),0)</f>
        <v>26.330000000000002</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1610.6999999999998</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21140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H2" activePane="bottomRight" state="frozen"/>
      <selection activeCell="O51" sqref="O51"/>
      <selection pane="topRight" activeCell="O51" sqref="O51"/>
      <selection pane="bottomLeft" activeCell="O51" sqref="O51"/>
      <selection pane="bottomRight" activeCell="N2" sqref="N2"/>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IF('Customer Base'!D7&lt;&gt;"Mini-Grid",SUM(Items!A242:A254),ROUND(SUM(Items!A242:A254)-('Customer Base'!K11*('Customer Base'!F14*'Customer Base'!F15)/('Customer Base'!D26/1000)),0))</f>
        <v>12</v>
      </c>
      <c r="O1" s="209">
        <f>IF(MOD($N$1,ROW())=0,ROW(),"")</f>
        <v>1</v>
      </c>
      <c r="P1" s="209">
        <f>IFERROR(LARGE(O$1:O$200, ROW()), "")</f>
        <v>12</v>
      </c>
      <c r="Q1" s="209" t="str" cm="1">
        <f t="array" ref="Q1">SUBSTITUTE(TRIM(_xlfn.CONCAT(P1:P100 &amp; " ")), " ", ", ")</f>
        <v>12, 6, 4, 3, 2, 1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6</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4</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3</v>
      </c>
      <c r="U4" s="209">
        <f t="shared" si="2"/>
        <v>4</v>
      </c>
    </row>
    <row r="5" spans="2:21" ht="17">
      <c r="B5" s="206" t="s">
        <v>34</v>
      </c>
      <c r="C5" s="207" t="s">
        <v>35</v>
      </c>
      <c r="D5" s="207" t="s">
        <v>35</v>
      </c>
      <c r="E5" s="210">
        <v>0</v>
      </c>
      <c r="F5" s="102" t="str">
        <f t="shared" si="3"/>
        <v>RS</v>
      </c>
      <c r="I5" s="209" t="s">
        <v>852</v>
      </c>
      <c r="J5" s="209">
        <v>1980</v>
      </c>
      <c r="O5" s="209" t="str">
        <f t="shared" si="0"/>
        <v/>
      </c>
      <c r="P5" s="209">
        <f t="shared" si="1"/>
        <v>2</v>
      </c>
      <c r="U5" s="209">
        <f t="shared" si="2"/>
        <v>5</v>
      </c>
    </row>
    <row r="6" spans="2:21" ht="17">
      <c r="B6" s="206" t="s">
        <v>36</v>
      </c>
      <c r="C6" s="207" t="s">
        <v>37</v>
      </c>
      <c r="D6" s="207" t="s">
        <v>954</v>
      </c>
      <c r="E6" s="210">
        <v>0</v>
      </c>
      <c r="F6" s="102" t="str">
        <f t="shared" si="3"/>
        <v>HF&amp;D</v>
      </c>
      <c r="O6" s="209">
        <f t="shared" si="0"/>
        <v>6</v>
      </c>
      <c r="P6" s="209">
        <f t="shared" si="1"/>
        <v>1</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f t="shared" si="0"/>
        <v>12</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1868</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2408</v>
      </c>
      <c r="C115" s="207" t="s">
        <v>1875</v>
      </c>
      <c r="D115" s="207" t="s">
        <v>35</v>
      </c>
      <c r="E115" s="210" t="s">
        <v>2355</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1511</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2404</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1569</v>
      </c>
      <c r="C182" s="207" t="s">
        <v>1562</v>
      </c>
      <c r="D182" s="207" t="s">
        <v>216</v>
      </c>
      <c r="E182" s="210" t="s">
        <v>1563</v>
      </c>
      <c r="F182" s="102" t="str">
        <f t="shared" si="13"/>
        <v>TPGL</v>
      </c>
      <c r="G182" s="208" t="s">
        <v>1194</v>
      </c>
      <c r="O182" s="209" t="str">
        <f t="shared" si="11"/>
        <v/>
      </c>
      <c r="P182" s="209" t="str">
        <f t="shared" si="14"/>
        <v/>
      </c>
      <c r="U182" s="209">
        <f t="shared" si="12"/>
        <v>182</v>
      </c>
    </row>
    <row r="183" spans="2:21" ht="17">
      <c r="B183" s="206" t="s">
        <v>1568</v>
      </c>
      <c r="C183" s="207" t="s">
        <v>1564</v>
      </c>
      <c r="D183" s="207" t="s">
        <v>1092</v>
      </c>
      <c r="E183" s="210" t="s">
        <v>1563</v>
      </c>
      <c r="F183" s="102" t="str">
        <f t="shared" si="13"/>
        <v>TPGL</v>
      </c>
      <c r="G183" s="208" t="s">
        <v>1194</v>
      </c>
      <c r="O183" s="209" t="str">
        <f t="shared" si="11"/>
        <v/>
      </c>
      <c r="P183" s="209" t="str">
        <f t="shared" si="14"/>
        <v/>
      </c>
      <c r="U183" s="209">
        <f t="shared" si="12"/>
        <v>183</v>
      </c>
    </row>
    <row r="184" spans="2:21" ht="17">
      <c r="B184" s="206" t="s">
        <v>1567</v>
      </c>
      <c r="C184" s="207" t="s">
        <v>1566</v>
      </c>
      <c r="D184" s="207" t="s">
        <v>1092</v>
      </c>
      <c r="E184" s="210" t="s">
        <v>1565</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1274</v>
      </c>
      <c r="F186" s="102" t="str">
        <f t="shared" si="13"/>
        <v>TPGL</v>
      </c>
      <c r="G186" s="208" t="s">
        <v>1275</v>
      </c>
      <c r="O186" s="209" t="str">
        <f t="shared" si="11"/>
        <v/>
      </c>
      <c r="P186" s="209" t="str">
        <f t="shared" si="14"/>
        <v/>
      </c>
      <c r="U186" s="209">
        <f t="shared" si="12"/>
        <v>186</v>
      </c>
    </row>
    <row r="187" spans="2:21" ht="17">
      <c r="B187" s="206" t="s">
        <v>795</v>
      </c>
      <c r="C187" s="207" t="s">
        <v>796</v>
      </c>
      <c r="D187" s="207" t="s">
        <v>35</v>
      </c>
      <c r="E187" s="210" t="s">
        <v>1274</v>
      </c>
      <c r="F187" s="102" t="str">
        <f t="shared" si="13"/>
        <v>TPGL</v>
      </c>
      <c r="G187" s="208" t="s">
        <v>1275</v>
      </c>
      <c r="O187" s="209" t="str">
        <f t="shared" si="11"/>
        <v/>
      </c>
      <c r="P187" s="209" t="str">
        <f t="shared" si="14"/>
        <v/>
      </c>
      <c r="U187" s="209">
        <f t="shared" si="12"/>
        <v>187</v>
      </c>
    </row>
    <row r="188" spans="2:21" ht="17">
      <c r="B188" s="206" t="s">
        <v>1262</v>
      </c>
      <c r="C188" s="207" t="s">
        <v>1263</v>
      </c>
      <c r="D188" s="207" t="s">
        <v>51</v>
      </c>
      <c r="E188" s="210" t="s">
        <v>1274</v>
      </c>
      <c r="F188" s="102" t="str">
        <f t="shared" si="13"/>
        <v>TPGL</v>
      </c>
      <c r="G188" s="208" t="s">
        <v>1275</v>
      </c>
      <c r="O188" s="209" t="str">
        <f t="shared" si="11"/>
        <v/>
      </c>
      <c r="P188" s="209" t="str">
        <f t="shared" si="14"/>
        <v/>
      </c>
      <c r="U188" s="209">
        <f t="shared" si="12"/>
        <v>188</v>
      </c>
    </row>
    <row r="189" spans="2:21" ht="17">
      <c r="B189" s="206" t="s">
        <v>1264</v>
      </c>
      <c r="C189" s="207" t="s">
        <v>1265</v>
      </c>
      <c r="D189" s="207" t="s">
        <v>51</v>
      </c>
      <c r="E189" s="210" t="s">
        <v>1274</v>
      </c>
      <c r="F189" s="102" t="str">
        <f t="shared" si="13"/>
        <v>TPGL</v>
      </c>
      <c r="G189" s="208" t="s">
        <v>1275</v>
      </c>
      <c r="O189" s="209" t="str">
        <f t="shared" si="11"/>
        <v/>
      </c>
      <c r="P189" s="209" t="str">
        <f t="shared" si="14"/>
        <v/>
      </c>
      <c r="U189" s="209">
        <f t="shared" si="12"/>
        <v>189</v>
      </c>
    </row>
    <row r="190" spans="2:21" ht="17">
      <c r="B190" s="206" t="s">
        <v>1266</v>
      </c>
      <c r="C190" s="207" t="s">
        <v>1267</v>
      </c>
      <c r="D190" s="207" t="s">
        <v>216</v>
      </c>
      <c r="E190" s="210" t="s">
        <v>1274</v>
      </c>
      <c r="F190" s="102" t="str">
        <f t="shared" si="13"/>
        <v>TPGL</v>
      </c>
      <c r="G190" s="208" t="s">
        <v>1275</v>
      </c>
      <c r="O190" s="209" t="str">
        <f t="shared" si="11"/>
        <v/>
      </c>
      <c r="P190" s="209" t="str">
        <f t="shared" si="14"/>
        <v/>
      </c>
      <c r="U190" s="209">
        <f t="shared" si="12"/>
        <v>190</v>
      </c>
    </row>
    <row r="191" spans="2:21" ht="17">
      <c r="B191" s="206" t="s">
        <v>1281</v>
      </c>
      <c r="C191" s="207" t="s">
        <v>564</v>
      </c>
      <c r="D191" s="207" t="s">
        <v>216</v>
      </c>
      <c r="E191" s="210" t="s">
        <v>1274</v>
      </c>
      <c r="F191" s="102" t="str">
        <f t="shared" si="13"/>
        <v>TPGL</v>
      </c>
      <c r="G191" s="208" t="s">
        <v>1275</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1771</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1327</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1302</v>
      </c>
      <c r="C217" s="207" t="s">
        <v>466</v>
      </c>
      <c r="D217" s="207" t="s">
        <v>216</v>
      </c>
      <c r="E217" s="210" t="s">
        <v>467</v>
      </c>
      <c r="F217" s="102" t="str">
        <f t="shared" si="17"/>
        <v>SO-A</v>
      </c>
    </row>
    <row r="218" spans="2:6" ht="17">
      <c r="B218" s="206" t="s">
        <v>1301</v>
      </c>
      <c r="C218" s="207" t="s">
        <v>1303</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2690</v>
      </c>
      <c r="F234" s="102" t="str">
        <f t="shared" si="17"/>
        <v>DPGL</v>
      </c>
      <c r="G234" s="208" t="s">
        <v>2691</v>
      </c>
    </row>
    <row r="235" spans="2:7" ht="34">
      <c r="B235" s="206" t="s">
        <v>964</v>
      </c>
      <c r="C235" s="207" t="s">
        <v>965</v>
      </c>
      <c r="D235" s="207" t="s">
        <v>216</v>
      </c>
      <c r="E235" s="210" t="s">
        <v>503</v>
      </c>
      <c r="F235" s="102" t="str">
        <f t="shared" si="17"/>
        <v>DPGL</v>
      </c>
      <c r="G235" s="208" t="s">
        <v>1559</v>
      </c>
    </row>
    <row r="236" spans="2:7" ht="34">
      <c r="B236" s="206" t="s">
        <v>964</v>
      </c>
      <c r="C236" s="207" t="s">
        <v>965</v>
      </c>
      <c r="D236" s="207" t="s">
        <v>216</v>
      </c>
      <c r="E236" s="210" t="s">
        <v>1589</v>
      </c>
      <c r="F236" s="102" t="str">
        <f t="shared" si="17"/>
        <v>DPGL</v>
      </c>
      <c r="G236" s="208" t="s">
        <v>1588</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1369</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1539</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1285</v>
      </c>
      <c r="C361" s="207" t="s">
        <v>216</v>
      </c>
      <c r="D361" s="207" t="s">
        <v>216</v>
      </c>
      <c r="E361" s="210" t="s">
        <v>309</v>
      </c>
      <c r="F361" s="102" t="str">
        <f t="shared" si="19"/>
        <v>SSE</v>
      </c>
      <c r="G361" s="208" t="s">
        <v>1355</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1548</v>
      </c>
      <c r="F368" s="102" t="str">
        <f t="shared" si="19"/>
        <v>BS</v>
      </c>
      <c r="G368" s="208" t="s">
        <v>1553</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1690</v>
      </c>
      <c r="F402" s="102" t="str">
        <f t="shared" si="20"/>
        <v>SF</v>
      </c>
      <c r="G402" s="208" t="s">
        <v>1689</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1698</v>
      </c>
      <c r="C412" s="207" t="s">
        <v>409</v>
      </c>
      <c r="D412" s="207" t="s">
        <v>216</v>
      </c>
      <c r="E412" s="210" t="s">
        <v>949</v>
      </c>
      <c r="F412" s="102" t="str">
        <f t="shared" si="20"/>
        <v>IA</v>
      </c>
      <c r="G412" s="208" t="s">
        <v>1699</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1340</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1695</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1216</v>
      </c>
      <c r="C447" s="207" t="s">
        <v>809</v>
      </c>
      <c r="D447" s="207" t="s">
        <v>216</v>
      </c>
      <c r="E447" s="207" t="s">
        <v>216</v>
      </c>
      <c r="F447" s="102" t="str">
        <f t="shared" si="20"/>
        <v>CH2</v>
      </c>
    </row>
    <row r="448" spans="2:7" ht="34">
      <c r="B448" s="206" t="s">
        <v>1220</v>
      </c>
      <c r="C448" s="207" t="s">
        <v>1221</v>
      </c>
      <c r="D448" s="207" t="s">
        <v>1502</v>
      </c>
      <c r="E448" s="210" t="s">
        <v>1222</v>
      </c>
      <c r="F448" s="102" t="str">
        <f t="shared" si="20"/>
        <v>EEFT</v>
      </c>
    </row>
    <row r="449" spans="2:7" ht="17">
      <c r="B449" s="206" t="s">
        <v>1225</v>
      </c>
      <c r="C449" s="207" t="s">
        <v>120</v>
      </c>
      <c r="D449" s="207" t="s">
        <v>216</v>
      </c>
      <c r="E449" s="210" t="s">
        <v>1226</v>
      </c>
      <c r="F449" s="102" t="str">
        <f t="shared" si="20"/>
        <v>CCBC</v>
      </c>
    </row>
    <row r="450" spans="2:7" ht="17">
      <c r="B450" s="206" t="s">
        <v>1229</v>
      </c>
      <c r="C450" s="207" t="s">
        <v>32</v>
      </c>
      <c r="D450" s="207" t="s">
        <v>216</v>
      </c>
      <c r="E450" s="210" t="s">
        <v>1230</v>
      </c>
      <c r="F450" s="102" t="str">
        <f t="shared" si="20"/>
        <v>DMCL</v>
      </c>
    </row>
    <row r="451" spans="2:7" ht="17">
      <c r="B451" s="206" t="s">
        <v>1234</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21"/>
        <v>AS-A</v>
      </c>
    </row>
    <row r="453" spans="2:7" ht="17">
      <c r="B453" s="206" t="s">
        <v>2420</v>
      </c>
      <c r="C453" s="207" t="s">
        <v>72</v>
      </c>
      <c r="D453" s="207" t="s">
        <v>216</v>
      </c>
      <c r="F453" s="102" t="str">
        <f t="shared" si="21"/>
        <v>AS-R</v>
      </c>
    </row>
    <row r="454" spans="2:7" ht="17">
      <c r="B454" s="206" t="s">
        <v>1237</v>
      </c>
      <c r="C454" s="207" t="s">
        <v>57</v>
      </c>
      <c r="D454" s="207" t="s">
        <v>954</v>
      </c>
      <c r="E454" s="210" t="s">
        <v>1238</v>
      </c>
      <c r="F454" s="102" t="str">
        <f t="shared" si="21"/>
        <v>MMG</v>
      </c>
    </row>
    <row r="455" spans="2:7" ht="17">
      <c r="B455" s="206" t="s">
        <v>1239</v>
      </c>
      <c r="C455" s="207" t="s">
        <v>1240</v>
      </c>
      <c r="D455" s="207" t="s">
        <v>216</v>
      </c>
      <c r="E455" s="210" t="s">
        <v>1241</v>
      </c>
      <c r="F455" s="102" t="str">
        <f t="shared" si="21"/>
        <v>DA</v>
      </c>
    </row>
    <row r="456" spans="2:7" ht="17">
      <c r="B456" s="206" t="s">
        <v>1243</v>
      </c>
      <c r="C456" s="207" t="s">
        <v>823</v>
      </c>
      <c r="D456" s="207" t="s">
        <v>216</v>
      </c>
      <c r="E456" s="210" t="s">
        <v>1244</v>
      </c>
      <c r="F456" s="102" t="str">
        <f t="shared" si="21"/>
        <v>HCL</v>
      </c>
    </row>
    <row r="457" spans="2:7" ht="17">
      <c r="B457" s="206" t="s">
        <v>1247</v>
      </c>
      <c r="C457" s="207" t="s">
        <v>216</v>
      </c>
      <c r="D457" s="207" t="s">
        <v>216</v>
      </c>
      <c r="E457" s="210" t="s">
        <v>1248</v>
      </c>
      <c r="F457" s="102" t="str">
        <f t="shared" si="21"/>
        <v>SI</v>
      </c>
      <c r="G457" s="208" t="s">
        <v>1249</v>
      </c>
    </row>
    <row r="458" spans="2:7" ht="34">
      <c r="B458" s="206" t="s">
        <v>1256</v>
      </c>
      <c r="C458" s="207" t="s">
        <v>1257</v>
      </c>
      <c r="D458" s="207" t="s">
        <v>1257</v>
      </c>
      <c r="E458" s="210" t="s">
        <v>1259</v>
      </c>
      <c r="F458" s="102" t="str">
        <f t="shared" si="21"/>
        <v>AAP</v>
      </c>
    </row>
    <row r="459" spans="2:7" ht="17">
      <c r="B459" s="206" t="s">
        <v>1260</v>
      </c>
      <c r="C459" s="207" t="s">
        <v>746</v>
      </c>
      <c r="D459" s="207" t="s">
        <v>35</v>
      </c>
      <c r="E459" s="210" t="s">
        <v>1261</v>
      </c>
      <c r="F459" s="102" t="str">
        <f t="shared" si="21"/>
        <v>EM</v>
      </c>
    </row>
    <row r="460" spans="2:7" ht="17">
      <c r="B460" s="206" t="s">
        <v>1277</v>
      </c>
      <c r="C460" s="207" t="s">
        <v>51</v>
      </c>
      <c r="D460" s="207" t="s">
        <v>51</v>
      </c>
      <c r="E460" s="210" t="s">
        <v>1278</v>
      </c>
      <c r="F460" s="102" t="str">
        <f t="shared" si="21"/>
        <v>CGEC</v>
      </c>
    </row>
    <row r="461" spans="2:7" ht="17">
      <c r="B461" s="206" t="s">
        <v>1284</v>
      </c>
      <c r="C461" s="207" t="s">
        <v>216</v>
      </c>
      <c r="D461" s="207" t="s">
        <v>216</v>
      </c>
      <c r="F461" s="102" t="str">
        <f t="shared" si="21"/>
        <v>NAO</v>
      </c>
    </row>
    <row r="462" spans="2:7" ht="17">
      <c r="B462" s="206" t="s">
        <v>1286</v>
      </c>
      <c r="C462" s="207" t="s">
        <v>86</v>
      </c>
      <c r="D462" s="207" t="s">
        <v>216</v>
      </c>
      <c r="F462" s="102" t="str">
        <f t="shared" si="21"/>
        <v>KO</v>
      </c>
    </row>
    <row r="463" spans="2:7" ht="17">
      <c r="B463" s="206" t="s">
        <v>1287</v>
      </c>
      <c r="C463" s="207" t="s">
        <v>1288</v>
      </c>
      <c r="D463" s="207" t="s">
        <v>216</v>
      </c>
      <c r="E463" s="210" t="s">
        <v>1289</v>
      </c>
      <c r="F463" s="102" t="str">
        <f t="shared" si="21"/>
        <v>SA</v>
      </c>
    </row>
    <row r="464" spans="2:7" ht="17">
      <c r="B464" s="206" t="s">
        <v>1290</v>
      </c>
      <c r="C464" s="207" t="s">
        <v>1292</v>
      </c>
      <c r="D464" s="207" t="s">
        <v>960</v>
      </c>
      <c r="E464" s="210" t="s">
        <v>1291</v>
      </c>
      <c r="F464" s="102" t="str">
        <f t="shared" si="21"/>
        <v>AVTI</v>
      </c>
      <c r="G464" s="208" t="s">
        <v>629</v>
      </c>
    </row>
    <row r="465" spans="2:250" ht="34">
      <c r="B465" s="206" t="s">
        <v>1293</v>
      </c>
      <c r="C465" s="207" t="s">
        <v>352</v>
      </c>
      <c r="D465" s="207" t="s">
        <v>216</v>
      </c>
      <c r="E465" s="210" t="s">
        <v>1294</v>
      </c>
      <c r="F465" s="102" t="str">
        <f t="shared" si="21"/>
        <v>PK</v>
      </c>
    </row>
    <row r="466" spans="2:250" ht="17">
      <c r="B466" s="206" t="s">
        <v>1295</v>
      </c>
      <c r="C466" s="207" t="s">
        <v>216</v>
      </c>
      <c r="D466" s="207" t="s">
        <v>216</v>
      </c>
      <c r="F466" s="102" t="str">
        <f t="shared" si="21"/>
        <v>1SS</v>
      </c>
    </row>
    <row r="467" spans="2:250" ht="17">
      <c r="B467" s="206" t="s">
        <v>1297</v>
      </c>
      <c r="C467" s="207" t="s">
        <v>1298</v>
      </c>
      <c r="D467" s="207" t="s">
        <v>35</v>
      </c>
      <c r="E467" s="210" t="s">
        <v>731</v>
      </c>
      <c r="F467" s="102" t="str">
        <f t="shared" si="21"/>
        <v>E-IC</v>
      </c>
    </row>
    <row r="468" spans="2:250" ht="17">
      <c r="B468" s="206" t="s">
        <v>1590</v>
      </c>
      <c r="C468" s="207" t="s">
        <v>29</v>
      </c>
      <c r="D468" s="207" t="s">
        <v>216</v>
      </c>
      <c r="E468" s="210" t="s">
        <v>1305</v>
      </c>
      <c r="F468" s="102" t="str">
        <f t="shared" si="21"/>
        <v>ES-K</v>
      </c>
    </row>
    <row r="469" spans="2:250" ht="17">
      <c r="B469" s="206" t="s">
        <v>1591</v>
      </c>
      <c r="C469" s="207" t="s">
        <v>32</v>
      </c>
      <c r="D469" s="207" t="s">
        <v>216</v>
      </c>
      <c r="E469" s="210" t="s">
        <v>1305</v>
      </c>
      <c r="F469" s="102" t="str">
        <f t="shared" si="21"/>
        <v>ES-E</v>
      </c>
    </row>
    <row r="470" spans="2:250" ht="17">
      <c r="B470" s="206" t="s">
        <v>1306</v>
      </c>
      <c r="C470" s="207" t="s">
        <v>1307</v>
      </c>
      <c r="D470" s="207" t="s">
        <v>216</v>
      </c>
      <c r="E470" s="210" t="s">
        <v>1308</v>
      </c>
      <c r="F470" s="102" t="str">
        <f t="shared" si="21"/>
        <v>KA</v>
      </c>
    </row>
    <row r="471" spans="2:250" ht="17">
      <c r="B471" s="206" t="s">
        <v>1309</v>
      </c>
      <c r="C471" s="207" t="s">
        <v>69</v>
      </c>
      <c r="D471" s="207" t="s">
        <v>216</v>
      </c>
      <c r="E471" s="210" t="s">
        <v>1310</v>
      </c>
      <c r="F471" s="102" t="str">
        <f t="shared" si="21"/>
        <v>G-GH</v>
      </c>
    </row>
    <row r="472" spans="2:250" ht="17">
      <c r="B472" s="206" t="s">
        <v>1311</v>
      </c>
      <c r="C472" s="207" t="s">
        <v>446</v>
      </c>
      <c r="D472" s="207" t="s">
        <v>216</v>
      </c>
      <c r="E472" s="210" t="s">
        <v>1312</v>
      </c>
      <c r="F472" s="102" t="str">
        <f t="shared" si="21"/>
        <v>ELS</v>
      </c>
    </row>
    <row r="473" spans="2:250" ht="80">
      <c r="B473" s="206" t="s">
        <v>1314</v>
      </c>
      <c r="C473" s="207" t="s">
        <v>42</v>
      </c>
      <c r="D473" s="207" t="s">
        <v>956</v>
      </c>
      <c r="F473" s="102" t="str">
        <f t="shared" si="21"/>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21"/>
        <v>ET</v>
      </c>
      <c r="EC474" s="209">
        <f ca="1">MIN(EC475:EC491)+IF(SUM(EC477:EC491)=0,1,0)</f>
        <v>1</v>
      </c>
      <c r="ED474" s="209">
        <f ca="1">MIN(ED475:ED491)</f>
        <v>0</v>
      </c>
      <c r="EE474" s="311">
        <f ca="1">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0</v>
      </c>
      <c r="IO474" s="209">
        <f ca="1">IF(IM489=1,250,IF(IM483=1,150,IF(IM477=1,100,IF(IM490=1,250,IF(IM484=1,150,IF(IM478=1,100,IF(IM491=1,250,IF(IM485=1,150,IF(IM479=1,100,IF(AND(IK474=0,ED474&lt;&gt;0),100,0))))))))))</f>
        <v>0</v>
      </c>
      <c r="IP474" s="209">
        <f ca="1">IF(AND(IO474=100,'Customer Base'!D8=12,'Client List'!IN474&gt;Items!AQ262),150,IF(AND(IO474=100,'Customer Base'!D8=24,IN474&gt;Items!AR262),150,IF(AND(IO474=100,'Customer Base'!D8=48,IN474&gt;Items!AS260),150,IO474)))</f>
        <v>0</v>
      </c>
    </row>
    <row r="475" spans="2:250" ht="17">
      <c r="B475" s="206" t="s">
        <v>1326</v>
      </c>
      <c r="C475" s="207" t="s">
        <v>216</v>
      </c>
      <c r="D475" s="207" t="s">
        <v>216</v>
      </c>
      <c r="F475" s="102" t="str">
        <f t="shared" si="21"/>
        <v>JT</v>
      </c>
    </row>
    <row r="476" spans="2:250" ht="17">
      <c r="B476" s="206" t="s">
        <v>1329</v>
      </c>
      <c r="C476" s="207" t="s">
        <v>51</v>
      </c>
      <c r="D476" s="207" t="s">
        <v>51</v>
      </c>
      <c r="E476" s="210" t="s">
        <v>1328</v>
      </c>
      <c r="F476" s="102" t="str">
        <f t="shared" si="21"/>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21"/>
        <v>D</v>
      </c>
      <c r="AA477" s="209">
        <v>2</v>
      </c>
      <c r="AB477" s="310" t="s">
        <v>2685</v>
      </c>
      <c r="AC477" s="209">
        <f ca="1">IFERROR(MOD(AD$493,AA477),"")</f>
        <v>1.3999999999999986</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0</v>
      </c>
      <c r="AG477" s="209">
        <f ca="1">IF($AE496*$AA477*'Customer Base'!$D$26*0.8&gt;5800,"",IF($AE496*$AA477&gt;$AA501,"",IF(($AA$477*AG$476*$AE$496)&lt;=$AA$501,((MOD($AA$501,($AA$477*AG$476*$AE$496)))),"")))</f>
        <v>4</v>
      </c>
      <c r="AH477" s="209">
        <f ca="1">IF($AE496*$AA477*'Customer Base'!$D$26*0.8&gt;5800,"",IF($AE496*$AA477&gt;$AA501,"",IF(($AA$477*AH$476*$AE$496)&lt;=$AA$501,((MOD($AA$501,($AA$477*AH$476*$AE$496)))),"")))</f>
        <v>0</v>
      </c>
      <c r="AI477" s="209" t="str">
        <f ca="1">IF($AE496*$AA477*'Customer Base'!$D$26*0.8&gt;5800,"",IF($AE496*$AA477&gt;$AA501,"",IF(($AA$477*AI$476*$AE$496)&lt;=$AA$501,((MOD($AA$501,($AA$477*AI$476*$AE$496)))),"")))</f>
        <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3</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21"/>
        <v>E</v>
      </c>
      <c r="AA478" s="209">
        <v>3</v>
      </c>
      <c r="AB478" s="311" t="s">
        <v>2686</v>
      </c>
      <c r="AC478" s="209">
        <f ca="1">IFERROR(MOD(AD$493,AA478),"")</f>
        <v>2.3999999999999986</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0</v>
      </c>
      <c r="AH478" s="209" t="str">
        <f ca="1">IF($AE496*$AA478*'Customer Base'!$D$26*0.8&gt;5800,"",IF($AE496*$AA478&gt;$AA501,"",IF(($AA$478*AH$476*$AE$496)&lt;=$AA$501,((MOD($AA$501,($AA$478*AH$476*$AE$496)))),"")))</f>
        <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2</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1333</v>
      </c>
      <c r="C479" s="207" t="s">
        <v>1334</v>
      </c>
      <c r="D479" s="207" t="s">
        <v>216</v>
      </c>
      <c r="E479" s="210" t="s">
        <v>1335</v>
      </c>
      <c r="F479" s="102" t="str">
        <f t="shared" si="21"/>
        <v>R</v>
      </c>
      <c r="AA479" s="209">
        <v>4</v>
      </c>
      <c r="AB479" s="311" t="s">
        <v>2687</v>
      </c>
      <c r="AC479" s="209">
        <f ca="1">IFERROR(MOD(AD$493,AA479),"")</f>
        <v>3.3999999999999986</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4</v>
      </c>
      <c r="AG479" s="209" t="str">
        <f ca="1">IF($AE496*$AA479*'Customer Base'!$D$26*0.8&gt;5800,"",IF($AE496*$AA479&gt;$AA501,"",IF(($AA$479*AG$476*$AE$496)&lt;=$AA$501,((MOD($AA$501,($AA$479*AG$476*$AE$496)))),"")))</f>
        <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v>
      </c>
      <c r="ED479" s="311" cm="1">
        <f t="array" aca="1" ref="ED479" ca="1">IF(EC$474=EC479,LOOKUP(2,1/(AF479:EA479&lt;&gt;""),AF479:EA479),"")</f>
        <v>4</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21"/>
        <v>G</v>
      </c>
      <c r="G480" s="208" t="s">
        <v>1338</v>
      </c>
    </row>
    <row r="481" spans="2:248" ht="17">
      <c r="B481" s="206" t="s">
        <v>19</v>
      </c>
      <c r="C481" s="207" t="s">
        <v>57</v>
      </c>
      <c r="D481" s="207" t="s">
        <v>954</v>
      </c>
      <c r="E481" s="210" t="s">
        <v>1339</v>
      </c>
      <c r="F481" s="102" t="str">
        <f t="shared" si="21"/>
        <v>E</v>
      </c>
    </row>
    <row r="482" spans="2:248" ht="17">
      <c r="B482" s="206" t="s">
        <v>1341</v>
      </c>
      <c r="C482" s="207" t="s">
        <v>60</v>
      </c>
      <c r="D482" s="207" t="s">
        <v>954</v>
      </c>
      <c r="E482" s="210" t="s">
        <v>1342</v>
      </c>
      <c r="F482" s="102" t="str">
        <f t="shared" si="21"/>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21"/>
        <v>M</v>
      </c>
      <c r="AA483" s="209">
        <v>2</v>
      </c>
      <c r="AB483" s="310" t="s">
        <v>2685</v>
      </c>
      <c r="AC483" s="209">
        <f ca="1">IFERROR(MOD(AD$493,AA483),"")</f>
        <v>1.3999999999999986</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0</v>
      </c>
      <c r="AG483" s="209">
        <f ca="1">IF($AE497*$AA483*'Customer Base'!$D$26*0.8&gt;5800,"",IF($AE497*$AA483&gt;$AA501,"",IF(($AA$483*AG$482*$AE$497)&lt;=$AA$501,((MOD($AA$501,($AA$483*AG$482*$AE$497)))),"")))</f>
        <v>0</v>
      </c>
      <c r="AH483" s="209" t="str">
        <f ca="1">IF($AE497*$AA483*'Customer Base'!$D$26*0.8&gt;5800,"",IF($AE497*$AA483&gt;$AA501,"",IF(($AA$483*AH$482*$AE$497)&lt;=$AA$501,((MOD($AA$501,($AA$483*AH$482*$AE$497)))),"")))</f>
        <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2</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1345</v>
      </c>
      <c r="C484" s="207" t="s">
        <v>1346</v>
      </c>
      <c r="D484" s="207" t="s">
        <v>954</v>
      </c>
      <c r="F484" s="102" t="str">
        <f t="shared" si="21"/>
        <v>E</v>
      </c>
      <c r="AA484" s="209">
        <v>3</v>
      </c>
      <c r="AB484" s="311" t="s">
        <v>2686</v>
      </c>
      <c r="AC484" s="209">
        <f ca="1">IFERROR(MOD(AD$493,AA484),"")</f>
        <v>2.3999999999999986</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3</v>
      </c>
      <c r="AG484" s="209" t="str">
        <f ca="1">IF($AE497*$AA484*'Customer Base'!$D$26*0.8&gt;5800,"",IF($AE497*$AA484&gt;$AA501,"",IF(($AA$484*AG$482*$AE$497)&lt;=$AA$501,((MOD($AA$501,($AA$484*AG$482*$AE$497)))),"")))</f>
        <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1</v>
      </c>
      <c r="ED484" s="311" cm="1">
        <f t="array" aca="1" ref="ED484" ca="1">IF(EC$474=EC484,LOOKUP(2,1/(AF484:EA484&lt;&gt;""),AF484:EA484),"")</f>
        <v>3</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21"/>
        <v>P</v>
      </c>
      <c r="AA485" s="209">
        <v>4</v>
      </c>
      <c r="AB485" s="311" t="s">
        <v>2687</v>
      </c>
      <c r="AC485" s="209">
        <f ca="1">IFERROR(MOD(AD$493,AA485),"")</f>
        <v>3.3999999999999986</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0</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v>
      </c>
      <c r="ED485" s="311" cm="1">
        <f t="array" aca="1" ref="ED485" ca="1">IF(EC$474=EC485,LOOKUP(2,1/(AF485:EA485&lt;&gt;""),AF485:EA485),"")</f>
        <v>0</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21"/>
        <v>E</v>
      </c>
      <c r="EE486" s="311"/>
      <c r="EF486" s="311"/>
      <c r="EG486" s="311"/>
      <c r="EH486" s="311"/>
      <c r="IM486" s="311"/>
      <c r="IN486" s="311"/>
    </row>
    <row r="487" spans="2:248" ht="17">
      <c r="B487" s="206" t="s">
        <v>1351</v>
      </c>
      <c r="C487" s="207" t="s">
        <v>51</v>
      </c>
      <c r="D487" s="207" t="s">
        <v>51</v>
      </c>
      <c r="E487" s="210" t="s">
        <v>1328</v>
      </c>
      <c r="F487" s="102" t="str">
        <f t="shared" si="21"/>
        <v>T-FH</v>
      </c>
      <c r="EE487" s="311"/>
      <c r="EF487" s="311"/>
      <c r="EG487" s="311"/>
      <c r="EH487" s="311"/>
      <c r="IM487" s="311"/>
      <c r="IN487" s="311"/>
    </row>
    <row r="488" spans="2:248" ht="17">
      <c r="B488" s="206" t="s">
        <v>1352</v>
      </c>
      <c r="C488" s="207" t="s">
        <v>51</v>
      </c>
      <c r="D488" s="207" t="s">
        <v>51</v>
      </c>
      <c r="E488" s="210" t="s">
        <v>1328</v>
      </c>
      <c r="F488" s="102" t="str">
        <f t="shared" si="21"/>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21"/>
        <v>T-FH</v>
      </c>
      <c r="AA489" s="209">
        <v>2</v>
      </c>
      <c r="AB489" s="310" t="s">
        <v>2685</v>
      </c>
      <c r="AC489" s="209">
        <f ca="1">IFERROR(MOD(AD$493,AA489),"")</f>
        <v>1.3999999999999986</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4</v>
      </c>
      <c r="AG489" s="209" t="str">
        <f ca="1">IF($AE498*$AA489*'Customer Base'!$D$26*0.8&gt;5800,"",IF($AE498*$AA489&gt;$AA501,"",IF(($AA$489*AG$488*$AE$498)&lt;=$AA$501,((MOD($AA$501,($AA$489*AG$488*$AE$498)))),"")))</f>
        <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1</v>
      </c>
      <c r="ED489" s="311" cm="1">
        <f t="array" aca="1" ref="ED489" ca="1">IF(EC$474=EC489,LOOKUP(2,1/(AF489:EA489&lt;&gt;""),AF489:EA489),"")</f>
        <v>4</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21"/>
        <v>T-FH</v>
      </c>
      <c r="AA490" s="209">
        <v>3</v>
      </c>
      <c r="AB490" s="311" t="s">
        <v>2686</v>
      </c>
      <c r="AC490" s="209">
        <f ca="1">IFERROR(MOD(AD$493,AA490),"")</f>
        <v>2.3999999999999986</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0</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1</v>
      </c>
      <c r="ED490" s="311" cm="1">
        <f t="array" aca="1" ref="ED490" ca="1">IF(EC$474=EC490,LOOKUP(2,1/(AF490:EA490&lt;&gt;""),AF490:EA490),"")</f>
        <v>0</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21"/>
        <v>NC</v>
      </c>
      <c r="AA491" s="209">
        <v>4</v>
      </c>
      <c r="AB491" s="311" t="s">
        <v>2687</v>
      </c>
      <c r="AC491" s="209">
        <f ca="1">IFERROR(MOD(AD$493,AA491),"")</f>
        <v>3.3999999999999986</v>
      </c>
      <c r="AD491" s="209">
        <f ca="1">IF(OR(AD493=1,AD493=""),"",IF(AC491=0,AA491,IF(AND(AC491&lt;&gt;0,AC490&lt;&gt;0,AC489&lt;&gt;0),AA491,IF(AND(AC491&lt;&gt;0,AC490&lt;&gt;0,AC489=0),AA491,""))))</f>
        <v>4</v>
      </c>
      <c r="AE491" s="209">
        <f ca="1">IFERROR(ROUNDDOWN(AD$493/AD491,0),"")</f>
        <v>5</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21"/>
        <v>N</v>
      </c>
      <c r="G492" s="208" t="s">
        <v>1361</v>
      </c>
      <c r="AC492" s="209" t="s">
        <v>2680</v>
      </c>
      <c r="AD492" s="209" t="s">
        <v>2681</v>
      </c>
    </row>
    <row r="493" spans="2:248" ht="17" customHeight="1">
      <c r="B493" s="206" t="s">
        <v>1807</v>
      </c>
      <c r="C493" s="207" t="s">
        <v>1808</v>
      </c>
      <c r="D493" s="207" t="s">
        <v>957</v>
      </c>
      <c r="F493" s="102" t="str">
        <f t="shared" si="21"/>
        <v>NI</v>
      </c>
      <c r="G493" s="208" t="s">
        <v>1809</v>
      </c>
      <c r="AC493" s="209">
        <f ca="1">IF(AA501=0,0/0,ROUNDDOWN(EH474/AB500,0))</f>
        <v>5</v>
      </c>
      <c r="AD493" s="209">
        <f ca="1">IFERROR(SUM(Items!A242:A254)/AC493,"")</f>
        <v>23.4</v>
      </c>
    </row>
    <row r="494" spans="2:248" ht="17" customHeight="1">
      <c r="B494" s="206" t="s">
        <v>2405</v>
      </c>
      <c r="C494" s="207" t="s">
        <v>2407</v>
      </c>
      <c r="D494" s="207" t="s">
        <v>216</v>
      </c>
      <c r="F494" s="102" t="str">
        <f t="shared" si="21"/>
        <v>NI-F</v>
      </c>
    </row>
    <row r="495" spans="2:248" ht="17" customHeight="1">
      <c r="B495" s="206" t="s">
        <v>2406</v>
      </c>
      <c r="C495" s="207" t="s">
        <v>2407</v>
      </c>
      <c r="D495" s="207" t="s">
        <v>216</v>
      </c>
      <c r="F495" s="102" t="str">
        <f t="shared" si="21"/>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21"/>
        <v>BEK</v>
      </c>
      <c r="AA496" s="209">
        <v>100</v>
      </c>
      <c r="AB496" s="209" t="s">
        <v>2684</v>
      </c>
      <c r="AC496" s="209" t="str">
        <f ca="1">IFERROR(VLOOKUP(X501,W$501:AB$516,5,FALSE),"")</f>
        <v/>
      </c>
      <c r="AE496" s="209">
        <f ca="1">ROUNDDOWN(AA496/AB$500,0)</f>
        <v>2</v>
      </c>
    </row>
    <row r="497" spans="2:34" ht="17">
      <c r="B497" s="206" t="s">
        <v>1366</v>
      </c>
      <c r="C497" s="207" t="s">
        <v>1367</v>
      </c>
      <c r="D497" s="207" t="s">
        <v>216</v>
      </c>
      <c r="E497" s="210" t="s">
        <v>1368</v>
      </c>
      <c r="F497" s="102" t="str">
        <f t="shared" si="21"/>
        <v>AT</v>
      </c>
      <c r="AA497" s="209">
        <v>150</v>
      </c>
      <c r="AB497" s="209" t="s">
        <v>2684</v>
      </c>
      <c r="AC497" s="209">
        <f ca="1">IFERROR(VLOOKUP(X502,W$501:AB$516,5,FALSE),"")</f>
        <v>3</v>
      </c>
      <c r="AE497" s="209">
        <f ca="1">ROUNDDOWN(AA497/AB$500,0)</f>
        <v>3</v>
      </c>
    </row>
    <row r="498" spans="2:34" ht="17">
      <c r="B498" s="206" t="s">
        <v>1370</v>
      </c>
      <c r="C498" s="207" t="s">
        <v>1371</v>
      </c>
      <c r="D498" s="207" t="s">
        <v>216</v>
      </c>
      <c r="E498" s="210" t="s">
        <v>1372</v>
      </c>
      <c r="F498" s="102" t="str">
        <f t="shared" si="21"/>
        <v>IQ</v>
      </c>
      <c r="AA498" s="209">
        <v>250</v>
      </c>
      <c r="AB498" s="209" t="s">
        <v>2682</v>
      </c>
      <c r="AC498" s="209">
        <f ca="1">IFERROR(VLOOKUP(X503,W$501:AB$516,5,FALSE),"")</f>
        <v>4</v>
      </c>
      <c r="AE498" s="209">
        <f ca="1">IF(AND(MOD(AA501,AG498)&lt;&gt;0,AG498-AE497&gt;1),AG498-1,IF(AND(N1*'Customer Base'!D26*0.8&gt;5800,AG498-AE497&gt;1),AG498-1,AG498))</f>
        <v>4</v>
      </c>
      <c r="AG498" s="209">
        <f ca="1">ROUNDDOWN(AA498/AB$500,0)</f>
        <v>5</v>
      </c>
    </row>
    <row r="499" spans="2:34" ht="17">
      <c r="B499" s="206" t="s">
        <v>1373</v>
      </c>
      <c r="C499" s="207" t="s">
        <v>216</v>
      </c>
      <c r="D499" s="207" t="s">
        <v>216</v>
      </c>
      <c r="E499" s="210" t="s">
        <v>1374</v>
      </c>
      <c r="F499" s="102" t="str">
        <f t="shared" si="21"/>
        <v>GK</v>
      </c>
      <c r="Z499" s="309"/>
      <c r="AA499" s="309">
        <v>450</v>
      </c>
      <c r="AB499" s="209" t="s">
        <v>2683</v>
      </c>
      <c r="AC499" s="209">
        <f ca="1">IFERROR(VLOOKUP(X504,W$501:AB$516,5,FALSE),"")</f>
        <v>6</v>
      </c>
      <c r="AE499" s="209">
        <f ca="1">ROUNDDOWN(AA499/AB$500,0)</f>
        <v>9</v>
      </c>
    </row>
    <row r="500" spans="2:34" ht="17">
      <c r="B500" s="206" t="s">
        <v>1375</v>
      </c>
      <c r="C500" s="207" t="s">
        <v>1150</v>
      </c>
      <c r="D500" s="207" t="s">
        <v>216</v>
      </c>
      <c r="E500" s="210" t="s">
        <v>1376</v>
      </c>
      <c r="F500" s="102" t="str">
        <f t="shared" si="21"/>
        <v>AM</v>
      </c>
      <c r="AB500" s="209" cm="1">
        <f t="array" aca="1" ref="AB500" ca="1">IFERROR(LOOKUP(2,1/(AB502:AB601&lt;&gt;""),AB502:AB601),IF('Customer Base'!D7&lt;&gt;"Backup",SUMPRODUCT(Items!A242:A254,Items!AQ242:AQ254)/SUM(Items!A242:A254),""))</f>
        <v>47.7</v>
      </c>
    </row>
    <row r="501" spans="2:34" ht="17">
      <c r="B501" s="206" t="s">
        <v>1377</v>
      </c>
      <c r="C501" s="207" t="s">
        <v>1378</v>
      </c>
      <c r="D501" s="207" t="s">
        <v>1378</v>
      </c>
      <c r="E501" s="210" t="s">
        <v>1575</v>
      </c>
      <c r="F501" s="102" t="str">
        <f t="shared" si="21"/>
        <v>NATC</v>
      </c>
      <c r="W501" s="209" t="str">
        <f ca="1">IF(AND($AB501&gt;=AB500,$AB501&lt;150),1,IF(AND($AB501&gt;=150,$AB501&lt;250),2,IF(AND($AB501&gt;=250,$AB501&lt;450),3,"")))</f>
        <v/>
      </c>
      <c r="X501" s="209" t="s">
        <v>2673</v>
      </c>
      <c r="Y501" s="209" t="str" cm="1">
        <f t="array" ref="Y501">SUBSTITUTE(TRIM(_xlfn.CONCAT(P1:P100 &amp; " ")), " ", ", ")</f>
        <v>12, 6, 4, 3, 2, 1</v>
      </c>
      <c r="Z501" s="309" t="str" cm="1">
        <f t="array" aca="1" ref="Z501" ca="1">IFERROR(LEFT(Y501, MATCH(FALSE, ISNUMBER(MID(Y501, ROW(INDIRECT("1:"&amp;LEN(Y501)+1)), 1) *1), 0) -1),"")</f>
        <v>12</v>
      </c>
      <c r="AA501" s="209">
        <f ca="1">IFERROR(VALUE(Z501),"")</f>
        <v>12</v>
      </c>
      <c r="AB501" s="209">
        <f ca="1">IFERROR(AA501*SUMPRODUCT(Items!A$242:A$254,Items!AQ$242:AQ$254)/SUM(Items!A$242:A$254),"")</f>
        <v>572.4</v>
      </c>
      <c r="AH501" s="309"/>
    </row>
    <row r="502" spans="2:34" ht="17">
      <c r="B502" s="206" t="s">
        <v>1393</v>
      </c>
      <c r="C502" s="207" t="s">
        <v>855</v>
      </c>
      <c r="D502" s="207" t="s">
        <v>955</v>
      </c>
      <c r="E502" s="210" t="s">
        <v>1394</v>
      </c>
      <c r="F502" s="102" t="str">
        <f t="shared" si="21"/>
        <v>LC</v>
      </c>
      <c r="W502" s="209">
        <f ca="1">IF(AND($AB502&gt;=AB500,$AB502&lt;150),1,IF(AND($AB502&gt;=150,$AB502&lt;250),2,IF(AND($AB502&gt;=250,$AB502&lt;450),3,"")))</f>
        <v>3</v>
      </c>
      <c r="X502" s="209">
        <v>1</v>
      </c>
      <c r="Y502" s="209" t="str" cm="1">
        <f t="array" ref="Y502">SUBSTITUTE(TRIM(_xlfn.CONCAT(P2:P101 &amp; " ")), " ", ", ")</f>
        <v>6, 4, 3, 2, 1</v>
      </c>
      <c r="Z502" s="309" t="str" cm="1">
        <f t="array" aca="1" ref="Z502" ca="1">IFERROR(LEFT(Y502, MATCH(FALSE, ISNUMBER(MID(Y502, ROW(INDIRECT("1:"&amp;LEN(Y502)+1)), 1) *1), 0) -1),"")</f>
        <v>6</v>
      </c>
      <c r="AA502" s="209">
        <f ca="1">IFERROR(VALUE(Z502),"")</f>
        <v>6</v>
      </c>
      <c r="AB502" s="209">
        <f ca="1">IFERROR(AA502*SUMPRODUCT(Items!A$242:A$254,Items!AQ$242:AQ$254)/SUM(Items!A$242:A$254),"")</f>
        <v>286.2</v>
      </c>
      <c r="AH502" s="309"/>
    </row>
    <row r="503" spans="2:34" ht="17">
      <c r="B503" s="206" t="s">
        <v>1395</v>
      </c>
      <c r="C503" s="207" t="s">
        <v>1396</v>
      </c>
      <c r="D503" s="207" t="s">
        <v>216</v>
      </c>
      <c r="E503" s="210" t="s">
        <v>1397</v>
      </c>
      <c r="F503" s="102" t="str">
        <f t="shared" si="21"/>
        <v>DGW</v>
      </c>
      <c r="W503" s="209">
        <f ca="1">IF(AND($AB503&gt;=AB500,$AB503&lt;150),1,IF(AND($AB503&gt;=150,$AB503&lt;250),2,IF(AND($AB503&gt;=250,$AB503&lt;450),3,"")))</f>
        <v>2</v>
      </c>
      <c r="X503" s="209">
        <v>2</v>
      </c>
      <c r="Y503" s="209" t="str" cm="1">
        <f t="array" ref="Y503">SUBSTITUTE(TRIM(_xlfn.CONCAT(P3:P102 &amp; " ")), " ", ", ")</f>
        <v>4, 3, 2, 1</v>
      </c>
      <c r="Z503" s="309" t="str" cm="1">
        <f t="array" aca="1" ref="Z503" ca="1">IFERROR(LEFT(Y503, MATCH(FALSE, ISNUMBER(MID(Y503, ROW(INDIRECT("1:"&amp;LEN(Y503)+1)), 1) *1), 0) -1),"")</f>
        <v>4</v>
      </c>
      <c r="AA503" s="209">
        <f t="shared" ref="AA503:AA516" ca="1" si="22">IFERROR(VALUE(Z503),"")</f>
        <v>4</v>
      </c>
      <c r="AB503" s="209">
        <f ca="1">IFERROR(AA503*SUMPRODUCT(Items!A$242:A$254,Items!AQ$242:AQ$254)/SUM(Items!A$242:A$254),"")</f>
        <v>190.8</v>
      </c>
      <c r="AH503" s="309"/>
    </row>
    <row r="504" spans="2:34" ht="17">
      <c r="B504" s="206" t="s">
        <v>1398</v>
      </c>
      <c r="C504" s="207" t="s">
        <v>1399</v>
      </c>
      <c r="D504" s="207" t="s">
        <v>216</v>
      </c>
      <c r="E504" s="210" t="s">
        <v>1400</v>
      </c>
      <c r="F504" s="102" t="str">
        <f t="shared" si="21"/>
        <v>N</v>
      </c>
      <c r="W504" s="209">
        <f ca="1">IF(AND($AB504&gt;=AB500,$AB504&lt;150),1,IF(AND($AB504&gt;=150,$AB504&lt;250),2,IF(AND($AB504&gt;=250,$AB504&lt;450),3,"")))</f>
        <v>1</v>
      </c>
      <c r="X504" s="209">
        <v>3</v>
      </c>
      <c r="Y504" s="209" t="str" cm="1">
        <f t="array" ref="Y504">SUBSTITUTE(TRIM(_xlfn.CONCAT(P4:P103 &amp; " ")), " ", ", ")</f>
        <v>3, 2, 1</v>
      </c>
      <c r="Z504" s="309" t="str" cm="1">
        <f t="array" aca="1" ref="Z504" ca="1">IFERROR(LEFT(Y504, MATCH(FALSE, ISNUMBER(MID(Y504, ROW(INDIRECT("1:"&amp;LEN(Y504)+1)), 1) *1), 0) -1),"")</f>
        <v>3</v>
      </c>
      <c r="AA504" s="209">
        <f t="shared" ca="1" si="22"/>
        <v>3</v>
      </c>
      <c r="AB504" s="209">
        <f ca="1">IFERROR(AA504*SUMPRODUCT(Items!A$242:A$254,Items!AQ$242:AQ$254)/SUM(Items!A$242:A$254),"")</f>
        <v>143.1</v>
      </c>
      <c r="AH504" s="309"/>
    </row>
    <row r="505" spans="2:34" ht="17">
      <c r="B505" s="206" t="s">
        <v>1401</v>
      </c>
      <c r="C505" s="207" t="s">
        <v>216</v>
      </c>
      <c r="D505" s="207" t="s">
        <v>216</v>
      </c>
      <c r="E505" s="210" t="s">
        <v>1402</v>
      </c>
      <c r="F505" s="102" t="str">
        <f t="shared" si="21"/>
        <v>M</v>
      </c>
      <c r="W505" s="209">
        <f ca="1">IF(AND($AB505&gt;=AB500,$AB505&lt;150),1,IF(AND($AB505&gt;=150,$AB505&lt;250),2,IF(AND($AB505&gt;=250,$AB505&lt;450),3,"")))</f>
        <v>1</v>
      </c>
      <c r="X505" s="209">
        <v>4</v>
      </c>
      <c r="Y505" s="209" t="str" cm="1">
        <f t="array" ref="Y505">SUBSTITUTE(TRIM(_xlfn.CONCAT(P5:P104 &amp; " ")), " ", ", ")</f>
        <v>2, 1</v>
      </c>
      <c r="Z505" s="309" t="str" cm="1">
        <f t="array" aca="1" ref="Z505" ca="1">IFERROR(LEFT(Y505, MATCH(FALSE, ISNUMBER(MID(Y505, ROW(INDIRECT("1:"&amp;LEN(Y505)+1)), 1) *1), 0) -1),"")</f>
        <v>2</v>
      </c>
      <c r="AA505" s="209">
        <f t="shared" ca="1" si="22"/>
        <v>2</v>
      </c>
      <c r="AB505" s="209">
        <f ca="1">IFERROR(AA505*SUMPRODUCT(Items!A$242:A$254,Items!AQ$242:AQ$254)/SUM(Items!A$242:A$254),"")</f>
        <v>95.4</v>
      </c>
      <c r="AH505" s="309"/>
    </row>
    <row r="506" spans="2:34" ht="17">
      <c r="B506" s="206" t="s">
        <v>1403</v>
      </c>
      <c r="C506" s="207" t="s">
        <v>38</v>
      </c>
      <c r="D506" s="207" t="s">
        <v>216</v>
      </c>
      <c r="E506" s="210" t="s">
        <v>1404</v>
      </c>
      <c r="F506" s="102" t="str">
        <f t="shared" si="21"/>
        <v>F</v>
      </c>
      <c r="W506" s="209">
        <f ca="1">IF(AND($AB506&gt;=AB500,$AB506&lt;150),1,IF(AND($AB506&gt;=150,$AB506&lt;250),2,IF(AND($AB506&gt;=250,$AB506&lt;450),3,"")))</f>
        <v>1</v>
      </c>
      <c r="X506" s="209">
        <v>5</v>
      </c>
      <c r="Y506" s="209" t="str" cm="1">
        <f t="array" ref="Y506">SUBSTITUTE(TRIM(_xlfn.CONCAT(P6:P105 &amp; " ")), " ", ", ")</f>
        <v>1</v>
      </c>
      <c r="Z506" s="309" t="str" cm="1">
        <f t="array" aca="1" ref="Z506" ca="1">IFERROR(LEFT(Y506, MATCH(FALSE, ISNUMBER(MID(Y506, ROW(INDIRECT("1:"&amp;LEN(Y506)+1)), 1) *1), 0) -1),"")</f>
        <v>1</v>
      </c>
      <c r="AA506" s="209">
        <f t="shared" ca="1" si="22"/>
        <v>1</v>
      </c>
      <c r="AB506" s="209">
        <f ca="1">IFERROR(AA506*SUMPRODUCT(Items!A$242:A$254,Items!AQ$242:AQ$254)/SUM(Items!A$242:A$254),"")</f>
        <v>47.7</v>
      </c>
      <c r="AH506" s="309"/>
    </row>
    <row r="507" spans="2:34" ht="17">
      <c r="B507" s="206" t="s">
        <v>1405</v>
      </c>
      <c r="C507" s="207" t="s">
        <v>216</v>
      </c>
      <c r="D507" s="207" t="s">
        <v>216</v>
      </c>
      <c r="E507" s="210" t="s">
        <v>1406</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1407</v>
      </c>
      <c r="C508" s="207" t="s">
        <v>856</v>
      </c>
      <c r="D508" s="207" t="s">
        <v>1348</v>
      </c>
      <c r="E508" s="210" t="s">
        <v>1408</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1467</v>
      </c>
      <c r="C509" s="207" t="s">
        <v>352</v>
      </c>
      <c r="D509" s="207" t="s">
        <v>216</v>
      </c>
      <c r="E509" s="210" t="s">
        <v>1409</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1410</v>
      </c>
      <c r="C510" s="207" t="s">
        <v>69</v>
      </c>
      <c r="D510" s="207" t="s">
        <v>216</v>
      </c>
      <c r="E510" s="210" t="s">
        <v>1409</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1411</v>
      </c>
      <c r="C511" s="207" t="s">
        <v>69</v>
      </c>
      <c r="D511" s="207" t="s">
        <v>216</v>
      </c>
      <c r="E511" s="210" t="s">
        <v>1409</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1412</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1413</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1414</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1415</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1416</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1417</v>
      </c>
      <c r="C517" s="207" t="s">
        <v>1086</v>
      </c>
      <c r="D517" s="207" t="s">
        <v>1086</v>
      </c>
      <c r="E517" s="210" t="s">
        <v>1418</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1464</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1472</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1469</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1468</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1470</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1471</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1474</v>
      </c>
      <c r="C524" s="207" t="s">
        <v>1240</v>
      </c>
      <c r="D524" s="207" t="s">
        <v>216</v>
      </c>
      <c r="E524" s="207" t="s">
        <v>1475</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1476</v>
      </c>
      <c r="C525" s="207" t="s">
        <v>216</v>
      </c>
      <c r="D525" s="207" t="s">
        <v>216</v>
      </c>
      <c r="E525" s="210" t="s">
        <v>1477</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1478</v>
      </c>
      <c r="C526" s="207" t="s">
        <v>342</v>
      </c>
      <c r="D526" s="207" t="s">
        <v>342</v>
      </c>
      <c r="E526" s="210" t="s">
        <v>1479</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1480</v>
      </c>
      <c r="C527" s="207" t="s">
        <v>1378</v>
      </c>
      <c r="D527" s="207" t="s">
        <v>1378</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1481</v>
      </c>
      <c r="C528" s="207" t="s">
        <v>355</v>
      </c>
      <c r="D528" s="207" t="s">
        <v>216</v>
      </c>
      <c r="E528" s="210" t="s">
        <v>1482</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1485</v>
      </c>
      <c r="C529" s="207" t="s">
        <v>51</v>
      </c>
      <c r="D529" s="207" t="s">
        <v>51</v>
      </c>
      <c r="E529" s="210" t="s">
        <v>1483</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1495</v>
      </c>
      <c r="C530" s="207" t="s">
        <v>1496</v>
      </c>
      <c r="D530" s="207" t="s">
        <v>1496</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1500</v>
      </c>
      <c r="C531" s="207" t="s">
        <v>1501</v>
      </c>
      <c r="D531" s="207" t="s">
        <v>1502</v>
      </c>
      <c r="E531" s="210" t="s">
        <v>1503</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1504</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1505</v>
      </c>
      <c r="C533" s="207" t="s">
        <v>1506</v>
      </c>
      <c r="D533" s="207" t="s">
        <v>954</v>
      </c>
      <c r="E533" s="210" t="s">
        <v>1507</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1508</v>
      </c>
      <c r="C534" s="207" t="s">
        <v>32</v>
      </c>
      <c r="D534" s="207" t="s">
        <v>216</v>
      </c>
      <c r="E534" s="210" t="s">
        <v>1509</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1510</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1512</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1513</v>
      </c>
      <c r="C537" s="207" t="s">
        <v>216</v>
      </c>
      <c r="D537" s="207" t="s">
        <v>216</v>
      </c>
      <c r="E537" s="210" t="s">
        <v>1514</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1515</v>
      </c>
      <c r="C538" s="207" t="s">
        <v>69</v>
      </c>
      <c r="D538" s="207" t="s">
        <v>216</v>
      </c>
      <c r="E538" s="210" t="s">
        <v>1516</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1517</v>
      </c>
      <c r="C539" s="207" t="s">
        <v>216</v>
      </c>
      <c r="D539" s="207" t="s">
        <v>216</v>
      </c>
      <c r="F539" s="102" t="str">
        <f t="shared" si="23"/>
        <v>ML</v>
      </c>
      <c r="G539" s="208" t="s">
        <v>1518</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1519</v>
      </c>
      <c r="C540" s="207" t="s">
        <v>216</v>
      </c>
      <c r="D540" s="207" t="s">
        <v>216</v>
      </c>
      <c r="E540" s="210" t="s">
        <v>1521</v>
      </c>
      <c r="F540" s="102" t="str">
        <f t="shared" si="23"/>
        <v>TP</v>
      </c>
      <c r="G540" s="217" t="s">
        <v>1520</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1522</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1523</v>
      </c>
      <c r="C542" s="207" t="s">
        <v>1524</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1530</v>
      </c>
      <c r="C543" s="207" t="s">
        <v>1531</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1532</v>
      </c>
      <c r="C544" s="207" t="s">
        <v>219</v>
      </c>
      <c r="D544" s="207" t="s">
        <v>216</v>
      </c>
      <c r="E544" s="210" t="s">
        <v>1534</v>
      </c>
      <c r="F544" s="102" t="str">
        <f t="shared" si="23"/>
        <v>AE</v>
      </c>
      <c r="G544" s="208" t="s">
        <v>1533</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1535</v>
      </c>
      <c r="C545" s="207" t="s">
        <v>1536</v>
      </c>
      <c r="D545" s="207" t="s">
        <v>216</v>
      </c>
      <c r="E545" s="210" t="s">
        <v>1537</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1540</v>
      </c>
      <c r="C546" s="207" t="s">
        <v>216</v>
      </c>
      <c r="D546" s="207" t="s">
        <v>216</v>
      </c>
      <c r="E546" s="210" t="s">
        <v>1541</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1542</v>
      </c>
      <c r="C547" s="207" t="s">
        <v>182</v>
      </c>
      <c r="D547" s="207" t="s">
        <v>216</v>
      </c>
      <c r="E547" s="210" t="s">
        <v>1543</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1544</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1547</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1551</v>
      </c>
      <c r="C550" s="207" t="s">
        <v>216</v>
      </c>
      <c r="D550" s="207" t="s">
        <v>216</v>
      </c>
      <c r="E550" s="210" t="s">
        <v>1550</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1552</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1554</v>
      </c>
      <c r="C552" s="207" t="s">
        <v>51</v>
      </c>
      <c r="D552" s="207" t="s">
        <v>51</v>
      </c>
      <c r="E552" s="210" t="s">
        <v>1555</v>
      </c>
      <c r="F552" s="102" t="str">
        <f t="shared" si="23"/>
        <v>ASAL</v>
      </c>
      <c r="G552" s="208" t="s">
        <v>1556</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1557</v>
      </c>
      <c r="C553" s="207" t="s">
        <v>216</v>
      </c>
      <c r="D553" s="207" t="s">
        <v>216</v>
      </c>
      <c r="E553" s="210" t="s">
        <v>1558</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1560</v>
      </c>
      <c r="C554" s="207" t="s">
        <v>566</v>
      </c>
      <c r="D554" s="207" t="s">
        <v>216</v>
      </c>
      <c r="E554" s="210" t="s">
        <v>1561</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1570</v>
      </c>
      <c r="C555" s="207" t="s">
        <v>352</v>
      </c>
      <c r="D555" s="207" t="s">
        <v>216</v>
      </c>
      <c r="E555" s="210" t="s">
        <v>1571</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1572</v>
      </c>
      <c r="C556" s="207" t="s">
        <v>216</v>
      </c>
      <c r="D556" s="207" t="s">
        <v>216</v>
      </c>
      <c r="E556" s="210" t="s">
        <v>1573</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1574</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1355</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1634</v>
      </c>
      <c r="C559" s="207" t="s">
        <v>192</v>
      </c>
      <c r="D559" s="207" t="s">
        <v>216</v>
      </c>
      <c r="E559" s="210" t="s">
        <v>1577</v>
      </c>
      <c r="F559" s="102" t="str">
        <f t="shared" si="23"/>
        <v>ODC</v>
      </c>
      <c r="G559" s="208" t="s">
        <v>1576</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2429</v>
      </c>
      <c r="C560" s="207" t="s">
        <v>1579</v>
      </c>
      <c r="D560" s="207" t="s">
        <v>35</v>
      </c>
      <c r="E560" s="210" t="s">
        <v>1580</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1584</v>
      </c>
      <c r="C561" s="207" t="s">
        <v>1582</v>
      </c>
      <c r="D561" s="207" t="s">
        <v>216</v>
      </c>
      <c r="E561" s="210" t="s">
        <v>1583</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1585</v>
      </c>
      <c r="C562" s="207" t="s">
        <v>93</v>
      </c>
      <c r="D562" s="207" t="s">
        <v>216</v>
      </c>
      <c r="E562" s="210" t="s">
        <v>1586</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1587</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1711</v>
      </c>
      <c r="C564" s="207" t="s">
        <v>182</v>
      </c>
      <c r="D564" s="207" t="s">
        <v>216</v>
      </c>
      <c r="E564" s="210" t="s">
        <v>1708</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1709</v>
      </c>
      <c r="C565" s="207" t="s">
        <v>1399</v>
      </c>
      <c r="D565" s="207" t="s">
        <v>216</v>
      </c>
      <c r="E565" s="210" t="s">
        <v>1592</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1710</v>
      </c>
      <c r="C566" s="207" t="s">
        <v>396</v>
      </c>
      <c r="D566" s="207" t="s">
        <v>216</v>
      </c>
      <c r="E566" s="210" t="s">
        <v>1593</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1596</v>
      </c>
      <c r="C567" s="207" t="s">
        <v>35</v>
      </c>
      <c r="D567" s="207" t="s">
        <v>35</v>
      </c>
      <c r="E567" s="210" t="s">
        <v>1594</v>
      </c>
      <c r="F567" s="102" t="str">
        <f t="shared" si="23"/>
        <v>SEL</v>
      </c>
      <c r="G567" s="208" t="s">
        <v>1595</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1927</v>
      </c>
      <c r="C568" s="215" t="s">
        <v>1928</v>
      </c>
      <c r="D568" s="215" t="s">
        <v>216</v>
      </c>
      <c r="E568" s="216" t="s">
        <v>1594</v>
      </c>
      <c r="F568" s="102" t="str">
        <f t="shared" si="23"/>
        <v>SEL-</v>
      </c>
      <c r="G568" s="218" t="s">
        <v>1595</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1598</v>
      </c>
      <c r="C569" s="207" t="s">
        <v>274</v>
      </c>
      <c r="D569" s="207" t="s">
        <v>35</v>
      </c>
      <c r="E569" s="210" t="s">
        <v>1599</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1600</v>
      </c>
      <c r="C570" s="207" t="s">
        <v>29</v>
      </c>
      <c r="D570" s="207" t="s">
        <v>1502</v>
      </c>
      <c r="E570" s="210" t="s">
        <v>1601</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1602</v>
      </c>
      <c r="C571" s="207" t="s">
        <v>414</v>
      </c>
      <c r="D571" s="207" t="s">
        <v>216</v>
      </c>
      <c r="E571" s="210" t="s">
        <v>1573</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1603</v>
      </c>
      <c r="C572" s="207" t="s">
        <v>120</v>
      </c>
      <c r="D572" s="207" t="s">
        <v>216</v>
      </c>
      <c r="E572" s="210" t="s">
        <v>1573</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1604</v>
      </c>
      <c r="C573" s="207" t="s">
        <v>120</v>
      </c>
      <c r="D573" s="207" t="s">
        <v>216</v>
      </c>
      <c r="E573" s="210" t="s">
        <v>1605</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1606</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1610</v>
      </c>
      <c r="C575" s="207" t="s">
        <v>1608</v>
      </c>
      <c r="D575" s="207" t="s">
        <v>216</v>
      </c>
      <c r="E575" s="210" t="s">
        <v>1611</v>
      </c>
      <c r="F575" s="102" t="str">
        <f t="shared" si="23"/>
        <v>GI-G</v>
      </c>
      <c r="G575" s="208" t="s">
        <v>1609</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1612</v>
      </c>
      <c r="C576" s="207" t="s">
        <v>1613</v>
      </c>
      <c r="D576" s="207" t="s">
        <v>35</v>
      </c>
      <c r="E576" s="210" t="s">
        <v>1614</v>
      </c>
      <c r="F576" s="102" t="str">
        <f t="shared" si="23"/>
        <v>DTL</v>
      </c>
      <c r="G576" s="208" t="s">
        <v>1616</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1578</v>
      </c>
      <c r="C577" s="207" t="s">
        <v>216</v>
      </c>
      <c r="D577" s="207" t="s">
        <v>216</v>
      </c>
      <c r="E577" s="210" t="s">
        <v>1617</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1620</v>
      </c>
      <c r="C578" s="207" t="s">
        <v>1621</v>
      </c>
      <c r="D578" s="207" t="s">
        <v>1621</v>
      </c>
      <c r="E578" s="210" t="s">
        <v>1622</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1623</v>
      </c>
      <c r="C579" s="207" t="s">
        <v>595</v>
      </c>
      <c r="D579" s="207" t="s">
        <v>216</v>
      </c>
      <c r="E579" s="210" t="s">
        <v>1624</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1627</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1628</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1629</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1630</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1631</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1632</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1633</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1635</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1649</v>
      </c>
      <c r="C588" s="207" t="s">
        <v>1650</v>
      </c>
      <c r="D588" s="207" t="s">
        <v>35</v>
      </c>
      <c r="F588" s="102" t="str">
        <f t="shared" si="27"/>
        <v>RA</v>
      </c>
      <c r="H588" s="219" t="s">
        <v>1651</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1653</v>
      </c>
      <c r="C589" s="207" t="s">
        <v>1654</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1559</v>
      </c>
      <c r="C590" s="207" t="s">
        <v>1656</v>
      </c>
      <c r="D590" s="207" t="s">
        <v>35</v>
      </c>
      <c r="E590" s="210" t="s">
        <v>1657</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1666</v>
      </c>
      <c r="C591" s="207" t="s">
        <v>770</v>
      </c>
      <c r="D591" s="207" t="s">
        <v>35</v>
      </c>
      <c r="E591" s="210" t="s">
        <v>1667</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1668</v>
      </c>
      <c r="C592" s="207" t="s">
        <v>1669</v>
      </c>
      <c r="D592" s="207" t="s">
        <v>216</v>
      </c>
      <c r="E592" s="210" t="s">
        <v>1670</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1671</v>
      </c>
      <c r="C593" s="207" t="s">
        <v>1672</v>
      </c>
      <c r="D593" s="207" t="s">
        <v>35</v>
      </c>
      <c r="E593" s="210" t="s">
        <v>1673</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1674</v>
      </c>
      <c r="C594" s="207" t="s">
        <v>120</v>
      </c>
      <c r="D594" s="207" t="s">
        <v>216</v>
      </c>
      <c r="E594" s="210" t="s">
        <v>1676</v>
      </c>
      <c r="F594" s="102" t="str">
        <f t="shared" si="27"/>
        <v>IVPG</v>
      </c>
      <c r="G594" s="217" t="s">
        <v>1675</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1677</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1680</v>
      </c>
      <c r="C596" s="207" t="s">
        <v>1681</v>
      </c>
      <c r="D596" s="207" t="s">
        <v>216</v>
      </c>
      <c r="E596" s="210" t="s">
        <v>1682</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1683</v>
      </c>
      <c r="C597" s="207" t="s">
        <v>32</v>
      </c>
      <c r="D597" s="207" t="s">
        <v>216</v>
      </c>
      <c r="E597" s="210" t="s">
        <v>1685</v>
      </c>
      <c r="F597" s="102" t="str">
        <f t="shared" si="27"/>
        <v>O&amp;A</v>
      </c>
      <c r="G597" s="217" t="s">
        <v>1684</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1686</v>
      </c>
      <c r="C598" s="207" t="s">
        <v>216</v>
      </c>
      <c r="D598" s="207" t="s">
        <v>216</v>
      </c>
      <c r="E598" s="210" t="s">
        <v>1687</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1688</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1692</v>
      </c>
      <c r="C600" s="207" t="s">
        <v>438</v>
      </c>
      <c r="D600" s="207" t="s">
        <v>216</v>
      </c>
      <c r="E600" s="210" t="s">
        <v>1691</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1693</v>
      </c>
      <c r="C601" s="207" t="s">
        <v>32</v>
      </c>
      <c r="D601" s="207" t="s">
        <v>216</v>
      </c>
      <c r="E601" s="210" t="s">
        <v>1694</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1697</v>
      </c>
      <c r="C602" s="207" t="s">
        <v>38</v>
      </c>
      <c r="D602" s="207" t="s">
        <v>216</v>
      </c>
      <c r="E602" s="210" t="s">
        <v>1696</v>
      </c>
      <c r="F602" s="102" t="str">
        <f t="shared" si="27"/>
        <v>A</v>
      </c>
      <c r="Z602" s="309"/>
    </row>
    <row r="603" spans="2:28" ht="17">
      <c r="B603" s="206" t="s">
        <v>1700</v>
      </c>
      <c r="C603" s="207" t="s">
        <v>446</v>
      </c>
      <c r="D603" s="207" t="s">
        <v>35</v>
      </c>
      <c r="E603" s="210" t="s">
        <v>1701</v>
      </c>
      <c r="F603" s="102" t="str">
        <f t="shared" si="27"/>
        <v>DA</v>
      </c>
    </row>
    <row r="604" spans="2:28" ht="17">
      <c r="B604" s="206" t="s">
        <v>1702</v>
      </c>
      <c r="C604" s="207" t="s">
        <v>1621</v>
      </c>
      <c r="D604" s="207" t="s">
        <v>1621</v>
      </c>
      <c r="E604" s="210" t="s">
        <v>1703</v>
      </c>
      <c r="F604" s="102" t="str">
        <f t="shared" si="27"/>
        <v>AP</v>
      </c>
    </row>
    <row r="605" spans="2:28" ht="17">
      <c r="B605" s="206" t="s">
        <v>1704</v>
      </c>
      <c r="C605" s="207" t="s">
        <v>438</v>
      </c>
      <c r="D605" s="207" t="s">
        <v>216</v>
      </c>
      <c r="E605" s="210" t="s">
        <v>1705</v>
      </c>
      <c r="F605" s="102" t="str">
        <f t="shared" si="27"/>
        <v>S</v>
      </c>
      <c r="G605" s="208" t="s">
        <v>1706</v>
      </c>
    </row>
    <row r="606" spans="2:28" ht="17">
      <c r="B606" s="206" t="s">
        <v>1712</v>
      </c>
      <c r="C606" s="207" t="s">
        <v>342</v>
      </c>
      <c r="D606" s="207" t="s">
        <v>342</v>
      </c>
      <c r="E606" s="210" t="s">
        <v>1713</v>
      </c>
      <c r="F606" s="102" t="str">
        <f t="shared" si="27"/>
        <v>T-T</v>
      </c>
    </row>
    <row r="607" spans="2:28" ht="17">
      <c r="B607" s="206" t="s">
        <v>1714</v>
      </c>
      <c r="C607" s="207" t="s">
        <v>438</v>
      </c>
      <c r="D607" s="207" t="s">
        <v>216</v>
      </c>
      <c r="E607" s="210" t="s">
        <v>1715</v>
      </c>
      <c r="F607" s="102" t="str">
        <f t="shared" si="27"/>
        <v>MR</v>
      </c>
    </row>
    <row r="608" spans="2:28" ht="17">
      <c r="B608" s="206" t="s">
        <v>1716</v>
      </c>
      <c r="C608" s="207" t="s">
        <v>1719</v>
      </c>
      <c r="D608" s="207" t="s">
        <v>216</v>
      </c>
      <c r="E608" s="210" t="s">
        <v>1717</v>
      </c>
      <c r="F608" s="102" t="str">
        <f t="shared" si="27"/>
        <v>QIC</v>
      </c>
      <c r="G608" s="208" t="s">
        <v>1718</v>
      </c>
    </row>
    <row r="609" spans="2:8" ht="17">
      <c r="B609" s="206" t="s">
        <v>1720</v>
      </c>
      <c r="C609" s="207" t="s">
        <v>192</v>
      </c>
      <c r="D609" s="207" t="s">
        <v>216</v>
      </c>
      <c r="E609" s="210" t="s">
        <v>1721</v>
      </c>
      <c r="F609" s="102" t="str">
        <f t="shared" si="27"/>
        <v>T</v>
      </c>
    </row>
    <row r="610" spans="2:8" ht="17">
      <c r="B610" s="206" t="s">
        <v>1722</v>
      </c>
      <c r="C610" s="207" t="s">
        <v>342</v>
      </c>
      <c r="D610" s="207" t="s">
        <v>342</v>
      </c>
      <c r="E610" s="210" t="s">
        <v>1723</v>
      </c>
      <c r="F610" s="102" t="str">
        <f t="shared" si="27"/>
        <v>A</v>
      </c>
    </row>
    <row r="611" spans="2:8" ht="17">
      <c r="B611" s="206" t="s">
        <v>1724</v>
      </c>
      <c r="C611" s="207" t="s">
        <v>1725</v>
      </c>
      <c r="D611" s="207" t="s">
        <v>216</v>
      </c>
      <c r="F611" s="102" t="str">
        <f t="shared" si="27"/>
        <v>AK</v>
      </c>
    </row>
    <row r="612" spans="2:8" ht="17">
      <c r="B612" s="206" t="s">
        <v>1726</v>
      </c>
      <c r="C612" s="207" t="s">
        <v>182</v>
      </c>
      <c r="D612" s="207" t="s">
        <v>216</v>
      </c>
      <c r="E612" s="210" t="s">
        <v>1727</v>
      </c>
      <c r="F612" s="102" t="str">
        <f t="shared" si="27"/>
        <v>SE</v>
      </c>
      <c r="G612" s="208" t="s">
        <v>1728</v>
      </c>
      <c r="H612" s="219" t="s">
        <v>1730</v>
      </c>
    </row>
    <row r="613" spans="2:8" ht="17">
      <c r="B613" s="206" t="s">
        <v>1731</v>
      </c>
      <c r="C613" s="207" t="s">
        <v>216</v>
      </c>
      <c r="D613" s="207" t="s">
        <v>216</v>
      </c>
      <c r="E613" s="210" t="s">
        <v>1732</v>
      </c>
      <c r="F613" s="102" t="str">
        <f t="shared" si="27"/>
        <v>JA</v>
      </c>
    </row>
    <row r="614" spans="2:8" ht="17">
      <c r="B614" s="206" t="s">
        <v>1733</v>
      </c>
      <c r="C614" s="207" t="s">
        <v>971</v>
      </c>
      <c r="D614" s="207" t="s">
        <v>216</v>
      </c>
      <c r="E614" s="210" t="s">
        <v>1734</v>
      </c>
      <c r="F614" s="102" t="str">
        <f t="shared" si="27"/>
        <v>BS</v>
      </c>
    </row>
    <row r="615" spans="2:8" ht="17">
      <c r="B615" s="206" t="s">
        <v>1737</v>
      </c>
      <c r="C615" s="207" t="s">
        <v>1735</v>
      </c>
      <c r="D615" s="207" t="s">
        <v>957</v>
      </c>
      <c r="E615" s="210" t="s">
        <v>1736</v>
      </c>
      <c r="F615" s="102" t="str">
        <f t="shared" si="27"/>
        <v>E-E</v>
      </c>
    </row>
    <row r="616" spans="2:8" ht="34">
      <c r="B616" s="206" t="s">
        <v>1740</v>
      </c>
      <c r="C616" s="207" t="s">
        <v>1738</v>
      </c>
      <c r="D616" s="207" t="s">
        <v>216</v>
      </c>
      <c r="E616" s="210" t="s">
        <v>1739</v>
      </c>
      <c r="F616" s="102" t="str">
        <f t="shared" si="27"/>
        <v>MS</v>
      </c>
    </row>
    <row r="617" spans="2:8" ht="17">
      <c r="B617" s="206" t="s">
        <v>1743</v>
      </c>
      <c r="C617" s="207" t="s">
        <v>426</v>
      </c>
      <c r="D617" s="207" t="s">
        <v>216</v>
      </c>
      <c r="F617" s="102" t="str">
        <f t="shared" si="27"/>
        <v>AIS</v>
      </c>
    </row>
    <row r="618" spans="2:8" ht="34">
      <c r="B618" s="206" t="s">
        <v>1759</v>
      </c>
      <c r="C618" s="207" t="s">
        <v>35</v>
      </c>
      <c r="D618" s="207" t="s">
        <v>35</v>
      </c>
      <c r="E618" s="210" t="s">
        <v>1760</v>
      </c>
      <c r="F618" s="102" t="str">
        <f t="shared" si="27"/>
        <v>CWL</v>
      </c>
      <c r="G618" s="208" t="s">
        <v>1761</v>
      </c>
    </row>
    <row r="619" spans="2:8" ht="17">
      <c r="B619" s="206" t="s">
        <v>1762</v>
      </c>
      <c r="C619" s="207" t="s">
        <v>216</v>
      </c>
      <c r="D619" s="207" t="s">
        <v>216</v>
      </c>
      <c r="E619" s="210" t="s">
        <v>1763</v>
      </c>
      <c r="F619" s="102" t="str">
        <f t="shared" si="27"/>
        <v>R</v>
      </c>
    </row>
    <row r="620" spans="2:8" ht="17">
      <c r="B620" s="206" t="s">
        <v>1764</v>
      </c>
      <c r="C620" s="207" t="s">
        <v>216</v>
      </c>
      <c r="D620" s="207" t="s">
        <v>216</v>
      </c>
      <c r="E620" s="210" t="s">
        <v>1765</v>
      </c>
      <c r="F620" s="102" t="str">
        <f t="shared" si="27"/>
        <v>PA</v>
      </c>
    </row>
    <row r="621" spans="2:8" ht="17">
      <c r="B621" s="206" t="s">
        <v>2829</v>
      </c>
      <c r="C621" s="207" t="s">
        <v>216</v>
      </c>
      <c r="D621" s="207" t="s">
        <v>216</v>
      </c>
      <c r="E621" s="210" t="s">
        <v>1766</v>
      </c>
      <c r="F621" s="102" t="str">
        <f t="shared" si="27"/>
        <v>J-EC</v>
      </c>
    </row>
    <row r="622" spans="2:8" ht="17">
      <c r="B622" s="206" t="s">
        <v>1767</v>
      </c>
      <c r="C622" s="207" t="s">
        <v>803</v>
      </c>
      <c r="D622" s="207" t="s">
        <v>216</v>
      </c>
      <c r="E622" s="210" t="s">
        <v>1768</v>
      </c>
      <c r="F622" s="102" t="str">
        <f t="shared" si="27"/>
        <v>GA</v>
      </c>
    </row>
    <row r="623" spans="2:8" ht="17">
      <c r="B623" s="206" t="s">
        <v>1769</v>
      </c>
      <c r="C623" s="207" t="s">
        <v>1178</v>
      </c>
      <c r="D623" s="207" t="s">
        <v>216</v>
      </c>
      <c r="E623" s="210" t="s">
        <v>1770</v>
      </c>
      <c r="F623" s="102" t="str">
        <f t="shared" si="27"/>
        <v>LB</v>
      </c>
    </row>
    <row r="624" spans="2:8" ht="17">
      <c r="B624" s="206" t="s">
        <v>1772</v>
      </c>
      <c r="C624" s="207" t="s">
        <v>216</v>
      </c>
      <c r="D624" s="207" t="s">
        <v>216</v>
      </c>
      <c r="F624" s="102" t="str">
        <f t="shared" si="27"/>
        <v>KA</v>
      </c>
    </row>
    <row r="625" spans="2:7" ht="17">
      <c r="B625" s="206" t="s">
        <v>1774</v>
      </c>
      <c r="C625" s="207" t="s">
        <v>305</v>
      </c>
      <c r="D625" s="207" t="s">
        <v>305</v>
      </c>
      <c r="F625" s="102" t="str">
        <f t="shared" si="27"/>
        <v>H9LP</v>
      </c>
    </row>
    <row r="626" spans="2:7" ht="17">
      <c r="B626" s="206" t="s">
        <v>1776</v>
      </c>
      <c r="C626" s="207" t="s">
        <v>182</v>
      </c>
      <c r="D626" s="207" t="s">
        <v>216</v>
      </c>
      <c r="F626" s="102" t="str">
        <f t="shared" si="27"/>
        <v>SJTE</v>
      </c>
    </row>
    <row r="627" spans="2:7" ht="17">
      <c r="B627" s="206" t="s">
        <v>1781</v>
      </c>
      <c r="C627" s="207" t="s">
        <v>216</v>
      </c>
      <c r="D627" s="207" t="s">
        <v>216</v>
      </c>
      <c r="F627" s="102" t="str">
        <f t="shared" si="27"/>
        <v>IL</v>
      </c>
    </row>
    <row r="628" spans="2:7" ht="17">
      <c r="B628" s="206" t="s">
        <v>1782</v>
      </c>
      <c r="C628" s="207" t="s">
        <v>120</v>
      </c>
      <c r="D628" s="207" t="s">
        <v>216</v>
      </c>
      <c r="E628" s="210" t="s">
        <v>1783</v>
      </c>
      <c r="F628" s="102" t="str">
        <f t="shared" si="27"/>
        <v>E</v>
      </c>
    </row>
    <row r="629" spans="2:7" ht="17">
      <c r="B629" s="206" t="s">
        <v>1784</v>
      </c>
      <c r="C629" s="207" t="s">
        <v>342</v>
      </c>
      <c r="D629" s="207" t="s">
        <v>342</v>
      </c>
      <c r="E629" s="210" t="s">
        <v>1785</v>
      </c>
      <c r="F629" s="102" t="str">
        <f t="shared" si="27"/>
        <v>L</v>
      </c>
    </row>
    <row r="630" spans="2:7" ht="17">
      <c r="B630" s="206" t="s">
        <v>1786</v>
      </c>
      <c r="C630" s="207" t="s">
        <v>856</v>
      </c>
      <c r="D630" s="207" t="s">
        <v>856</v>
      </c>
      <c r="E630" s="210" t="s">
        <v>1787</v>
      </c>
      <c r="F630" s="102" t="str">
        <f t="shared" si="27"/>
        <v>UOEA</v>
      </c>
      <c r="G630" s="208" t="s">
        <v>1788</v>
      </c>
    </row>
    <row r="631" spans="2:7" ht="34">
      <c r="B631" s="206" t="s">
        <v>1789</v>
      </c>
      <c r="C631" s="207" t="s">
        <v>1790</v>
      </c>
      <c r="D631" s="207" t="s">
        <v>216</v>
      </c>
      <c r="F631" s="102" t="str">
        <f t="shared" si="27"/>
        <v>R</v>
      </c>
    </row>
    <row r="632" spans="2:7" ht="17">
      <c r="B632" s="206" t="s">
        <v>1791</v>
      </c>
      <c r="C632" s="207" t="s">
        <v>216</v>
      </c>
      <c r="D632" s="207" t="s">
        <v>216</v>
      </c>
      <c r="E632" s="210" t="s">
        <v>1</v>
      </c>
      <c r="F632" s="102" t="str">
        <f t="shared" si="27"/>
        <v>PC</v>
      </c>
    </row>
    <row r="633" spans="2:7" ht="17">
      <c r="B633" s="206" t="s">
        <v>1792</v>
      </c>
      <c r="C633" s="207" t="s">
        <v>29</v>
      </c>
      <c r="D633" s="207" t="s">
        <v>955</v>
      </c>
      <c r="E633" s="210" t="s">
        <v>1793</v>
      </c>
      <c r="F633" s="102" t="str">
        <f t="shared" si="27"/>
        <v>P</v>
      </c>
    </row>
    <row r="634" spans="2:7" ht="17">
      <c r="B634" s="206" t="s">
        <v>1794</v>
      </c>
      <c r="C634" s="207" t="s">
        <v>1579</v>
      </c>
      <c r="D634" s="207" t="s">
        <v>35</v>
      </c>
      <c r="E634" s="210" t="s">
        <v>1795</v>
      </c>
      <c r="F634" s="102" t="str">
        <f t="shared" si="27"/>
        <v>MMOG</v>
      </c>
      <c r="G634" s="208" t="s">
        <v>1796</v>
      </c>
    </row>
    <row r="635" spans="2:7" ht="34">
      <c r="B635" s="206" t="s">
        <v>1797</v>
      </c>
      <c r="C635" s="207" t="s">
        <v>1798</v>
      </c>
      <c r="D635" s="207" t="s">
        <v>35</v>
      </c>
      <c r="E635" s="210" t="s">
        <v>1795</v>
      </c>
      <c r="F635" s="102" t="str">
        <f t="shared" si="27"/>
        <v>CA</v>
      </c>
    </row>
    <row r="636" spans="2:7" ht="17">
      <c r="B636" s="206" t="s">
        <v>1800</v>
      </c>
      <c r="C636" s="207" t="s">
        <v>554</v>
      </c>
      <c r="D636" s="207" t="s">
        <v>216</v>
      </c>
      <c r="F636" s="102" t="str">
        <f t="shared" si="27"/>
        <v>D</v>
      </c>
    </row>
    <row r="637" spans="2:7" ht="17">
      <c r="B637" s="206" t="s">
        <v>1801</v>
      </c>
      <c r="C637" s="207" t="s">
        <v>1802</v>
      </c>
      <c r="D637" s="207" t="s">
        <v>216</v>
      </c>
      <c r="E637" s="210" t="s">
        <v>1803</v>
      </c>
      <c r="F637" s="102" t="str">
        <f t="shared" si="27"/>
        <v>R-SH</v>
      </c>
    </row>
    <row r="638" spans="2:7" ht="51">
      <c r="B638" s="206" t="s">
        <v>1811</v>
      </c>
      <c r="C638" s="207" t="s">
        <v>1812</v>
      </c>
      <c r="D638" s="207" t="s">
        <v>49</v>
      </c>
      <c r="E638" s="210" t="s">
        <v>1814</v>
      </c>
      <c r="F638" s="102" t="str">
        <f t="shared" si="27"/>
        <v>NL</v>
      </c>
      <c r="G638" s="208" t="s">
        <v>1813</v>
      </c>
    </row>
    <row r="639" spans="2:7" ht="17">
      <c r="B639" s="206" t="s">
        <v>1829</v>
      </c>
      <c r="C639" s="207" t="s">
        <v>1830</v>
      </c>
      <c r="D639" s="207" t="s">
        <v>216</v>
      </c>
      <c r="F639" s="102" t="str">
        <f t="shared" si="27"/>
        <v>RY</v>
      </c>
    </row>
    <row r="640" spans="2:7" ht="17">
      <c r="B640" s="206" t="s">
        <v>1845</v>
      </c>
      <c r="C640" s="207" t="s">
        <v>250</v>
      </c>
      <c r="D640" s="207" t="s">
        <v>216</v>
      </c>
      <c r="F640" s="102" t="str">
        <f t="shared" si="27"/>
        <v>MB</v>
      </c>
    </row>
    <row r="641" spans="2:7" ht="17">
      <c r="B641" s="206" t="s">
        <v>1847</v>
      </c>
      <c r="C641" s="207" t="s">
        <v>216</v>
      </c>
      <c r="D641" s="207" t="s">
        <v>216</v>
      </c>
      <c r="E641" s="210" t="s">
        <v>1848</v>
      </c>
      <c r="F641" s="102" t="str">
        <f t="shared" si="27"/>
        <v>PJ</v>
      </c>
    </row>
    <row r="642" spans="2:7" ht="17">
      <c r="B642" s="206" t="s">
        <v>1849</v>
      </c>
      <c r="C642" s="207" t="s">
        <v>1257</v>
      </c>
      <c r="D642" s="207" t="s">
        <v>1257</v>
      </c>
      <c r="E642" s="210" t="s">
        <v>1850</v>
      </c>
      <c r="F642" s="102" t="str">
        <f t="shared" si="27"/>
        <v>IKK</v>
      </c>
    </row>
    <row r="643" spans="2:7" ht="17">
      <c r="B643" s="206" t="s">
        <v>1854</v>
      </c>
      <c r="C643" s="207" t="s">
        <v>392</v>
      </c>
      <c r="D643" s="207" t="s">
        <v>216</v>
      </c>
      <c r="E643" s="210" t="s">
        <v>1853</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9"/>
        <v>SRB</v>
      </c>
      <c r="G644" s="208" t="s">
        <v>1857</v>
      </c>
    </row>
    <row r="645" spans="2:7" ht="17">
      <c r="B645" s="206" t="s">
        <v>1858</v>
      </c>
      <c r="C645" s="207" t="s">
        <v>1859</v>
      </c>
      <c r="D645" s="207" t="s">
        <v>1859</v>
      </c>
      <c r="E645" s="210" t="s">
        <v>1860</v>
      </c>
      <c r="F645" s="102" t="str">
        <f t="shared" si="29"/>
        <v>LMZ</v>
      </c>
    </row>
    <row r="646" spans="2:7" ht="17">
      <c r="B646" s="206" t="s">
        <v>1862</v>
      </c>
      <c r="C646" s="207" t="s">
        <v>216</v>
      </c>
      <c r="D646" s="207" t="s">
        <v>216</v>
      </c>
      <c r="F646" s="102" t="str">
        <f t="shared" si="29"/>
        <v>KTH</v>
      </c>
    </row>
    <row r="647" spans="2:7" ht="17">
      <c r="B647" s="206" t="s">
        <v>1863</v>
      </c>
      <c r="C647" s="207" t="s">
        <v>466</v>
      </c>
      <c r="D647" s="207" t="s">
        <v>954</v>
      </c>
      <c r="F647" s="102" t="str">
        <f t="shared" si="29"/>
        <v>BS</v>
      </c>
    </row>
    <row r="648" spans="2:7" ht="17">
      <c r="B648" s="206" t="s">
        <v>1864</v>
      </c>
      <c r="C648" s="207" t="s">
        <v>274</v>
      </c>
      <c r="D648" s="207" t="s">
        <v>216</v>
      </c>
      <c r="E648" s="210" t="s">
        <v>1865</v>
      </c>
      <c r="F648" s="102" t="str">
        <f t="shared" si="29"/>
        <v>JA-J</v>
      </c>
    </row>
    <row r="649" spans="2:7" ht="17">
      <c r="B649" s="206" t="s">
        <v>1866</v>
      </c>
      <c r="C649" s="207" t="s">
        <v>1867</v>
      </c>
      <c r="D649" s="207" t="s">
        <v>216</v>
      </c>
      <c r="F649" s="102" t="str">
        <f t="shared" si="29"/>
        <v>ABG</v>
      </c>
      <c r="G649" s="208" t="s">
        <v>1184</v>
      </c>
    </row>
    <row r="650" spans="2:7" ht="17">
      <c r="B650" s="206" t="s">
        <v>1869</v>
      </c>
      <c r="C650" s="207" t="s">
        <v>216</v>
      </c>
      <c r="D650" s="207" t="s">
        <v>216</v>
      </c>
      <c r="E650" s="210" t="s">
        <v>1870</v>
      </c>
      <c r="F650" s="102" t="str">
        <f t="shared" si="29"/>
        <v>KICA</v>
      </c>
      <c r="G650" s="208" t="s">
        <v>1871</v>
      </c>
    </row>
    <row r="651" spans="2:7" ht="17">
      <c r="B651" s="206" t="s">
        <v>1872</v>
      </c>
      <c r="C651" s="207" t="s">
        <v>216</v>
      </c>
      <c r="D651" s="207" t="s">
        <v>216</v>
      </c>
      <c r="E651" s="210" t="s">
        <v>1873</v>
      </c>
      <c r="F651" s="102" t="str">
        <f t="shared" si="29"/>
        <v>KA</v>
      </c>
    </row>
    <row r="652" spans="2:7" ht="17">
      <c r="B652" s="206" t="s">
        <v>1874</v>
      </c>
      <c r="C652" s="207" t="s">
        <v>1875</v>
      </c>
      <c r="D652" s="207" t="s">
        <v>216</v>
      </c>
      <c r="F652" s="102" t="str">
        <f t="shared" si="29"/>
        <v>MA</v>
      </c>
    </row>
    <row r="653" spans="2:7" ht="17">
      <c r="B653" s="206" t="s">
        <v>1876</v>
      </c>
      <c r="C653" s="207" t="s">
        <v>117</v>
      </c>
      <c r="D653" s="207" t="s">
        <v>216</v>
      </c>
      <c r="E653" s="210" t="s">
        <v>1877</v>
      </c>
      <c r="F653" s="102" t="str">
        <f t="shared" si="29"/>
        <v>WD</v>
      </c>
    </row>
    <row r="654" spans="2:7" ht="17">
      <c r="B654" s="206" t="s">
        <v>1878</v>
      </c>
      <c r="C654" s="207" t="s">
        <v>1399</v>
      </c>
      <c r="D654" s="207" t="s">
        <v>216</v>
      </c>
      <c r="E654" s="210" t="s">
        <v>1879</v>
      </c>
      <c r="F654" s="102" t="str">
        <f t="shared" si="29"/>
        <v>PO</v>
      </c>
    </row>
    <row r="655" spans="2:7" ht="17">
      <c r="B655" s="206" t="s">
        <v>1880</v>
      </c>
      <c r="C655" s="207" t="s">
        <v>216</v>
      </c>
      <c r="D655" s="207" t="s">
        <v>216</v>
      </c>
      <c r="E655" s="207" t="s">
        <v>1881</v>
      </c>
      <c r="F655" s="102" t="str">
        <f t="shared" si="29"/>
        <v>D</v>
      </c>
    </row>
    <row r="656" spans="2:7" ht="17">
      <c r="B656" s="206" t="s">
        <v>1883</v>
      </c>
      <c r="C656" s="207" t="s">
        <v>216</v>
      </c>
      <c r="D656" s="207" t="s">
        <v>216</v>
      </c>
      <c r="E656" s="210" t="s">
        <v>1884</v>
      </c>
      <c r="F656" s="102" t="str">
        <f t="shared" si="29"/>
        <v>M</v>
      </c>
    </row>
    <row r="657" spans="2:8" ht="17">
      <c r="B657" s="206" t="s">
        <v>2440</v>
      </c>
      <c r="C657" s="207" t="s">
        <v>576</v>
      </c>
      <c r="D657" s="207" t="s">
        <v>1082</v>
      </c>
      <c r="E657" s="210" t="s">
        <v>1884</v>
      </c>
      <c r="F657" s="102" t="str">
        <f t="shared" si="29"/>
        <v>M-N</v>
      </c>
    </row>
    <row r="658" spans="2:8" ht="17">
      <c r="B658" s="206" t="s">
        <v>1903</v>
      </c>
      <c r="C658" s="207" t="s">
        <v>216</v>
      </c>
      <c r="D658" s="207" t="s">
        <v>216</v>
      </c>
      <c r="E658" s="210" t="s">
        <v>1904</v>
      </c>
      <c r="F658" s="102" t="str">
        <f t="shared" si="29"/>
        <v>I</v>
      </c>
      <c r="G658" s="208" t="s">
        <v>1905</v>
      </c>
    </row>
    <row r="659" spans="2:8" ht="17">
      <c r="B659" s="206" t="s">
        <v>1907</v>
      </c>
      <c r="C659" s="207" t="s">
        <v>1908</v>
      </c>
      <c r="D659" s="207" t="s">
        <v>35</v>
      </c>
      <c r="E659" s="220" t="s">
        <v>1909</v>
      </c>
      <c r="F659" s="102" t="str">
        <f t="shared" si="29"/>
        <v>GGC</v>
      </c>
      <c r="G659" s="208" t="s">
        <v>1906</v>
      </c>
    </row>
    <row r="660" spans="2:8" ht="17">
      <c r="B660" s="206" t="s">
        <v>1913</v>
      </c>
      <c r="C660" s="207" t="s">
        <v>57</v>
      </c>
      <c r="D660" s="207" t="s">
        <v>954</v>
      </c>
      <c r="F660" s="102" t="str">
        <f t="shared" si="29"/>
        <v>GM</v>
      </c>
    </row>
    <row r="661" spans="2:8" ht="17">
      <c r="B661" s="206" t="s">
        <v>1931</v>
      </c>
      <c r="C661" s="207" t="s">
        <v>216</v>
      </c>
      <c r="D661" s="207" t="s">
        <v>216</v>
      </c>
      <c r="E661" s="210" t="s">
        <v>1929</v>
      </c>
      <c r="F661" s="102" t="str">
        <f t="shared" si="29"/>
        <v>TO</v>
      </c>
      <c r="H661" s="219" t="s">
        <v>1930</v>
      </c>
    </row>
    <row r="662" spans="2:8" ht="17">
      <c r="B662" s="206" t="s">
        <v>1932</v>
      </c>
      <c r="C662" s="207" t="s">
        <v>438</v>
      </c>
      <c r="D662" s="207" t="s">
        <v>216</v>
      </c>
      <c r="E662" s="210" t="s">
        <v>2196</v>
      </c>
      <c r="F662" s="102" t="str">
        <f t="shared" si="29"/>
        <v>CS</v>
      </c>
    </row>
    <row r="663" spans="2:8" ht="17">
      <c r="B663" s="206" t="s">
        <v>1942</v>
      </c>
      <c r="C663" s="207" t="s">
        <v>1943</v>
      </c>
      <c r="D663" s="207" t="s">
        <v>216</v>
      </c>
      <c r="E663" s="210" t="s">
        <v>1944</v>
      </c>
      <c r="F663" s="102" t="str">
        <f t="shared" si="29"/>
        <v>JK</v>
      </c>
    </row>
    <row r="664" spans="2:8" ht="17">
      <c r="B664" s="206" t="s">
        <v>1946</v>
      </c>
      <c r="C664" s="207" t="s">
        <v>295</v>
      </c>
      <c r="D664" s="207" t="s">
        <v>295</v>
      </c>
      <c r="E664" s="210" t="s">
        <v>1947</v>
      </c>
      <c r="F664" s="102" t="str">
        <f t="shared" si="29"/>
        <v>A</v>
      </c>
    </row>
    <row r="665" spans="2:8" ht="17">
      <c r="B665" s="206" t="s">
        <v>2192</v>
      </c>
      <c r="C665" s="207" t="s">
        <v>2193</v>
      </c>
      <c r="D665" s="207" t="s">
        <v>216</v>
      </c>
      <c r="E665" s="210" t="s">
        <v>2194</v>
      </c>
      <c r="F665" s="102" t="str">
        <f t="shared" si="29"/>
        <v>PT</v>
      </c>
      <c r="H665" s="219" t="s">
        <v>2195</v>
      </c>
    </row>
    <row r="666" spans="2:8" ht="17">
      <c r="B666" s="206" t="s">
        <v>2322</v>
      </c>
      <c r="C666" s="207" t="s">
        <v>274</v>
      </c>
      <c r="D666" s="207" t="s">
        <v>216</v>
      </c>
      <c r="E666" s="210" t="s">
        <v>2323</v>
      </c>
      <c r="F666" s="102" t="str">
        <f t="shared" si="29"/>
        <v>EA</v>
      </c>
      <c r="H666" s="219" t="s">
        <v>2324</v>
      </c>
    </row>
    <row r="667" spans="2:8" ht="34">
      <c r="B667" s="206" t="s">
        <v>2325</v>
      </c>
      <c r="C667" s="207" t="s">
        <v>2326</v>
      </c>
      <c r="D667" s="207" t="s">
        <v>216</v>
      </c>
      <c r="E667" s="210" t="s">
        <v>2327</v>
      </c>
      <c r="F667" s="102" t="str">
        <f t="shared" si="29"/>
        <v>T</v>
      </c>
    </row>
    <row r="668" spans="2:8" ht="17">
      <c r="B668" s="206" t="s">
        <v>2328</v>
      </c>
      <c r="C668" s="207" t="s">
        <v>1536</v>
      </c>
      <c r="D668" s="207" t="s">
        <v>216</v>
      </c>
      <c r="E668" s="210" t="s">
        <v>1727</v>
      </c>
      <c r="F668" s="102" t="str">
        <f t="shared" si="29"/>
        <v>SICC</v>
      </c>
    </row>
    <row r="669" spans="2:8" ht="17">
      <c r="B669" s="206" t="s">
        <v>2329</v>
      </c>
      <c r="C669" s="207" t="s">
        <v>1536</v>
      </c>
      <c r="D669" s="207" t="s">
        <v>216</v>
      </c>
      <c r="E669" s="210" t="s">
        <v>1727</v>
      </c>
      <c r="F669" s="102" t="str">
        <f t="shared" si="29"/>
        <v>SICC</v>
      </c>
    </row>
    <row r="670" spans="2:8" ht="17">
      <c r="B670" s="206" t="s">
        <v>2331</v>
      </c>
      <c r="C670" s="207" t="s">
        <v>216</v>
      </c>
      <c r="D670" s="207" t="s">
        <v>216</v>
      </c>
      <c r="E670" s="210" t="s">
        <v>2332</v>
      </c>
      <c r="F670" s="102" t="str">
        <f t="shared" si="29"/>
        <v>B</v>
      </c>
    </row>
    <row r="671" spans="2:8" ht="17">
      <c r="B671" s="206" t="s">
        <v>2333</v>
      </c>
      <c r="C671" s="207" t="s">
        <v>801</v>
      </c>
      <c r="D671" s="207" t="s">
        <v>954</v>
      </c>
      <c r="F671" s="102" t="str">
        <f t="shared" si="29"/>
        <v>AK-A</v>
      </c>
    </row>
    <row r="672" spans="2:8" ht="17">
      <c r="B672" s="206" t="s">
        <v>2334</v>
      </c>
      <c r="C672" s="207" t="s">
        <v>612</v>
      </c>
      <c r="D672" s="207" t="s">
        <v>216</v>
      </c>
      <c r="E672" s="210" t="s">
        <v>2335</v>
      </c>
      <c r="F672" s="102" t="str">
        <f t="shared" si="29"/>
        <v>CA</v>
      </c>
    </row>
    <row r="673" spans="2:8" ht="17">
      <c r="B673" s="206" t="s">
        <v>2336</v>
      </c>
      <c r="C673" s="207" t="s">
        <v>2337</v>
      </c>
      <c r="D673" s="207" t="s">
        <v>955</v>
      </c>
      <c r="E673" s="210" t="s">
        <v>2338</v>
      </c>
      <c r="F673" s="102" t="str">
        <f t="shared" si="29"/>
        <v>MB</v>
      </c>
      <c r="H673" s="219" t="s">
        <v>2339</v>
      </c>
    </row>
    <row r="674" spans="2:8" ht="17">
      <c r="B674" s="206" t="s">
        <v>2356</v>
      </c>
      <c r="C674" s="207" t="s">
        <v>216</v>
      </c>
      <c r="D674" s="207" t="s">
        <v>216</v>
      </c>
      <c r="F674" s="102" t="str">
        <f t="shared" si="29"/>
        <v>AG</v>
      </c>
    </row>
    <row r="675" spans="2:8" ht="17">
      <c r="B675" s="206" t="s">
        <v>2357</v>
      </c>
      <c r="C675" s="207" t="s">
        <v>2358</v>
      </c>
      <c r="D675" s="207" t="s">
        <v>954</v>
      </c>
      <c r="E675" s="210" t="s">
        <v>2359</v>
      </c>
      <c r="F675" s="102" t="str">
        <f t="shared" si="29"/>
        <v>M</v>
      </c>
    </row>
    <row r="676" spans="2:8" ht="17">
      <c r="B676" s="206" t="s">
        <v>2360</v>
      </c>
      <c r="C676" s="207" t="s">
        <v>995</v>
      </c>
      <c r="D676" s="207" t="s">
        <v>955</v>
      </c>
      <c r="E676" s="210" t="s">
        <v>2361</v>
      </c>
      <c r="F676" s="102" t="str">
        <f t="shared" si="29"/>
        <v>EA</v>
      </c>
    </row>
    <row r="677" spans="2:8" ht="17">
      <c r="B677" s="206" t="s">
        <v>2362</v>
      </c>
      <c r="C677" s="207" t="s">
        <v>2363</v>
      </c>
      <c r="D677" s="207" t="s">
        <v>954</v>
      </c>
      <c r="E677" s="210" t="s">
        <v>2364</v>
      </c>
      <c r="F677" s="102" t="str">
        <f t="shared" si="29"/>
        <v>AB</v>
      </c>
    </row>
    <row r="678" spans="2:8" ht="51">
      <c r="B678" s="206" t="s">
        <v>2365</v>
      </c>
      <c r="C678" s="207" t="s">
        <v>2367</v>
      </c>
      <c r="D678" s="207" t="s">
        <v>216</v>
      </c>
      <c r="E678" s="210" t="s">
        <v>2366</v>
      </c>
      <c r="F678" s="102" t="str">
        <f t="shared" si="29"/>
        <v>EGAO</v>
      </c>
    </row>
    <row r="679" spans="2:8" ht="17">
      <c r="B679" s="206" t="s">
        <v>2368</v>
      </c>
      <c r="C679" s="207" t="s">
        <v>216</v>
      </c>
      <c r="D679" s="207" t="s">
        <v>216</v>
      </c>
      <c r="E679" s="210" t="s">
        <v>2369</v>
      </c>
      <c r="F679" s="102" t="str">
        <f t="shared" si="29"/>
        <v>J</v>
      </c>
    </row>
    <row r="680" spans="2:8" ht="34">
      <c r="B680" s="206" t="s">
        <v>2370</v>
      </c>
      <c r="C680" s="207" t="s">
        <v>2371</v>
      </c>
      <c r="D680" s="207" t="s">
        <v>216</v>
      </c>
      <c r="E680" s="210" t="s">
        <v>2372</v>
      </c>
      <c r="F680" s="102" t="str">
        <f t="shared" si="29"/>
        <v>DBA</v>
      </c>
    </row>
    <row r="681" spans="2:8" ht="17">
      <c r="B681" s="206" t="s">
        <v>2373</v>
      </c>
      <c r="C681" s="207" t="s">
        <v>216</v>
      </c>
      <c r="D681" s="207" t="s">
        <v>216</v>
      </c>
      <c r="F681" s="102" t="str">
        <f t="shared" si="29"/>
        <v>RB</v>
      </c>
    </row>
    <row r="682" spans="2:8" ht="17">
      <c r="B682" s="206" t="s">
        <v>2374</v>
      </c>
      <c r="C682" s="207" t="s">
        <v>216</v>
      </c>
      <c r="D682" s="207" t="s">
        <v>216</v>
      </c>
      <c r="E682" s="210" t="s">
        <v>2375</v>
      </c>
      <c r="F682" s="102" t="str">
        <f t="shared" si="29"/>
        <v>TO</v>
      </c>
    </row>
    <row r="683" spans="2:8" ht="17">
      <c r="B683" s="206" t="s">
        <v>2377</v>
      </c>
      <c r="C683" s="207" t="s">
        <v>2378</v>
      </c>
      <c r="D683" s="207" t="s">
        <v>51</v>
      </c>
      <c r="E683" s="210" t="s">
        <v>2379</v>
      </c>
      <c r="F683" s="102" t="str">
        <f t="shared" si="29"/>
        <v>PV</v>
      </c>
      <c r="G683" s="208" t="s">
        <v>2376</v>
      </c>
    </row>
    <row r="684" spans="2:8" ht="17">
      <c r="B684" s="206" t="s">
        <v>2380</v>
      </c>
      <c r="C684" s="207" t="s">
        <v>216</v>
      </c>
      <c r="D684" s="207" t="s">
        <v>216</v>
      </c>
      <c r="F684" s="102" t="str">
        <f t="shared" si="29"/>
        <v>T</v>
      </c>
    </row>
    <row r="685" spans="2:8" ht="17">
      <c r="B685" s="206" t="s">
        <v>2381</v>
      </c>
      <c r="C685" s="207" t="s">
        <v>49</v>
      </c>
      <c r="D685" s="207" t="s">
        <v>49</v>
      </c>
      <c r="F685" s="102" t="str">
        <f t="shared" si="29"/>
        <v>CB</v>
      </c>
    </row>
    <row r="686" spans="2:8" ht="17">
      <c r="B686" s="206" t="s">
        <v>2388</v>
      </c>
      <c r="C686" s="207" t="s">
        <v>216</v>
      </c>
      <c r="D686" s="207" t="s">
        <v>216</v>
      </c>
      <c r="E686" s="210" t="s">
        <v>2389</v>
      </c>
      <c r="F686" s="102" t="str">
        <f t="shared" si="29"/>
        <v>K</v>
      </c>
    </row>
    <row r="687" spans="2:8" ht="17">
      <c r="B687" s="206" t="s">
        <v>2390</v>
      </c>
      <c r="C687" s="207" t="s">
        <v>216</v>
      </c>
      <c r="D687" s="207" t="s">
        <v>216</v>
      </c>
      <c r="F687" s="102" t="str">
        <f t="shared" si="29"/>
        <v>AT</v>
      </c>
    </row>
    <row r="688" spans="2:8" ht="51">
      <c r="B688" s="206" t="s">
        <v>2391</v>
      </c>
      <c r="C688" s="207" t="s">
        <v>2392</v>
      </c>
      <c r="D688" s="207" t="s">
        <v>216</v>
      </c>
      <c r="E688" s="210" t="s">
        <v>680</v>
      </c>
      <c r="F688" s="102" t="str">
        <f t="shared" si="29"/>
        <v>KAGL</v>
      </c>
    </row>
    <row r="689" spans="2:6" ht="17">
      <c r="B689" s="206" t="s">
        <v>2393</v>
      </c>
      <c r="C689" s="207" t="s">
        <v>35</v>
      </c>
      <c r="D689" s="207" t="s">
        <v>216</v>
      </c>
      <c r="F689" s="102" t="str">
        <f t="shared" si="29"/>
        <v>ES</v>
      </c>
    </row>
    <row r="690" spans="2:6" ht="17">
      <c r="B690" s="206" t="s">
        <v>2394</v>
      </c>
      <c r="C690" s="207" t="s">
        <v>216</v>
      </c>
      <c r="D690" s="207" t="s">
        <v>216</v>
      </c>
      <c r="E690" s="210" t="s">
        <v>2395</v>
      </c>
      <c r="F690" s="102" t="str">
        <f t="shared" si="29"/>
        <v>KA</v>
      </c>
    </row>
    <row r="691" spans="2:6" ht="17">
      <c r="B691" s="206" t="s">
        <v>2396</v>
      </c>
      <c r="C691" s="207" t="s">
        <v>216</v>
      </c>
      <c r="D691" s="207" t="s">
        <v>216</v>
      </c>
      <c r="E691" s="210" t="s">
        <v>2397</v>
      </c>
      <c r="F691" s="102" t="str">
        <f t="shared" si="29"/>
        <v>IIKB</v>
      </c>
    </row>
    <row r="692" spans="2:6" ht="17">
      <c r="B692" s="206" t="s">
        <v>2398</v>
      </c>
      <c r="C692" s="207" t="s">
        <v>80</v>
      </c>
      <c r="D692" s="207" t="s">
        <v>216</v>
      </c>
      <c r="E692" s="210" t="s">
        <v>2399</v>
      </c>
      <c r="F692" s="102" t="str">
        <f t="shared" si="29"/>
        <v>PA</v>
      </c>
    </row>
    <row r="693" spans="2:6" ht="17">
      <c r="B693" s="206" t="s">
        <v>2400</v>
      </c>
      <c r="C693" s="207" t="s">
        <v>352</v>
      </c>
      <c r="D693" s="207" t="s">
        <v>216</v>
      </c>
      <c r="E693" s="210" t="s">
        <v>2401</v>
      </c>
      <c r="F693" s="102" t="str">
        <f t="shared" si="29"/>
        <v>ME</v>
      </c>
    </row>
    <row r="694" spans="2:6" ht="17">
      <c r="B694" s="206" t="s">
        <v>2402</v>
      </c>
      <c r="C694" s="207" t="s">
        <v>271</v>
      </c>
      <c r="D694" s="207" t="s">
        <v>216</v>
      </c>
      <c r="E694" s="210" t="s">
        <v>2403</v>
      </c>
      <c r="F694" s="102" t="str">
        <f t="shared" si="29"/>
        <v>KSA</v>
      </c>
    </row>
    <row r="695" spans="2:6" ht="17">
      <c r="B695" s="206" t="s">
        <v>2409</v>
      </c>
      <c r="C695" s="207" t="s">
        <v>38</v>
      </c>
      <c r="D695" s="207" t="s">
        <v>216</v>
      </c>
      <c r="E695" s="210" t="s">
        <v>2410</v>
      </c>
      <c r="F695" s="102" t="str">
        <f t="shared" si="29"/>
        <v>AAY</v>
      </c>
    </row>
    <row r="696" spans="2:6" ht="17">
      <c r="B696" s="206" t="s">
        <v>2411</v>
      </c>
      <c r="C696" s="207" t="s">
        <v>69</v>
      </c>
      <c r="D696" s="207" t="s">
        <v>216</v>
      </c>
      <c r="E696" s="207" t="s">
        <v>2412</v>
      </c>
      <c r="F696" s="102" t="str">
        <f t="shared" si="29"/>
        <v>E-K</v>
      </c>
    </row>
    <row r="697" spans="2:6" ht="17">
      <c r="B697" s="206" t="s">
        <v>1553</v>
      </c>
      <c r="C697" s="207" t="s">
        <v>46</v>
      </c>
      <c r="D697" s="207" t="s">
        <v>216</v>
      </c>
      <c r="F697" s="102" t="str">
        <f t="shared" si="29"/>
        <v>I</v>
      </c>
    </row>
    <row r="698" spans="2:6" ht="17">
      <c r="B698" s="206" t="s">
        <v>2413</v>
      </c>
      <c r="C698" s="207" t="s">
        <v>29</v>
      </c>
      <c r="D698" s="207" t="s">
        <v>216</v>
      </c>
      <c r="E698" s="210" t="s">
        <v>2414</v>
      </c>
      <c r="F698" s="102" t="str">
        <f t="shared" si="29"/>
        <v>EBY</v>
      </c>
    </row>
    <row r="699" spans="2:6" ht="17">
      <c r="B699" s="206" t="s">
        <v>2415</v>
      </c>
      <c r="C699" s="207" t="s">
        <v>216</v>
      </c>
      <c r="D699" s="207" t="s">
        <v>216</v>
      </c>
      <c r="E699" s="207" t="s">
        <v>2416</v>
      </c>
      <c r="F699" s="102" t="str">
        <f t="shared" si="29"/>
        <v>EP</v>
      </c>
    </row>
    <row r="700" spans="2:6" ht="17">
      <c r="B700" s="206" t="s">
        <v>2417</v>
      </c>
      <c r="C700" s="207" t="s">
        <v>29</v>
      </c>
      <c r="D700" s="207" t="s">
        <v>216</v>
      </c>
      <c r="E700" s="210" t="s">
        <v>2418</v>
      </c>
      <c r="F700" s="102" t="str">
        <f t="shared" si="29"/>
        <v>K</v>
      </c>
    </row>
    <row r="701" spans="2:6" ht="17">
      <c r="B701" s="206" t="s">
        <v>2421</v>
      </c>
      <c r="C701" s="207" t="s">
        <v>216</v>
      </c>
      <c r="D701" s="207" t="s">
        <v>216</v>
      </c>
      <c r="E701" s="210" t="s">
        <v>2422</v>
      </c>
      <c r="F701" s="102" t="str">
        <f t="shared" si="29"/>
        <v>H</v>
      </c>
    </row>
    <row r="702" spans="2:6" ht="17">
      <c r="B702" s="206" t="s">
        <v>2423</v>
      </c>
      <c r="C702" s="207" t="s">
        <v>1081</v>
      </c>
      <c r="D702" s="207" t="s">
        <v>1081</v>
      </c>
      <c r="E702" s="210" t="s">
        <v>2424</v>
      </c>
      <c r="F702" s="102" t="str">
        <f t="shared" si="29"/>
        <v>DJA</v>
      </c>
    </row>
    <row r="703" spans="2:6" ht="17">
      <c r="B703" s="206" t="s">
        <v>2425</v>
      </c>
      <c r="C703" s="207" t="s">
        <v>216</v>
      </c>
      <c r="D703" s="207" t="s">
        <v>216</v>
      </c>
      <c r="E703" s="210" t="s">
        <v>2426</v>
      </c>
      <c r="F703" s="102" t="str">
        <f t="shared" si="29"/>
        <v>PM</v>
      </c>
    </row>
    <row r="704" spans="2:6" ht="17">
      <c r="B704" s="206" t="s">
        <v>2428</v>
      </c>
      <c r="C704" s="207" t="s">
        <v>216</v>
      </c>
      <c r="D704" s="207" t="s">
        <v>216</v>
      </c>
      <c r="E704" s="210" t="s">
        <v>2427</v>
      </c>
      <c r="F704" s="102" t="str">
        <f t="shared" si="29"/>
        <v>T-V</v>
      </c>
    </row>
    <row r="705" spans="2:7" ht="17">
      <c r="B705" s="206" t="s">
        <v>1578</v>
      </c>
      <c r="C705" s="207" t="s">
        <v>216</v>
      </c>
      <c r="D705" s="207" t="s">
        <v>216</v>
      </c>
      <c r="E705" s="210" t="s">
        <v>1617</v>
      </c>
      <c r="F705" s="102" t="str">
        <f t="shared" si="29"/>
        <v>F</v>
      </c>
    </row>
    <row r="706" spans="2:7" ht="17">
      <c r="B706" s="206" t="s">
        <v>1361</v>
      </c>
      <c r="C706" s="207" t="s">
        <v>216</v>
      </c>
      <c r="D706" s="207" t="s">
        <v>216</v>
      </c>
      <c r="E706" s="210" t="s">
        <v>2430</v>
      </c>
      <c r="F706" s="102" t="str">
        <f t="shared" si="29"/>
        <v>JC</v>
      </c>
    </row>
    <row r="707" spans="2:7" ht="17">
      <c r="B707" s="206" t="s">
        <v>2431</v>
      </c>
      <c r="C707" s="207" t="s">
        <v>216</v>
      </c>
      <c r="D707" s="207" t="s">
        <v>216</v>
      </c>
      <c r="E707" s="210" t="s">
        <v>2432</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30"/>
        <v>SE/P</v>
      </c>
    </row>
    <row r="709" spans="2:7" ht="17">
      <c r="B709" s="206" t="s">
        <v>2434</v>
      </c>
      <c r="C709" s="207" t="s">
        <v>858</v>
      </c>
      <c r="D709" s="207" t="s">
        <v>858</v>
      </c>
      <c r="E709" s="210" t="s">
        <v>2435</v>
      </c>
      <c r="F709" s="102" t="str">
        <f t="shared" si="30"/>
        <v>S</v>
      </c>
    </row>
    <row r="710" spans="2:7" ht="17">
      <c r="B710" s="206" t="s">
        <v>2436</v>
      </c>
      <c r="C710" s="207" t="s">
        <v>389</v>
      </c>
      <c r="D710" s="207" t="s">
        <v>954</v>
      </c>
      <c r="F710" s="102" t="str">
        <f t="shared" si="30"/>
        <v>PRH</v>
      </c>
      <c r="G710" s="208" t="s">
        <v>2437</v>
      </c>
    </row>
    <row r="711" spans="2:7" ht="17">
      <c r="B711" s="206" t="s">
        <v>2439</v>
      </c>
      <c r="C711" s="207" t="s">
        <v>216</v>
      </c>
      <c r="D711" s="207" t="s">
        <v>216</v>
      </c>
      <c r="E711" s="210" t="s">
        <v>2438</v>
      </c>
      <c r="F711" s="102" t="str">
        <f t="shared" si="30"/>
        <v>E-</v>
      </c>
    </row>
    <row r="712" spans="2:7" ht="17">
      <c r="B712" s="206" t="s">
        <v>2441</v>
      </c>
      <c r="C712" s="207" t="s">
        <v>856</v>
      </c>
      <c r="D712" s="207" t="s">
        <v>856</v>
      </c>
      <c r="E712" s="210" t="s">
        <v>2442</v>
      </c>
      <c r="F712" s="102" t="str">
        <f t="shared" si="30"/>
        <v>MA</v>
      </c>
    </row>
    <row r="713" spans="2:7" ht="17">
      <c r="B713" s="206" t="s">
        <v>2443</v>
      </c>
      <c r="C713" s="207" t="s">
        <v>93</v>
      </c>
      <c r="D713" s="207" t="s">
        <v>216</v>
      </c>
      <c r="E713" s="210" t="s">
        <v>2444</v>
      </c>
      <c r="F713" s="102" t="str">
        <f t="shared" si="30"/>
        <v>K</v>
      </c>
    </row>
    <row r="714" spans="2:7" ht="17">
      <c r="B714" s="206" t="s">
        <v>2445</v>
      </c>
      <c r="C714" s="207" t="s">
        <v>216</v>
      </c>
      <c r="D714" s="207" t="s">
        <v>216</v>
      </c>
      <c r="E714" s="210" t="s">
        <v>2446</v>
      </c>
      <c r="F714" s="102" t="str">
        <f t="shared" si="30"/>
        <v>MJ</v>
      </c>
    </row>
    <row r="715" spans="2:7" ht="17">
      <c r="B715" s="206" t="s">
        <v>2447</v>
      </c>
      <c r="C715" s="207" t="s">
        <v>32</v>
      </c>
      <c r="D715" s="207" t="s">
        <v>216</v>
      </c>
      <c r="E715" s="210" t="s">
        <v>2448</v>
      </c>
      <c r="F715" s="102" t="str">
        <f t="shared" si="30"/>
        <v>AY</v>
      </c>
    </row>
    <row r="716" spans="2:7" ht="17">
      <c r="B716" s="206" t="s">
        <v>2449</v>
      </c>
      <c r="C716" s="207" t="s">
        <v>409</v>
      </c>
      <c r="D716" s="207" t="s">
        <v>216</v>
      </c>
      <c r="E716" s="210" t="s">
        <v>2450</v>
      </c>
      <c r="F716" s="102" t="str">
        <f t="shared" si="30"/>
        <v>MF</v>
      </c>
    </row>
    <row r="717" spans="2:7" ht="17">
      <c r="B717" s="206" t="s">
        <v>2451</v>
      </c>
      <c r="C717" s="207" t="s">
        <v>2454</v>
      </c>
      <c r="D717" s="207" t="s">
        <v>216</v>
      </c>
      <c r="E717" s="210" t="s">
        <v>2453</v>
      </c>
      <c r="F717" s="102" t="str">
        <f t="shared" si="30"/>
        <v>SMMC</v>
      </c>
      <c r="G717" s="208" t="s">
        <v>2452</v>
      </c>
    </row>
    <row r="718" spans="2:7" ht="17">
      <c r="B718" s="206" t="s">
        <v>2456</v>
      </c>
      <c r="C718" s="207" t="s">
        <v>305</v>
      </c>
      <c r="D718" s="207" t="s">
        <v>955</v>
      </c>
      <c r="E718" s="210" t="s">
        <v>2455</v>
      </c>
      <c r="F718" s="102" t="str">
        <f t="shared" si="30"/>
        <v>PAB</v>
      </c>
    </row>
    <row r="719" spans="2:7" ht="34">
      <c r="B719" s="206" t="s">
        <v>2457</v>
      </c>
      <c r="C719" s="207" t="s">
        <v>628</v>
      </c>
      <c r="D719" s="207" t="s">
        <v>216</v>
      </c>
      <c r="E719" s="210" t="s">
        <v>2458</v>
      </c>
      <c r="F719" s="102" t="str">
        <f t="shared" si="30"/>
        <v>C</v>
      </c>
    </row>
    <row r="720" spans="2:7" ht="17">
      <c r="B720" s="206" t="s">
        <v>2483</v>
      </c>
      <c r="C720" s="207" t="s">
        <v>216</v>
      </c>
      <c r="D720" s="207" t="s">
        <v>216</v>
      </c>
      <c r="F720" s="102" t="str">
        <f t="shared" si="30"/>
        <v>SA</v>
      </c>
    </row>
    <row r="721" spans="2:8" ht="34">
      <c r="B721" s="206" t="s">
        <v>2484</v>
      </c>
      <c r="C721" s="207" t="s">
        <v>2485</v>
      </c>
      <c r="D721" s="207" t="s">
        <v>216</v>
      </c>
      <c r="F721" s="102" t="str">
        <f t="shared" si="30"/>
        <v>MFA</v>
      </c>
    </row>
    <row r="722" spans="2:8" ht="17">
      <c r="B722" s="206" t="s">
        <v>2486</v>
      </c>
      <c r="C722" s="207" t="s">
        <v>29</v>
      </c>
      <c r="D722" s="207" t="s">
        <v>216</v>
      </c>
      <c r="F722" s="102" t="str">
        <f t="shared" si="30"/>
        <v>GNCU</v>
      </c>
    </row>
    <row r="723" spans="2:8" ht="17">
      <c r="B723" s="206" t="s">
        <v>2490</v>
      </c>
      <c r="C723" s="207" t="s">
        <v>93</v>
      </c>
      <c r="D723" s="207" t="s">
        <v>216</v>
      </c>
      <c r="E723" s="210" t="s">
        <v>2491</v>
      </c>
      <c r="F723" s="102" t="str">
        <f t="shared" si="30"/>
        <v>MG</v>
      </c>
    </row>
    <row r="724" spans="2:8" ht="17">
      <c r="B724" s="206" t="s">
        <v>2499</v>
      </c>
      <c r="C724" s="207" t="s">
        <v>628</v>
      </c>
      <c r="D724" s="207" t="s">
        <v>216</v>
      </c>
      <c r="E724" s="210" t="s">
        <v>2500</v>
      </c>
      <c r="F724" s="102" t="str">
        <f t="shared" si="30"/>
        <v>V</v>
      </c>
    </row>
    <row r="725" spans="2:8" ht="17">
      <c r="B725" s="206" t="s">
        <v>2514</v>
      </c>
      <c r="C725" s="207" t="s">
        <v>219</v>
      </c>
      <c r="D725" s="207" t="s">
        <v>216</v>
      </c>
      <c r="E725" s="210" t="s">
        <v>2513</v>
      </c>
      <c r="F725" s="102" t="str">
        <f t="shared" si="30"/>
        <v>SO</v>
      </c>
      <c r="G725" s="211"/>
      <c r="H725" s="211" t="s">
        <v>2512</v>
      </c>
    </row>
    <row r="726" spans="2:8" ht="17">
      <c r="B726" s="206" t="s">
        <v>2515</v>
      </c>
      <c r="C726" s="207" t="s">
        <v>216</v>
      </c>
      <c r="D726" s="207" t="s">
        <v>216</v>
      </c>
      <c r="E726" s="210" t="s">
        <v>2516</v>
      </c>
      <c r="F726" s="102" t="str">
        <f t="shared" si="30"/>
        <v>MS</v>
      </c>
    </row>
    <row r="727" spans="2:8" ht="17">
      <c r="B727" s="206" t="s">
        <v>2517</v>
      </c>
      <c r="C727" s="207" t="s">
        <v>216</v>
      </c>
      <c r="D727" s="207" t="s">
        <v>216</v>
      </c>
      <c r="E727" s="210" t="s">
        <v>2519</v>
      </c>
      <c r="F727" s="102" t="str">
        <f t="shared" si="30"/>
        <v>E</v>
      </c>
      <c r="G727" s="208" t="s">
        <v>2518</v>
      </c>
    </row>
    <row r="728" spans="2:8" ht="15">
      <c r="B728" s="221" t="s">
        <v>2520</v>
      </c>
      <c r="C728" s="222" t="s">
        <v>216</v>
      </c>
      <c r="D728" s="222" t="s">
        <v>216</v>
      </c>
      <c r="E728" s="223" t="s">
        <v>1503</v>
      </c>
      <c r="F728" s="102" t="str">
        <f t="shared" si="30"/>
        <v>JA</v>
      </c>
    </row>
    <row r="729" spans="2:8" ht="15">
      <c r="B729" s="221" t="s">
        <v>2521</v>
      </c>
      <c r="C729" s="222" t="s">
        <v>216</v>
      </c>
      <c r="D729" s="222" t="s">
        <v>216</v>
      </c>
      <c r="E729" s="223" t="s">
        <v>2522</v>
      </c>
      <c r="F729" s="102" t="str">
        <f t="shared" si="30"/>
        <v>MT</v>
      </c>
      <c r="H729" s="219" t="s">
        <v>2526</v>
      </c>
    </row>
    <row r="730" spans="2:8" ht="15">
      <c r="B730" s="221" t="s">
        <v>2523</v>
      </c>
      <c r="C730" s="222" t="s">
        <v>2524</v>
      </c>
      <c r="D730" s="222" t="s">
        <v>216</v>
      </c>
      <c r="E730" s="223" t="s">
        <v>2525</v>
      </c>
      <c r="F730" s="102" t="str">
        <f t="shared" si="30"/>
        <v>MFE</v>
      </c>
    </row>
    <row r="731" spans="2:8" ht="15">
      <c r="B731" s="221" t="s">
        <v>2527</v>
      </c>
      <c r="C731" s="222" t="s">
        <v>392</v>
      </c>
      <c r="D731" s="222" t="s">
        <v>216</v>
      </c>
      <c r="E731" s="223" t="s">
        <v>2528</v>
      </c>
      <c r="F731" s="102" t="str">
        <f t="shared" si="30"/>
        <v>F</v>
      </c>
    </row>
    <row r="732" spans="2:8" ht="15">
      <c r="B732" s="221" t="s">
        <v>2529</v>
      </c>
      <c r="C732" s="223" t="s">
        <v>216</v>
      </c>
      <c r="D732" s="222" t="s">
        <v>216</v>
      </c>
      <c r="E732" s="223" t="s">
        <v>2530</v>
      </c>
      <c r="F732" s="102" t="str">
        <f t="shared" si="30"/>
        <v>MK</v>
      </c>
    </row>
    <row r="733" spans="2:8" ht="15">
      <c r="B733" s="221" t="s">
        <v>2531</v>
      </c>
      <c r="C733" s="222" t="s">
        <v>313</v>
      </c>
      <c r="D733" s="222" t="s">
        <v>216</v>
      </c>
      <c r="E733" s="223" t="s">
        <v>2532</v>
      </c>
      <c r="F733" s="102" t="str">
        <f t="shared" si="30"/>
        <v>E</v>
      </c>
    </row>
    <row r="734" spans="2:8" ht="17">
      <c r="B734" s="206" t="s">
        <v>2533</v>
      </c>
      <c r="C734" s="207" t="s">
        <v>35</v>
      </c>
      <c r="D734" s="207" t="s">
        <v>216</v>
      </c>
      <c r="E734" s="210" t="s">
        <v>2534</v>
      </c>
      <c r="F734" s="102" t="str">
        <f t="shared" si="30"/>
        <v>TGL</v>
      </c>
      <c r="G734" s="208" t="s">
        <v>2535</v>
      </c>
    </row>
    <row r="735" spans="2:8" ht="17">
      <c r="B735" s="206" t="s">
        <v>2537</v>
      </c>
      <c r="C735" s="207" t="s">
        <v>170</v>
      </c>
      <c r="D735" s="207" t="s">
        <v>216</v>
      </c>
      <c r="E735" s="210" t="s">
        <v>2536</v>
      </c>
      <c r="F735" s="102" t="str">
        <f t="shared" si="30"/>
        <v>MC</v>
      </c>
    </row>
    <row r="736" spans="2:8" ht="17">
      <c r="B736" s="206" t="s">
        <v>2538</v>
      </c>
      <c r="C736" s="207" t="s">
        <v>29</v>
      </c>
      <c r="D736" s="207" t="s">
        <v>216</v>
      </c>
      <c r="F736" s="102" t="str">
        <f t="shared" si="30"/>
        <v>MAS/</v>
      </c>
    </row>
    <row r="737" spans="2:8" ht="17">
      <c r="B737" s="206" t="s">
        <v>2539</v>
      </c>
      <c r="C737" s="207" t="s">
        <v>117</v>
      </c>
      <c r="D737" s="207" t="s">
        <v>216</v>
      </c>
      <c r="E737" s="210" t="s">
        <v>2540</v>
      </c>
      <c r="F737" s="102" t="str">
        <f t="shared" si="30"/>
        <v>ML</v>
      </c>
    </row>
    <row r="738" spans="2:8" ht="17">
      <c r="B738" s="206" t="s">
        <v>2541</v>
      </c>
      <c r="C738" s="207" t="s">
        <v>182</v>
      </c>
      <c r="D738" s="207" t="s">
        <v>216</v>
      </c>
      <c r="E738" s="210" t="s">
        <v>2542</v>
      </c>
      <c r="F738" s="102" t="str">
        <f t="shared" si="30"/>
        <v>OA</v>
      </c>
    </row>
    <row r="739" spans="2:8" ht="17">
      <c r="B739" s="206" t="s">
        <v>2543</v>
      </c>
      <c r="C739" s="207" t="s">
        <v>392</v>
      </c>
      <c r="D739" s="207" t="s">
        <v>216</v>
      </c>
      <c r="E739" s="210" t="s">
        <v>2544</v>
      </c>
      <c r="F739" s="102" t="str">
        <f t="shared" si="30"/>
        <v>MB</v>
      </c>
    </row>
    <row r="740" spans="2:8" ht="17">
      <c r="B740" s="206" t="s">
        <v>1249</v>
      </c>
      <c r="C740" s="207" t="s">
        <v>588</v>
      </c>
      <c r="D740" s="207" t="s">
        <v>216</v>
      </c>
      <c r="E740" s="210" t="s">
        <v>2545</v>
      </c>
      <c r="F740" s="102" t="str">
        <f t="shared" si="30"/>
        <v>D</v>
      </c>
    </row>
    <row r="741" spans="2:8" ht="34">
      <c r="B741" s="206" t="s">
        <v>2546</v>
      </c>
      <c r="C741" s="207" t="s">
        <v>2547</v>
      </c>
      <c r="D741" s="207" t="s">
        <v>216</v>
      </c>
      <c r="E741" s="210" t="s">
        <v>2549</v>
      </c>
      <c r="F741" s="102" t="str">
        <f t="shared" si="30"/>
        <v>AA</v>
      </c>
      <c r="H741" s="219" t="s">
        <v>2548</v>
      </c>
    </row>
    <row r="742" spans="2:8" ht="17">
      <c r="B742" s="209" t="s">
        <v>2550</v>
      </c>
      <c r="C742" s="207" t="s">
        <v>2553</v>
      </c>
      <c r="D742" s="207" t="s">
        <v>216</v>
      </c>
      <c r="E742" s="210" t="s">
        <v>2551</v>
      </c>
      <c r="F742" s="102" t="str">
        <f t="shared" si="30"/>
        <v>HA</v>
      </c>
      <c r="H742" s="219" t="s">
        <v>2552</v>
      </c>
    </row>
    <row r="743" spans="2:8" ht="17">
      <c r="B743" s="206" t="s">
        <v>2554</v>
      </c>
      <c r="C743" s="207" t="s">
        <v>1579</v>
      </c>
      <c r="D743" s="207" t="s">
        <v>216</v>
      </c>
      <c r="E743" s="210" t="s">
        <v>2556</v>
      </c>
      <c r="F743" s="102" t="str">
        <f t="shared" si="30"/>
        <v>GA</v>
      </c>
      <c r="H743" s="219" t="s">
        <v>2555</v>
      </c>
    </row>
    <row r="744" spans="2:8" ht="17">
      <c r="B744" s="206" t="s">
        <v>2557</v>
      </c>
      <c r="C744" s="207" t="s">
        <v>2560</v>
      </c>
      <c r="D744" s="207" t="s">
        <v>216</v>
      </c>
      <c r="E744" s="210" t="s">
        <v>2558</v>
      </c>
      <c r="F744" s="102" t="str">
        <f t="shared" si="30"/>
        <v>SA</v>
      </c>
      <c r="H744" s="219" t="s">
        <v>2559</v>
      </c>
    </row>
    <row r="745" spans="2:8" ht="17">
      <c r="B745" s="206" t="s">
        <v>2561</v>
      </c>
      <c r="C745" s="207" t="s">
        <v>216</v>
      </c>
      <c r="D745" s="207" t="s">
        <v>216</v>
      </c>
      <c r="E745" s="210" t="s">
        <v>2562</v>
      </c>
      <c r="F745" s="102" t="str">
        <f t="shared" si="30"/>
        <v>HI</v>
      </c>
    </row>
    <row r="746" spans="2:8" ht="17">
      <c r="B746" s="206" t="s">
        <v>2563</v>
      </c>
      <c r="C746" s="207" t="s">
        <v>29</v>
      </c>
      <c r="D746" s="207" t="s">
        <v>216</v>
      </c>
      <c r="E746" s="210" t="s">
        <v>2564</v>
      </c>
      <c r="F746" s="102" t="str">
        <f t="shared" si="30"/>
        <v>WG</v>
      </c>
    </row>
    <row r="747" spans="2:8" ht="17">
      <c r="B747" s="206" t="s">
        <v>2565</v>
      </c>
      <c r="C747" s="207" t="s">
        <v>1579</v>
      </c>
      <c r="D747" s="207" t="s">
        <v>216</v>
      </c>
      <c r="E747" s="210" t="s">
        <v>2566</v>
      </c>
      <c r="F747" s="102" t="str">
        <f t="shared" si="30"/>
        <v>C</v>
      </c>
    </row>
    <row r="748" spans="2:8" ht="17">
      <c r="B748" s="206" t="s">
        <v>2567</v>
      </c>
      <c r="C748" s="207" t="s">
        <v>216</v>
      </c>
      <c r="D748" s="207" t="s">
        <v>216</v>
      </c>
      <c r="F748" s="102" t="str">
        <f t="shared" si="30"/>
        <v>EB</v>
      </c>
    </row>
    <row r="749" spans="2:8" ht="17">
      <c r="B749" s="206" t="s">
        <v>2568</v>
      </c>
      <c r="C749" s="207" t="s">
        <v>216</v>
      </c>
      <c r="D749" s="207" t="s">
        <v>216</v>
      </c>
      <c r="E749" s="210" t="s">
        <v>2569</v>
      </c>
      <c r="F749" s="102" t="str">
        <f t="shared" si="30"/>
        <v>DO</v>
      </c>
    </row>
    <row r="750" spans="2:8" ht="17">
      <c r="B750" s="206" t="s">
        <v>2570</v>
      </c>
      <c r="C750" s="207" t="s">
        <v>216</v>
      </c>
      <c r="D750" s="207" t="s">
        <v>216</v>
      </c>
      <c r="E750" s="210" t="s">
        <v>2571</v>
      </c>
      <c r="F750" s="102" t="str">
        <f t="shared" si="30"/>
        <v>MA</v>
      </c>
    </row>
    <row r="751" spans="2:8" ht="17">
      <c r="B751" s="206" t="s">
        <v>2572</v>
      </c>
      <c r="C751" s="207" t="s">
        <v>339</v>
      </c>
      <c r="D751" s="207" t="s">
        <v>216</v>
      </c>
      <c r="E751" s="210" t="s">
        <v>2573</v>
      </c>
      <c r="F751" s="102" t="str">
        <f t="shared" si="30"/>
        <v>MJ</v>
      </c>
    </row>
    <row r="752" spans="2:8" ht="17">
      <c r="B752" s="206" t="s">
        <v>2574</v>
      </c>
      <c r="C752" s="207" t="s">
        <v>51</v>
      </c>
      <c r="D752" s="207" t="s">
        <v>51</v>
      </c>
      <c r="F752" s="102" t="str">
        <f t="shared" si="30"/>
        <v>WPC</v>
      </c>
    </row>
    <row r="753" spans="2:8" ht="17">
      <c r="B753" s="206" t="s">
        <v>2575</v>
      </c>
      <c r="C753" s="207" t="s">
        <v>337</v>
      </c>
      <c r="D753" s="207" t="s">
        <v>216</v>
      </c>
      <c r="E753" s="210" t="s">
        <v>2576</v>
      </c>
      <c r="F753" s="102" t="str">
        <f t="shared" si="30"/>
        <v>MKF</v>
      </c>
    </row>
    <row r="754" spans="2:8" ht="17">
      <c r="B754" s="206" t="s">
        <v>2577</v>
      </c>
      <c r="C754" s="207" t="s">
        <v>389</v>
      </c>
      <c r="D754" s="207" t="s">
        <v>389</v>
      </c>
      <c r="F754" s="102" t="str">
        <f t="shared" si="30"/>
        <v>KZG-</v>
      </c>
    </row>
    <row r="755" spans="2:8" ht="17">
      <c r="B755" s="206" t="s">
        <v>2578</v>
      </c>
      <c r="C755" s="207" t="s">
        <v>2579</v>
      </c>
      <c r="D755" s="207" t="s">
        <v>216</v>
      </c>
      <c r="E755" s="210" t="s">
        <v>2580</v>
      </c>
      <c r="F755" s="102" t="str">
        <f t="shared" si="30"/>
        <v>RA</v>
      </c>
    </row>
    <row r="756" spans="2:8" ht="17">
      <c r="B756" s="206" t="s">
        <v>2581</v>
      </c>
      <c r="C756" s="207" t="s">
        <v>305</v>
      </c>
      <c r="D756" s="207" t="s">
        <v>305</v>
      </c>
      <c r="E756" s="210" t="s">
        <v>2582</v>
      </c>
      <c r="F756" s="102" t="str">
        <f t="shared" si="30"/>
        <v>MK</v>
      </c>
    </row>
    <row r="757" spans="2:8" ht="17">
      <c r="B757" s="206" t="s">
        <v>2591</v>
      </c>
      <c r="C757" s="207" t="s">
        <v>2589</v>
      </c>
      <c r="D757" s="207" t="s">
        <v>216</v>
      </c>
      <c r="E757" s="210" t="s">
        <v>2590</v>
      </c>
      <c r="F757" s="102" t="str">
        <f t="shared" si="30"/>
        <v>SD</v>
      </c>
      <c r="H757" s="219" t="s">
        <v>2592</v>
      </c>
    </row>
    <row r="758" spans="2:8" ht="17">
      <c r="B758" s="206" t="s">
        <v>2600</v>
      </c>
      <c r="C758" s="207" t="s">
        <v>69</v>
      </c>
      <c r="D758" s="207" t="s">
        <v>216</v>
      </c>
      <c r="F758" s="102" t="str">
        <f t="shared" si="30"/>
        <v>HAAA</v>
      </c>
    </row>
    <row r="759" spans="2:8" ht="17">
      <c r="B759" s="206" t="s">
        <v>2601</v>
      </c>
      <c r="C759" s="207" t="s">
        <v>69</v>
      </c>
      <c r="D759" s="207" t="s">
        <v>216</v>
      </c>
      <c r="F759" s="102" t="str">
        <f t="shared" si="30"/>
        <v>AA</v>
      </c>
    </row>
    <row r="760" spans="2:8" ht="17">
      <c r="B760" s="206" t="s">
        <v>2611</v>
      </c>
      <c r="C760" s="207" t="s">
        <v>2609</v>
      </c>
      <c r="D760" s="207" t="s">
        <v>216</v>
      </c>
      <c r="E760" s="210" t="s">
        <v>2610</v>
      </c>
      <c r="F760" s="102" t="str">
        <f t="shared" si="30"/>
        <v>AR</v>
      </c>
      <c r="H760" s="219" t="s">
        <v>2608</v>
      </c>
    </row>
    <row r="761" spans="2:8" ht="17">
      <c r="B761" s="206" t="s">
        <v>2612</v>
      </c>
      <c r="C761" s="207" t="s">
        <v>69</v>
      </c>
      <c r="D761" s="207" t="s">
        <v>216</v>
      </c>
      <c r="E761" s="210" t="s">
        <v>2613</v>
      </c>
      <c r="F761" s="102" t="str">
        <f t="shared" si="30"/>
        <v>SOS</v>
      </c>
      <c r="H761" s="219" t="s">
        <v>2614</v>
      </c>
    </row>
    <row r="762" spans="2:8" ht="17">
      <c r="B762" s="206" t="s">
        <v>2617</v>
      </c>
      <c r="C762" s="207" t="s">
        <v>1681</v>
      </c>
      <c r="D762" s="207" t="s">
        <v>216</v>
      </c>
      <c r="E762" s="210" t="s">
        <v>2618</v>
      </c>
      <c r="F762" s="102" t="str">
        <f t="shared" si="30"/>
        <v>MA</v>
      </c>
    </row>
    <row r="763" spans="2:8" ht="17">
      <c r="B763" s="206" t="s">
        <v>2620</v>
      </c>
      <c r="C763" s="207" t="s">
        <v>216</v>
      </c>
      <c r="D763" s="207" t="s">
        <v>216</v>
      </c>
      <c r="E763" s="210" t="s">
        <v>2621</v>
      </c>
      <c r="F763" s="102" t="str">
        <f t="shared" si="30"/>
        <v>MJ</v>
      </c>
    </row>
    <row r="764" spans="2:8" ht="17">
      <c r="B764" s="206" t="s">
        <v>2622</v>
      </c>
      <c r="C764" s="207" t="s">
        <v>216</v>
      </c>
      <c r="D764" s="207" t="s">
        <v>216</v>
      </c>
      <c r="E764" s="210" t="s">
        <v>2623</v>
      </c>
      <c r="F764" s="102" t="str">
        <f t="shared" si="30"/>
        <v>DEL</v>
      </c>
      <c r="G764" s="208" t="s">
        <v>2625</v>
      </c>
      <c r="H764" s="209" t="s">
        <v>2624</v>
      </c>
    </row>
    <row r="765" spans="2:8" ht="17">
      <c r="B765" s="206" t="s">
        <v>2627</v>
      </c>
      <c r="C765" s="207" t="s">
        <v>216</v>
      </c>
      <c r="D765" s="207" t="s">
        <v>216</v>
      </c>
      <c r="E765" s="210" t="s">
        <v>2628</v>
      </c>
      <c r="F765" s="102" t="str">
        <f t="shared" si="30"/>
        <v>PB</v>
      </c>
    </row>
    <row r="766" spans="2:8" ht="17">
      <c r="B766" s="206" t="s">
        <v>2629</v>
      </c>
      <c r="C766" s="207" t="s">
        <v>216</v>
      </c>
      <c r="D766" s="207" t="s">
        <v>216</v>
      </c>
      <c r="F766" s="102" t="str">
        <f t="shared" si="30"/>
        <v>FD</v>
      </c>
    </row>
    <row r="767" spans="2:8" ht="17">
      <c r="B767" s="206" t="s">
        <v>2630</v>
      </c>
      <c r="C767" s="207" t="s">
        <v>216</v>
      </c>
      <c r="D767" s="207" t="s">
        <v>216</v>
      </c>
      <c r="E767" s="210" t="s">
        <v>2631</v>
      </c>
      <c r="F767" s="102" t="str">
        <f t="shared" si="30"/>
        <v>J</v>
      </c>
    </row>
    <row r="768" spans="2:8" ht="17">
      <c r="B768" s="206" t="s">
        <v>1556</v>
      </c>
      <c r="C768" s="207" t="s">
        <v>216</v>
      </c>
      <c r="D768" s="207" t="s">
        <v>216</v>
      </c>
      <c r="F768" s="102" t="str">
        <f t="shared" si="30"/>
        <v>C</v>
      </c>
    </row>
    <row r="769" spans="2:7" ht="17">
      <c r="B769" s="206" t="s">
        <v>2632</v>
      </c>
      <c r="C769" s="207" t="s">
        <v>2633</v>
      </c>
      <c r="D769" s="207" t="s">
        <v>955</v>
      </c>
      <c r="E769" s="210" t="s">
        <v>2634</v>
      </c>
      <c r="F769" s="102" t="str">
        <f t="shared" si="30"/>
        <v>MBH</v>
      </c>
    </row>
    <row r="770" spans="2:7" ht="17">
      <c r="B770" s="206" t="s">
        <v>2635</v>
      </c>
      <c r="C770" s="207" t="s">
        <v>634</v>
      </c>
      <c r="D770" s="207" t="s">
        <v>958</v>
      </c>
      <c r="E770" s="210" t="s">
        <v>2636</v>
      </c>
      <c r="F770" s="102" t="str">
        <f t="shared" si="30"/>
        <v>SE</v>
      </c>
    </row>
    <row r="771" spans="2:7" ht="17">
      <c r="B771" s="206" t="s">
        <v>2637</v>
      </c>
      <c r="C771" s="207" t="s">
        <v>414</v>
      </c>
      <c r="D771" s="207" t="s">
        <v>216</v>
      </c>
      <c r="E771" s="210" t="s">
        <v>2638</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31"/>
        <v>E</v>
      </c>
    </row>
    <row r="773" spans="2:7" ht="17">
      <c r="B773" s="206" t="s">
        <v>2640</v>
      </c>
      <c r="C773" s="210" t="s">
        <v>216</v>
      </c>
      <c r="D773" s="207" t="s">
        <v>216</v>
      </c>
      <c r="E773" s="210" t="s">
        <v>2641</v>
      </c>
      <c r="F773" s="102" t="str">
        <f t="shared" si="31"/>
        <v>MY</v>
      </c>
    </row>
    <row r="774" spans="2:7" ht="17">
      <c r="B774" s="206" t="s">
        <v>2643</v>
      </c>
      <c r="C774" s="207" t="s">
        <v>216</v>
      </c>
      <c r="D774" s="207" t="s">
        <v>216</v>
      </c>
      <c r="F774" s="102" t="str">
        <f t="shared" si="31"/>
        <v>MEA</v>
      </c>
    </row>
    <row r="775" spans="2:7" ht="17">
      <c r="B775" s="206" t="s">
        <v>2644</v>
      </c>
      <c r="C775" s="207" t="s">
        <v>216</v>
      </c>
      <c r="D775" s="207" t="s">
        <v>216</v>
      </c>
      <c r="E775" s="210" t="s">
        <v>2645</v>
      </c>
      <c r="F775" s="102" t="str">
        <f t="shared" si="31"/>
        <v>F</v>
      </c>
    </row>
    <row r="776" spans="2:7" ht="17">
      <c r="B776" s="206" t="s">
        <v>2646</v>
      </c>
      <c r="C776" s="207" t="s">
        <v>216</v>
      </c>
      <c r="D776" s="207" t="s">
        <v>216</v>
      </c>
      <c r="E776" s="210" t="s">
        <v>2647</v>
      </c>
      <c r="F776" s="102" t="str">
        <f t="shared" si="31"/>
        <v>DY</v>
      </c>
    </row>
    <row r="777" spans="2:7" ht="34">
      <c r="B777" s="206" t="s">
        <v>2648</v>
      </c>
      <c r="C777" s="207" t="s">
        <v>216</v>
      </c>
      <c r="D777" s="207" t="s">
        <v>216</v>
      </c>
      <c r="E777" s="210" t="s">
        <v>2649</v>
      </c>
      <c r="F777" s="102" t="str">
        <f t="shared" si="31"/>
        <v>G</v>
      </c>
    </row>
    <row r="778" spans="2:7" ht="17">
      <c r="B778" s="206" t="s">
        <v>2650</v>
      </c>
      <c r="C778" s="207" t="s">
        <v>216</v>
      </c>
      <c r="D778" s="207" t="s">
        <v>216</v>
      </c>
      <c r="E778" s="210" t="s">
        <v>2651</v>
      </c>
      <c r="F778" s="102" t="str">
        <f t="shared" si="31"/>
        <v>N</v>
      </c>
    </row>
    <row r="779" spans="2:7" ht="17">
      <c r="B779" s="206" t="s">
        <v>2654</v>
      </c>
      <c r="C779" s="207" t="s">
        <v>414</v>
      </c>
      <c r="D779" s="207" t="s">
        <v>216</v>
      </c>
      <c r="F779" s="102" t="str">
        <f t="shared" si="31"/>
        <v>KIS-</v>
      </c>
    </row>
    <row r="780" spans="2:7" ht="34">
      <c r="B780" s="206" t="s">
        <v>2656</v>
      </c>
      <c r="C780" s="207" t="s">
        <v>216</v>
      </c>
      <c r="D780" s="207" t="s">
        <v>216</v>
      </c>
      <c r="E780" s="210" t="s">
        <v>2657</v>
      </c>
      <c r="F780" s="102" t="str">
        <f t="shared" si="31"/>
        <v>KOA</v>
      </c>
    </row>
    <row r="781" spans="2:7" ht="34">
      <c r="B781" s="206" t="s">
        <v>2659</v>
      </c>
      <c r="C781" s="207" t="s">
        <v>216</v>
      </c>
      <c r="D781" s="207" t="s">
        <v>216</v>
      </c>
      <c r="E781" s="210" t="s">
        <v>2660</v>
      </c>
      <c r="F781" s="102" t="str">
        <f t="shared" si="31"/>
        <v>CK</v>
      </c>
    </row>
    <row r="782" spans="2:7" ht="17">
      <c r="B782" s="206" t="s">
        <v>2661</v>
      </c>
      <c r="C782" s="207" t="s">
        <v>216</v>
      </c>
      <c r="D782" s="207" t="s">
        <v>216</v>
      </c>
      <c r="E782" s="210" t="s">
        <v>2662</v>
      </c>
      <c r="F782" s="102" t="str">
        <f t="shared" si="31"/>
        <v>KS</v>
      </c>
    </row>
    <row r="783" spans="2:7" ht="17">
      <c r="B783" s="206" t="s">
        <v>2667</v>
      </c>
      <c r="C783" s="207" t="s">
        <v>352</v>
      </c>
      <c r="D783" s="207" t="s">
        <v>216</v>
      </c>
      <c r="E783" s="210" t="s">
        <v>2668</v>
      </c>
      <c r="F783" s="102" t="str">
        <f t="shared" si="31"/>
        <v>DA</v>
      </c>
      <c r="G783" s="208" t="s">
        <v>2669</v>
      </c>
    </row>
    <row r="784" spans="2:7" ht="17">
      <c r="B784" s="206" t="s">
        <v>2675</v>
      </c>
      <c r="C784" s="207" t="s">
        <v>157</v>
      </c>
      <c r="D784" s="207" t="s">
        <v>216</v>
      </c>
      <c r="E784" s="210" t="s">
        <v>2676</v>
      </c>
      <c r="F784" s="102" t="str">
        <f t="shared" si="31"/>
        <v>PI</v>
      </c>
      <c r="G784" s="208" t="s">
        <v>2674</v>
      </c>
    </row>
    <row r="785" spans="2:8" ht="34">
      <c r="B785" s="206" t="s">
        <v>2677</v>
      </c>
      <c r="C785" s="207" t="s">
        <v>2678</v>
      </c>
      <c r="D785" s="207" t="s">
        <v>216</v>
      </c>
      <c r="E785" s="210" t="s">
        <v>2676</v>
      </c>
      <c r="F785" s="102" t="str">
        <f t="shared" si="31"/>
        <v>EGA</v>
      </c>
    </row>
    <row r="786" spans="2:8" ht="17">
      <c r="B786" s="206" t="s">
        <v>2679</v>
      </c>
      <c r="C786" s="207" t="s">
        <v>770</v>
      </c>
      <c r="D786" s="207" t="s">
        <v>216</v>
      </c>
      <c r="F786" s="102" t="str">
        <f t="shared" si="31"/>
        <v>F</v>
      </c>
    </row>
    <row r="787" spans="2:8" ht="17">
      <c r="B787" s="206" t="s">
        <v>2704</v>
      </c>
      <c r="C787" s="207" t="s">
        <v>216</v>
      </c>
      <c r="D787" s="207" t="s">
        <v>216</v>
      </c>
      <c r="E787" s="210" t="s">
        <v>2705</v>
      </c>
      <c r="F787" s="102" t="str">
        <f t="shared" si="31"/>
        <v>R</v>
      </c>
    </row>
    <row r="788" spans="2:8" ht="17">
      <c r="B788" s="206" t="s">
        <v>2706</v>
      </c>
      <c r="C788" s="207" t="s">
        <v>628</v>
      </c>
      <c r="D788" s="207" t="s">
        <v>216</v>
      </c>
      <c r="F788" s="102" t="str">
        <f t="shared" si="31"/>
        <v>MP</v>
      </c>
    </row>
    <row r="789" spans="2:8" ht="17">
      <c r="B789" s="206" t="s">
        <v>2707</v>
      </c>
      <c r="C789" s="207" t="s">
        <v>93</v>
      </c>
      <c r="D789" s="207" t="s">
        <v>216</v>
      </c>
      <c r="F789" s="102" t="str">
        <f t="shared" si="31"/>
        <v>MJ</v>
      </c>
    </row>
    <row r="790" spans="2:8" ht="17">
      <c r="B790" s="206" t="s">
        <v>2708</v>
      </c>
      <c r="C790" s="207" t="s">
        <v>2709</v>
      </c>
      <c r="D790" s="207" t="s">
        <v>216</v>
      </c>
      <c r="F790" s="102" t="str">
        <f t="shared" si="31"/>
        <v>MD</v>
      </c>
      <c r="G790" s="208" t="s">
        <v>2708</v>
      </c>
    </row>
    <row r="791" spans="2:8" ht="17">
      <c r="B791" s="206" t="s">
        <v>2710</v>
      </c>
      <c r="C791" s="207" t="s">
        <v>216</v>
      </c>
      <c r="D791" s="207" t="s">
        <v>216</v>
      </c>
      <c r="F791" s="102" t="str">
        <f t="shared" si="31"/>
        <v>MC</v>
      </c>
    </row>
    <row r="792" spans="2:8" ht="17">
      <c r="B792" s="206" t="s">
        <v>2768</v>
      </c>
      <c r="C792" s="207" t="s">
        <v>32</v>
      </c>
      <c r="D792" s="207" t="s">
        <v>216</v>
      </c>
      <c r="F792" s="102" t="str">
        <f t="shared" si="31"/>
        <v>MM</v>
      </c>
    </row>
    <row r="793" spans="2:8" ht="17">
      <c r="B793" s="206" t="s">
        <v>2769</v>
      </c>
      <c r="C793" s="207" t="s">
        <v>216</v>
      </c>
      <c r="D793" s="207" t="s">
        <v>216</v>
      </c>
      <c r="E793" s="210" t="s">
        <v>2771</v>
      </c>
      <c r="F793" s="102" t="str">
        <f t="shared" si="31"/>
        <v>AE</v>
      </c>
      <c r="G793" s="208" t="s">
        <v>2770</v>
      </c>
    </row>
    <row r="794" spans="2:8" ht="17">
      <c r="B794" s="206" t="s">
        <v>2777</v>
      </c>
      <c r="C794" s="207" t="s">
        <v>216</v>
      </c>
      <c r="D794" s="207" t="s">
        <v>216</v>
      </c>
      <c r="E794" s="210" t="s">
        <v>2778</v>
      </c>
      <c r="F794" s="102" t="str">
        <f t="shared" si="31"/>
        <v>ML</v>
      </c>
    </row>
    <row r="795" spans="2:8" ht="17">
      <c r="B795" s="206" t="s">
        <v>2781</v>
      </c>
      <c r="C795" s="207" t="s">
        <v>466</v>
      </c>
      <c r="D795" s="207" t="s">
        <v>954</v>
      </c>
      <c r="E795" s="210" t="s">
        <v>2782</v>
      </c>
      <c r="F795" s="102" t="str">
        <f t="shared" si="31"/>
        <v>JM</v>
      </c>
    </row>
    <row r="796" spans="2:8" ht="17">
      <c r="B796" s="206" t="s">
        <v>2783</v>
      </c>
      <c r="C796" s="207" t="s">
        <v>2784</v>
      </c>
      <c r="D796" s="207" t="s">
        <v>2785</v>
      </c>
      <c r="F796" s="102" t="str">
        <f t="shared" si="31"/>
        <v>SPGH</v>
      </c>
    </row>
    <row r="797" spans="2:8" ht="17">
      <c r="B797" s="206" t="s">
        <v>2786</v>
      </c>
      <c r="C797" s="207" t="s">
        <v>856</v>
      </c>
      <c r="D797" s="207" t="s">
        <v>856</v>
      </c>
      <c r="E797" s="210" t="s">
        <v>2787</v>
      </c>
      <c r="F797" s="102" t="str">
        <f t="shared" si="31"/>
        <v>E-ST</v>
      </c>
    </row>
    <row r="798" spans="2:8" ht="17">
      <c r="B798" s="206" t="s">
        <v>2788</v>
      </c>
      <c r="C798" s="207" t="s">
        <v>42</v>
      </c>
      <c r="D798" s="207" t="s">
        <v>1502</v>
      </c>
      <c r="E798" s="210" t="s">
        <v>2789</v>
      </c>
      <c r="F798" s="102" t="str">
        <f t="shared" si="31"/>
        <v>PS</v>
      </c>
    </row>
    <row r="799" spans="2:8" ht="17">
      <c r="B799" s="206" t="s">
        <v>2790</v>
      </c>
      <c r="C799" s="207" t="s">
        <v>216</v>
      </c>
      <c r="D799" s="207" t="s">
        <v>216</v>
      </c>
      <c r="E799" s="210" t="s">
        <v>2791</v>
      </c>
      <c r="F799" s="102" t="str">
        <f t="shared" si="31"/>
        <v>BE</v>
      </c>
      <c r="G799" s="208" t="s">
        <v>2792</v>
      </c>
      <c r="H799" s="219" t="s">
        <v>2793</v>
      </c>
    </row>
    <row r="800" spans="2:8" ht="34">
      <c r="B800" s="206" t="s">
        <v>2794</v>
      </c>
      <c r="C800" s="207" t="s">
        <v>2795</v>
      </c>
      <c r="D800" s="207" t="s">
        <v>35</v>
      </c>
      <c r="E800" s="210" t="s">
        <v>2796</v>
      </c>
      <c r="F800" s="102" t="str">
        <f t="shared" si="31"/>
        <v>PGL</v>
      </c>
      <c r="G800" s="208" t="s">
        <v>2797</v>
      </c>
    </row>
    <row r="801" spans="2:7" ht="17">
      <c r="B801" s="206" t="s">
        <v>2800</v>
      </c>
      <c r="C801" s="207" t="s">
        <v>742</v>
      </c>
      <c r="D801" s="207" t="s">
        <v>216</v>
      </c>
      <c r="E801" s="210" t="s">
        <v>2801</v>
      </c>
      <c r="F801" s="102" t="str">
        <f t="shared" si="31"/>
        <v>A</v>
      </c>
    </row>
    <row r="802" spans="2:7" ht="17">
      <c r="B802" s="206" t="s">
        <v>2802</v>
      </c>
      <c r="C802" s="207" t="s">
        <v>2803</v>
      </c>
      <c r="D802" s="207" t="s">
        <v>955</v>
      </c>
      <c r="E802" s="210" t="s">
        <v>2804</v>
      </c>
      <c r="F802" s="102" t="str">
        <f t="shared" si="31"/>
        <v>PEL</v>
      </c>
    </row>
    <row r="803" spans="2:7" ht="17">
      <c r="B803" s="206" t="s">
        <v>2805</v>
      </c>
      <c r="C803" s="207" t="s">
        <v>192</v>
      </c>
      <c r="D803" s="207" t="s">
        <v>216</v>
      </c>
      <c r="E803" s="210" t="s">
        <v>2806</v>
      </c>
      <c r="F803" s="102" t="str">
        <f t="shared" si="31"/>
        <v>S</v>
      </c>
    </row>
    <row r="804" spans="2:7" ht="17">
      <c r="B804" s="206" t="s">
        <v>2807</v>
      </c>
      <c r="C804" s="207" t="s">
        <v>216</v>
      </c>
      <c r="D804" s="207" t="s">
        <v>216</v>
      </c>
      <c r="E804" s="210" t="s">
        <v>2808</v>
      </c>
      <c r="F804" s="102" t="str">
        <f t="shared" si="31"/>
        <v>F-DB</v>
      </c>
    </row>
    <row r="805" spans="2:7" ht="17">
      <c r="B805" s="206" t="s">
        <v>2809</v>
      </c>
      <c r="C805" s="207" t="s">
        <v>856</v>
      </c>
      <c r="D805" s="207" t="s">
        <v>856</v>
      </c>
      <c r="F805" s="102" t="str">
        <f t="shared" si="31"/>
        <v>MB</v>
      </c>
    </row>
    <row r="806" spans="2:7" ht="17">
      <c r="B806" s="206" t="s">
        <v>2810</v>
      </c>
      <c r="C806" s="207" t="s">
        <v>805</v>
      </c>
      <c r="D806" s="207" t="s">
        <v>216</v>
      </c>
      <c r="E806" s="210" t="s">
        <v>2811</v>
      </c>
      <c r="F806" s="102" t="str">
        <f t="shared" si="31"/>
        <v>MN</v>
      </c>
    </row>
    <row r="807" spans="2:7" ht="17">
      <c r="B807" s="206" t="s">
        <v>2812</v>
      </c>
      <c r="C807" s="207" t="s">
        <v>342</v>
      </c>
      <c r="D807" s="207" t="s">
        <v>342</v>
      </c>
      <c r="E807" s="210" t="s">
        <v>1097</v>
      </c>
      <c r="F807" s="102" t="str">
        <f t="shared" si="31"/>
        <v>AB-T</v>
      </c>
    </row>
    <row r="808" spans="2:7" ht="17">
      <c r="B808" s="206" t="s">
        <v>2813</v>
      </c>
      <c r="C808" s="207" t="s">
        <v>29</v>
      </c>
      <c r="D808" s="207" t="s">
        <v>216</v>
      </c>
      <c r="E808" s="210" t="s">
        <v>2814</v>
      </c>
      <c r="F808" s="102" t="str">
        <f t="shared" si="31"/>
        <v>MR</v>
      </c>
    </row>
    <row r="809" spans="2:7" ht="17">
      <c r="B809" s="206" t="s">
        <v>2815</v>
      </c>
      <c r="C809" s="207" t="s">
        <v>2816</v>
      </c>
      <c r="D809" s="207" t="s">
        <v>51</v>
      </c>
      <c r="E809" s="210" t="s">
        <v>2817</v>
      </c>
      <c r="F809" s="102" t="str">
        <f t="shared" si="31"/>
        <v>AV</v>
      </c>
    </row>
    <row r="810" spans="2:7" ht="17">
      <c r="B810" s="206" t="s">
        <v>2818</v>
      </c>
      <c r="C810" s="207" t="s">
        <v>51</v>
      </c>
      <c r="D810" s="207" t="s">
        <v>51</v>
      </c>
      <c r="F810" s="102" t="str">
        <f t="shared" si="31"/>
        <v>PMC</v>
      </c>
      <c r="G810" s="208" t="s">
        <v>2819</v>
      </c>
    </row>
    <row r="811" spans="2:7" ht="17">
      <c r="B811" s="206" t="s">
        <v>2820</v>
      </c>
      <c r="C811" s="207" t="s">
        <v>216</v>
      </c>
      <c r="D811" s="207" t="s">
        <v>216</v>
      </c>
      <c r="E811" s="210" t="s">
        <v>2821</v>
      </c>
      <c r="F811" s="102" t="str">
        <f t="shared" si="31"/>
        <v>AA</v>
      </c>
    </row>
    <row r="812" spans="2:7" ht="34">
      <c r="B812" s="206" t="s">
        <v>2822</v>
      </c>
      <c r="C812" s="207" t="s">
        <v>2678</v>
      </c>
      <c r="D812" s="207" t="s">
        <v>216</v>
      </c>
      <c r="E812" s="210" t="s">
        <v>2823</v>
      </c>
      <c r="F812" s="102" t="str">
        <f t="shared" si="31"/>
        <v>JB</v>
      </c>
    </row>
    <row r="813" spans="2:7" ht="17">
      <c r="B813" s="206" t="s">
        <v>2824</v>
      </c>
      <c r="C813" s="207" t="s">
        <v>2825</v>
      </c>
      <c r="D813" s="207" t="s">
        <v>954</v>
      </c>
      <c r="E813" s="210" t="s">
        <v>2826</v>
      </c>
      <c r="F813" s="102" t="str">
        <f t="shared" si="31"/>
        <v>A</v>
      </c>
    </row>
    <row r="814" spans="2:7" ht="17">
      <c r="B814" s="206" t="s">
        <v>2827</v>
      </c>
      <c r="C814" s="207" t="s">
        <v>627</v>
      </c>
      <c r="D814" s="207" t="s">
        <v>216</v>
      </c>
      <c r="E814" s="210" t="s">
        <v>2828</v>
      </c>
      <c r="F814" s="102" t="str">
        <f t="shared" si="31"/>
        <v>DI</v>
      </c>
    </row>
    <row r="815" spans="2:7" ht="17">
      <c r="B815" s="206" t="s">
        <v>2830</v>
      </c>
      <c r="C815" s="207" t="s">
        <v>566</v>
      </c>
      <c r="D815" s="207" t="s">
        <v>216</v>
      </c>
      <c r="F815" s="102" t="str">
        <f t="shared" si="31"/>
        <v>R-A</v>
      </c>
    </row>
    <row r="816" spans="2:7" ht="17">
      <c r="B816" s="206" t="s">
        <v>2127</v>
      </c>
      <c r="C816" s="207" t="s">
        <v>216</v>
      </c>
      <c r="D816" s="207" t="s">
        <v>216</v>
      </c>
      <c r="F816" s="102" t="str">
        <f t="shared" si="31"/>
        <v>A</v>
      </c>
    </row>
    <row r="817" spans="2:6" ht="17">
      <c r="B817" s="206" t="s">
        <v>2831</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21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F32" sqref="F32"/>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45692.62136759259</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TSL-TR-040225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60kVA inverter, 100kWh Battery, 70.2kWp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6</v>
      </c>
      <c r="C18" s="279" t="str">
        <f t="array" aca="1" ref="C18" ca="1">IFERROR(INDEX(Items!O:O,SMALL(IF(Items!$O$6:$O$676&lt;&gt;"",ROW(Items!$O$6:$O$676)),Items!N6)),"gdhgf")</f>
        <v>Victron MultiPlus-II 48/10000/140-100 230V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31135.52</v>
      </c>
      <c r="K18" s="282">
        <f t="shared" ref="K18:K56" ca="1" si="0">IFERROR(SUM(B18*J18),"")</f>
        <v>186813.12</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3</v>
      </c>
      <c r="C19" s="279" t="str">
        <f t="array" aca="1" ref="C19" ca="1">IFERROR(INDEX(Items!O:O,SMALL(IF(Items!$O$6:$O$676&lt;&gt;"",ROW(Items!$O$6:$O$676)),Items!N7)),"")</f>
        <v>Fronius Symo Advanced 20.0-3-M 20kw light</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53852.236799999999</v>
      </c>
      <c r="K19" s="282">
        <f t="shared" ca="1" si="0"/>
        <v>161556.71039999998</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Fronius datamanager 2.0 Wlan GalSymPrim</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5265.6</v>
      </c>
      <c r="K20" s="282">
        <f t="shared" ca="1" si="0"/>
        <v>5265.6</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20</v>
      </c>
      <c r="C21" s="279" t="str">
        <f t="array" aca="1" ref="C21" ca="1">IFERROR(INDEX(Items!O:O,SMALL(IF(Items!$O$6:$O$676&lt;&gt;"",ROW(Items!$O$6:$O$676)),Items!N9)),"")</f>
        <v>BYD LV 5.0KWH Lithium Battery</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18200</v>
      </c>
      <c r="K21" s="282">
        <f t="shared" ca="1" si="0"/>
        <v>364000</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117</v>
      </c>
      <c r="C22" s="279" t="str">
        <f t="array" aca="1" ref="C22" ca="1">IFERROR(INDEX(Items!O:O,SMALL(IF(Items!$O$6:$O$676&lt;&gt;"",ROW(Items!$O$6:$O$676)),Items!N10)),"")</f>
        <v>JA Solar JAM66-S45 600 Watts Solar Panel</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1844.08</v>
      </c>
      <c r="K22" s="282">
        <f t="shared" ca="1" si="0"/>
        <v>215757.36</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9911.36</v>
      </c>
      <c r="K23" s="282">
        <f t="shared" ca="1" si="0"/>
        <v>9911.36</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4449.92</v>
      </c>
      <c r="K24" s="282">
        <f t="shared" ca="1" si="0"/>
        <v>4449.92</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3361.28</v>
      </c>
      <c r="K25" s="282">
        <f t="shared" ca="1" si="0"/>
        <v>3361.28</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245.44</v>
      </c>
      <c r="K26" s="282">
        <f t="shared" ca="1" si="0"/>
        <v>245.44</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Victron Lynx Distributor (M10)</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3583.04</v>
      </c>
      <c r="K27" s="282">
        <f t="shared" ca="1" si="0"/>
        <v>3583.04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3/1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2022.72</v>
      </c>
      <c r="K28" s="282">
        <f t="shared" ca="1" si="0"/>
        <v>2022.72</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v>
      </c>
      <c r="C29" s="279" t="str">
        <f t="array" aca="1" ref="C29" ca="1">IFERROR(INDEX(Items!O:O,SMALL(IF(Items!$O$6:$O$676&lt;&gt;"",ROW(Items!$O$6:$O$676)),Items!N17)),"")</f>
        <v>Citel AC Surge Protection Device DAC50VGS-31-275/G VAC 3-Phase</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1472.48</v>
      </c>
      <c r="K29" s="282">
        <f t="shared" ca="1" si="0"/>
        <v>1472.48</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3</v>
      </c>
      <c r="C30" s="279" t="str">
        <f t="array" aca="1" ref="C30" ca="1">IFERROR(INDEX(Items!O:O,SMALL(IF(Items!$O$6:$O$676&lt;&gt;"",ROW(Items!$O$6:$O$676)),Items!N18)),"")</f>
        <v>Citel DC Surge Protection Device DS50VGPVS-1000/51</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1672.16</v>
      </c>
      <c r="K30" s="282">
        <f t="shared" ca="1" si="0"/>
        <v>5016.4800000000005</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450</v>
      </c>
      <c r="C31" s="279" t="str">
        <f t="array" aca="1" ref="C31" ca="1">IFERROR(INDEX(Items!O:O,SMALL(IF(Items!$O$6:$O$676&lt;&gt;"",ROW(Items!$O$6:$O$676)),Items!N19)),"")</f>
        <v>Hikra Sol DC Solar cable 1x4mm2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16.32</v>
      </c>
      <c r="K31" s="282">
        <f t="shared" ca="1" si="0"/>
        <v>7344</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60</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37.6</v>
      </c>
      <c r="K32" s="282">
        <f t="shared" ca="1" si="0"/>
        <v>2256</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100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72.48</v>
      </c>
      <c r="K33" s="282">
        <f t="shared" ca="1" si="0"/>
        <v>7248</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132</v>
      </c>
      <c r="K34" s="282">
        <f t="shared" ca="1" si="0"/>
        <v>660</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Hikra Sol DC Solar cable 1x50mm2 1500V H1Z2Z2</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381.6</v>
      </c>
      <c r="K35" s="282">
        <f t="shared" ca="1" si="0"/>
        <v>11448</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60</v>
      </c>
      <c r="C36" s="279" t="str">
        <f t="array" aca="1" ref="C36" ca="1">IFERROR(INDEX(Items!O:O,SMALL(IF(Items!$O$6:$O$676&lt;&gt;"",ROW(Items!$O$6:$O$676)),Items!N24)),"")</f>
        <v>Top Cable AC solar cable 5x16mm2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407.04</v>
      </c>
      <c r="K36" s="282">
        <f t="shared" ca="1" si="0"/>
        <v>24422.400000000001</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25</v>
      </c>
      <c r="C37" s="279" t="str">
        <f t="array" aca="1" ref="C37" ca="1">IFERROR(INDEX(Items!O:O,SMALL(IF(Items!$O$6:$O$676&lt;&gt;"",ROW(Items!$O$6:$O$676)),Items!N25)),"")</f>
        <v>Top Cable AC solar cable 1x70mm2 RV-K 0.6/1KV</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672</v>
      </c>
      <c r="K37" s="282">
        <f t="shared" ca="1" si="0"/>
        <v>16800</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145</v>
      </c>
      <c r="C38" s="279" t="str">
        <f t="array" aca="1" ref="C38" ca="1">IFERROR(INDEX(Items!O:O,SMALL(IF(Items!$O$6:$O$676&lt;&gt;"",ROW(Items!$O$6:$O$676)),Items!N26)),"")</f>
        <v>1x6mm2 RV-K 0.6/1KV Yellow/Green Earth Cable</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35.200000000000003</v>
      </c>
      <c r="K38" s="282">
        <f t="shared" ca="1" si="0"/>
        <v>5104</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9</v>
      </c>
      <c r="C39" s="279" t="str">
        <f t="array" aca="1" ref="C39" ca="1">IFERROR(INDEX(Items!O:O,SMALL(IF(Items!$O$6:$O$676&lt;&gt;"",ROW(Items!$O$6:$O$676)),Items!N27)),"")</f>
        <v>Victron RJ45 UTP Cable 3 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202.24</v>
      </c>
      <c r="K39" s="282">
        <f t="shared" ca="1" si="0"/>
        <v>1820.16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VE.Direct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216.8</v>
      </c>
      <c r="K40" s="282">
        <f t="shared" ca="1" si="0"/>
        <v>216.8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Victron VE.Can to CAN-bus BMS type B Cable 1.8m</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279.68</v>
      </c>
      <c r="K41" s="282">
        <f t="shared" ca="1" si="0"/>
        <v>279.68</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v>
      </c>
      <c r="C42" s="279" t="str">
        <f t="array" aca="1" ref="C42" ca="1">IFERROR(INDEX(Items!O:O,SMALL(IF(Items!$O$6:$O$676&lt;&gt;"",ROW(Items!$O$6:$O$676)),Items!N30)),"")</f>
        <v>250A Manual Transfer Switch</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3200</v>
      </c>
      <c r="K42" s="282">
        <f t="shared" ca="1" si="0"/>
        <v>3200</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2</v>
      </c>
      <c r="C43" s="279" t="str">
        <f t="array" aca="1" ref="C43" ca="1">IFERROR(INDEX(Items!O:O,SMALL(IF(Items!$O$6:$O$676&lt;&gt;"",ROW(Items!$O$6:$O$676)),Items!N31)),"")</f>
        <v>160A 4-Pole AC Circuit Breaker</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1120</v>
      </c>
      <c r="K43" s="282">
        <f t="shared" ca="1" si="0"/>
        <v>2240</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14</v>
      </c>
      <c r="C44" s="279" t="str">
        <f t="array" aca="1" ref="C44" ca="1">IFERROR(INDEX(Items!O:O,SMALL(IF(Items!$O$6:$O$676&lt;&gt;"",ROW(Items!$O$6:$O$676)),Items!N32)),"")</f>
        <v>Victron MC4 Solar connector pair MC4, 1x Male/1x Female</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144.47999999999999</v>
      </c>
      <c r="K44" s="282">
        <f t="shared" ca="1" si="0"/>
        <v>2022.7199999999998</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50x200mm Enclosure with Dinrail</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271.18644067792002</v>
      </c>
      <c r="K45" s="282">
        <f t="shared" ca="1" si="0"/>
        <v>271.18644067792002</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Network Router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1920</v>
      </c>
      <c r="K46" s="282">
        <f t="shared" ca="1" si="0"/>
        <v>1920</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29.5</v>
      </c>
      <c r="C47" s="279" t="str">
        <f t="array" aca="1" ref="C47" ca="1">IFERROR(INDEX(Items!O:O,SMALL(IF(Items!$O$6:$O$676&lt;&gt;"",ROW(Items!$O$6:$O$676)),Items!N35)),"")</f>
        <v>Mounting Structure for Metal/ Tile Roof (per set of 4 panels) - 4.64 meter</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1376</v>
      </c>
      <c r="K47" s="282">
        <f t="shared" ca="1" si="0"/>
        <v>40592</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PVC Pipes, Trunking, Cable Lugs and Assessories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8936</v>
      </c>
      <c r="K48" s="282">
        <f t="shared" ca="1" si="0"/>
        <v>8936</v>
      </c>
      <c r="L48" s="49"/>
      <c r="M48" s="48"/>
      <c r="N48" s="48"/>
      <c r="O48" s="48"/>
      <c r="P48" s="48"/>
      <c r="Q48" s="48"/>
      <c r="R48" s="48"/>
    </row>
    <row r="49" spans="1:118" ht="16" customHeight="1">
      <c r="A49" s="1"/>
      <c r="B49" s="294">
        <f t="array" aca="1" ref="B49" ca="1">IF('Customer Base'!$I$15="MANUAL",IFERROR(INDEX(Items!B$6:B$679,SMALL(IF(Items!B$6:B$679&lt;&gt;"",ROW(Items!B$6:B$679)-MIN(ROW(Items!B$6:B$679))+1),Items!N37)),""),IF('Customer Base'!$I$15="AUTOMATE",IFERROR(INDEX(Items!A$6:A$679,SMALL(IF(Items!A$6:A$679&lt;&gt;"",ROW(Items!A$6:A$679)-MIN(ROW(Items!A$6:A$679))+1),Items!N37)),""),""))</f>
        <v>1</v>
      </c>
      <c r="C49" s="279" t="str">
        <f t="array" aca="1" ref="C49" ca="1">IFERROR(INDEX(Items!O:O,SMALL(IF(Items!$O$6:$O$676&lt;&gt;"",ROW(Items!$O$6:$O$676)),Items!N37)),"")</f>
        <v>Transportation Expenses</v>
      </c>
      <c r="D49" s="280"/>
      <c r="E49" s="280"/>
      <c r="F49" s="280"/>
      <c r="G49" s="280"/>
      <c r="H49" s="280"/>
      <c r="I49" s="280"/>
      <c r="J49" s="285">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61162.538598720013</v>
      </c>
      <c r="K49" s="282">
        <f t="shared" ca="1" si="0"/>
        <v>61162.538598720013</v>
      </c>
      <c r="L49" s="49"/>
      <c r="M49" s="48"/>
      <c r="N49" s="48"/>
      <c r="O49" s="48"/>
      <c r="P49" s="48"/>
      <c r="Q49" s="48"/>
      <c r="R49" s="48"/>
    </row>
    <row r="50" spans="1:118" ht="16" customHeight="1">
      <c r="A50" s="1"/>
      <c r="B50" s="294">
        <f t="array" aca="1" ref="B50" ca="1">IF('Customer Base'!$I$15="MANUAL",IFERROR(INDEX(Items!B$6:B$679,SMALL(IF(Items!B$6:B$679&lt;&gt;"",ROW(Items!B$6:B$679)-MIN(ROW(Items!B$6:B$679))+1),Items!N38)),""),IF('Customer Base'!$I$15="AUTOMATE",IFERROR(INDEX(Items!A$6:A$679,SMALL(IF(Items!A$6:A$679&lt;&gt;"",ROW(Items!A$6:A$679)-MIN(ROW(Items!A$6:A$679))+1),Items!N38)),""),""))</f>
        <v>1</v>
      </c>
      <c r="C50" s="279" t="str">
        <f t="array" aca="1" ref="C50" ca="1">IFERROR(INDEX(Items!O:O,SMALL(IF(Items!$O$6:$O$676&lt;&gt;"",ROW(Items!$O$6:$O$676)),Items!N38)),"")</f>
        <v>Engineering and Installation Works</v>
      </c>
      <c r="D50" s="280"/>
      <c r="E50" s="280"/>
      <c r="F50" s="280"/>
      <c r="G50" s="280"/>
      <c r="H50" s="280"/>
      <c r="I50" s="280"/>
      <c r="J50" s="285">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25771.199999999997</v>
      </c>
      <c r="K50" s="282">
        <f t="shared" ca="1" si="0"/>
        <v>25771.199999999997</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1187170.2</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1,187,170.20</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K12" sqref="K12"/>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16,911.26</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60kVA inverter, 100kWh Battery, 70.2kWp Solar Panels and Remote Monitoring</v>
      </c>
      <c r="D5" s="380"/>
      <c r="E5" s="380"/>
      <c r="F5" s="381"/>
      <c r="G5" s="61"/>
      <c r="I5" s="86" t="s">
        <v>1242</v>
      </c>
      <c r="J5" s="296">
        <v>16</v>
      </c>
      <c r="K5" s="87"/>
      <c r="U5" s="360" t="s">
        <v>2478</v>
      </c>
    </row>
    <row r="6" spans="2:27" ht="14" customHeight="1">
      <c r="B6" s="60"/>
      <c r="C6" s="382"/>
      <c r="D6" s="383"/>
      <c r="E6" s="383"/>
      <c r="F6" s="384"/>
      <c r="G6" s="61"/>
      <c r="I6" s="88"/>
      <c r="J6" s="81"/>
      <c r="K6" s="87"/>
    </row>
    <row r="7" spans="2:27">
      <c r="B7" s="60"/>
      <c r="C7" s="69" t="s">
        <v>2460</v>
      </c>
      <c r="D7" s="274" t="s">
        <v>2461</v>
      </c>
      <c r="F7" s="61"/>
      <c r="G7" s="61"/>
      <c r="I7" s="89" t="s">
        <v>1217</v>
      </c>
      <c r="J7" s="290">
        <f>'Customer Base'!D$14*'Customer Base'!D$15</f>
        <v>60</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100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3</v>
      </c>
      <c r="F9" s="61"/>
      <c r="G9" s="61"/>
      <c r="I9" s="92" t="s">
        <v>1219</v>
      </c>
      <c r="J9" s="292">
        <f>SUM(Items!AO242:AO254)</f>
        <v>70.2</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t="s">
        <v>2839</v>
      </c>
      <c r="K11" s="87">
        <v>1.05</v>
      </c>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10</v>
      </c>
      <c r="E14" s="56"/>
      <c r="F14" s="317">
        <v>20</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6</v>
      </c>
      <c r="F15" s="318">
        <v>3</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4"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4">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2672</v>
      </c>
      <c r="D21" s="276">
        <v>20</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4">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4">
      <c r="B25" s="60"/>
      <c r="C25" s="69" t="s">
        <v>2473</v>
      </c>
      <c r="D25" s="277" t="s">
        <v>2475</v>
      </c>
      <c r="E25" s="273">
        <f ca="1">IF(D13="Victron",SUM(Items!A242:A254)-IF('Client List'!IL474="",0,'Client List'!IL474),SUM(Items!A242:A254))</f>
        <v>117</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4">
      <c r="B26" s="60"/>
      <c r="C26" s="69" t="s">
        <v>2664</v>
      </c>
      <c r="D26" s="277">
        <v>600</v>
      </c>
      <c r="E26" s="305"/>
      <c r="F26" s="61"/>
      <c r="G26" s="61"/>
      <c r="R26" s="50" t="str" cm="1">
        <f t="array" ref="R26">IF(AND(ISNUMBER(SEARCH({"Fronius"},D$13)),ISNUMBER(SEARCH({"230/400"},D$8))),27,"")</f>
        <v/>
      </c>
      <c r="S26" s="50" cm="1">
        <f t="array" ref="S26">IF(AND(ISNUMBER(SEARCH({"Fronius"},F$13)),ISNUMBER(SEARCH({"Mini-Grid"},D$7))),27,"")</f>
        <v>27</v>
      </c>
    </row>
    <row r="27" spans="2:24">
      <c r="B27" s="60"/>
      <c r="C27" s="69" t="s">
        <v>2474</v>
      </c>
      <c r="D27" s="276">
        <v>70</v>
      </c>
      <c r="E27" s="308">
        <f>IF(D7="Grid-Tied",ROUNDUP(1.2*((D14*D15)),0),(D21*IF(D19="Lithium",E20,IF(OR(D19="2V OPzV",D19="2V OPzS"),E20*2/1000,IF(D19="12V Lead-Acid",E20*12/1000,0)))/4)+(0.5*((D14*D15))))</f>
        <v>55</v>
      </c>
      <c r="F27" s="61" t="s">
        <v>2510</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cm="1">
        <f t="array" ref="S29">IF(AND(OR(ISNUMBER(SEARCH({"Fronius","Huawei"},F$13))),ISNUMBER(SEARCH({"Mini-Grid"},D$7))),50,"")</f>
        <v>50</v>
      </c>
    </row>
    <row r="30" spans="2:24">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4">
      <c r="B31" s="60"/>
      <c r="C31" s="69" t="s">
        <v>2479</v>
      </c>
      <c r="D31" s="276">
        <v>30</v>
      </c>
      <c r="F31" s="61"/>
      <c r="G31" s="61"/>
      <c r="R31" s="50" t="str" cm="1">
        <f t="array" ref="R31">IF(AND(ISNUMBER(SEARCH({"Fronius"},D$13)),ISNUMBER(SEARCH({"230/400"},D$8))),100,"")</f>
        <v/>
      </c>
    </row>
    <row r="32" spans="2:24">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1,187,170.20</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45692.62136759259</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10</v>
      </c>
      <c r="E9" s="150">
        <f>IF(SUMPRODUCT(Items!A$6:A$120,Items!AP$6:AP$120)&gt;0,('Customer Base'!J$7/'Customer Base'!D$15),IF(SUMPRODUCT(Items!A$257:A$289,Items!AP$257:AP$289)&gt;0,('Customer Base'!J$7/'Customer Base'!D$15),""))</f>
        <v>10</v>
      </c>
      <c r="F9" s="150">
        <f>E9</f>
        <v>10</v>
      </c>
      <c r="G9" s="150">
        <f>E9</f>
        <v>10</v>
      </c>
      <c r="H9" s="150">
        <f>E9</f>
        <v>10</v>
      </c>
      <c r="I9" s="150">
        <v>162</v>
      </c>
      <c r="J9" s="150">
        <f>D9*'Customer Base'!D15</f>
        <v>60</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10</v>
      </c>
      <c r="E11" s="154">
        <f>IFERROR(E9*100%,0)</f>
        <v>10</v>
      </c>
      <c r="F11" s="154">
        <f t="shared" ref="F11:H11" si="0">IFERROR(F9*100%,0)</f>
        <v>10</v>
      </c>
      <c r="G11" s="154">
        <f t="shared" si="0"/>
        <v>10</v>
      </c>
      <c r="H11" s="154">
        <f t="shared" si="0"/>
        <v>10</v>
      </c>
      <c r="I11" s="154">
        <f t="shared" ref="I11:L11" si="1">I9*100%</f>
        <v>162</v>
      </c>
      <c r="J11" s="154">
        <f t="shared" si="1"/>
        <v>60</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12.5</v>
      </c>
      <c r="E13" s="152">
        <f>E11/1</f>
        <v>10</v>
      </c>
      <c r="F13" s="152">
        <f t="shared" ref="F13:H13" si="2">F11/1</f>
        <v>10</v>
      </c>
      <c r="G13" s="152">
        <f t="shared" si="2"/>
        <v>10</v>
      </c>
      <c r="H13" s="152">
        <f t="shared" si="2"/>
        <v>10</v>
      </c>
      <c r="I13" s="152">
        <f t="shared" ref="I13:L13" si="3">I11/0.8</f>
        <v>202.5</v>
      </c>
      <c r="J13" s="152">
        <f t="shared" si="3"/>
        <v>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12.5</v>
      </c>
      <c r="E17" s="146">
        <f>SUM(E13,E15)</f>
        <v>10</v>
      </c>
      <c r="F17" s="146">
        <f t="shared" ref="F17:L17" si="5">SUM(F13,F15)</f>
        <v>10</v>
      </c>
      <c r="G17" s="146">
        <f t="shared" si="5"/>
        <v>10</v>
      </c>
      <c r="H17" s="146">
        <f>SUM(H13,H15)</f>
        <v>10</v>
      </c>
      <c r="I17" s="146">
        <f t="shared" si="5"/>
        <v>202.5</v>
      </c>
      <c r="J17" s="146">
        <f t="shared" si="5"/>
        <v>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52.083333333333336</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47.849999999999994</v>
      </c>
      <c r="F23" s="152">
        <f ca="1">E23</f>
        <v>47.849999999999994</v>
      </c>
      <c r="G23" s="152">
        <f ca="1">E23</f>
        <v>47.849999999999994</v>
      </c>
      <c r="H23" s="152">
        <f ca="1">E23</f>
        <v>47.849999999999994</v>
      </c>
      <c r="I23" s="152">
        <f>SUMPRODUCT(Items!A$6:A$132,Items!AW$6:AW$132)/'Customer Base'!D15</f>
        <v>140</v>
      </c>
      <c r="J23" s="152">
        <f t="shared" ref="J23" si="6">IF(J55&lt;&gt;"",J$17*1000/(IF(J57=1,240,IF(J57=3,(SQRT(3)*400)))),"")</f>
        <v>108.25317547305484</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63</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150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150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70</v>
      </c>
      <c r="E29" s="152">
        <f ca="1">IFERROR(IF(E$25=0,"",E27/(PRODUCT(E61:E67))),"")</f>
        <v>50</v>
      </c>
      <c r="F29" s="152">
        <f t="shared" ref="F29:H29" ca="1" si="9">IFERROR(IF(F$25=0,"",F27/(PRODUCT(F61:F67))),"")</f>
        <v>50</v>
      </c>
      <c r="G29" s="152">
        <f t="shared" ca="1" si="9"/>
        <v>50</v>
      </c>
      <c r="H29" s="152">
        <f t="shared" ca="1" si="9"/>
        <v>50</v>
      </c>
      <c r="I29" s="152">
        <f t="shared" ref="I29:L29" si="10">IF(I$25=0,"",I27/(PRODUCT(I61:I67)))</f>
        <v>185.18518518518516</v>
      </c>
      <c r="J29" s="152">
        <f t="shared" si="10"/>
        <v>150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76.5</v>
      </c>
      <c r="E31" s="152">
        <f t="shared" ref="E31:L31" ca="1" si="11">IF(E$25=0,"",MAX(E33:E35)*(PRODUCT(E61:E67)))</f>
        <v>37</v>
      </c>
      <c r="F31" s="152">
        <f t="shared" ca="1" si="11"/>
        <v>47</v>
      </c>
      <c r="G31" s="152">
        <f t="shared" ca="1" si="11"/>
        <v>65</v>
      </c>
      <c r="H31" s="152">
        <f ca="1">IF(H$25=0,"",MAX(H33:H35)*(PRODUCT(H61:H67)))</f>
        <v>87</v>
      </c>
      <c r="I31" s="152">
        <f t="shared" si="11"/>
        <v>159.57000000000002</v>
      </c>
      <c r="J31" s="152">
        <f t="shared" si="11"/>
        <v>184</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85</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197</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184</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100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20</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15</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15</v>
      </c>
      <c r="G41" s="152">
        <f t="shared" si="13"/>
        <v>15</v>
      </c>
      <c r="H41" s="152">
        <f t="shared" si="13"/>
        <v>15</v>
      </c>
      <c r="I41" s="152">
        <f t="shared" si="13"/>
        <v>300</v>
      </c>
      <c r="J41" s="152">
        <f t="shared" si="13"/>
        <v>100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35</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16</v>
      </c>
      <c r="E45" s="129">
        <f ca="1">IF(COUNT(E78:E79)&gt;=1,E84,IF(COUNT(E80)&gt;=1,E83,""))</f>
        <v>4</v>
      </c>
      <c r="F45" s="129">
        <f t="shared" ref="F45:M45" ca="1" si="15">IF(COUNT(F78:F79)&gt;=1,F84,IF(COUNT(F80)&gt;=1,F83,""))</f>
        <v>6</v>
      </c>
      <c r="G45" s="129">
        <f t="shared" ca="1" si="15"/>
        <v>10</v>
      </c>
      <c r="H45" s="129">
        <f ca="1">IF(COUNT(H78:H79)&gt;=1,H84,IF(COUNT(H80)&gt;=1,H83,""))</f>
        <v>16</v>
      </c>
      <c r="I45" s="129">
        <f t="shared" si="15"/>
        <v>50</v>
      </c>
      <c r="J45" s="129">
        <f t="shared" si="15"/>
        <v>70</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2098</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2080</v>
      </c>
      <c r="B75" s="388"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85</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197</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184</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16</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50</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70</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16</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50</v>
      </c>
      <c r="J81" s="129" cm="1">
        <f t="array" ref="J81">IF(J$29="","",IF(OR(J78&lt;&gt;"",J79&lt;&gt;"",J80&lt;&gt;""),IF(J94&gt;20,INDEX(T!$P$6:$P$29,MATCH(TRUE,INDEX(T!$P$6:$P$29&gt;J78,0),)),J78)))</f>
        <v>70</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16</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50</v>
      </c>
      <c r="J82" s="152" cm="1">
        <f t="array" ref="J82">IF(J$29="","",IF(J94&lt;&gt;"",IF(J95&gt;20,INDEX(T!$P$6:$P$29,MATCH(TRUE,INDEX(T!$P$6:$P$29&gt;J81,0),)),J81)))</f>
        <v>70</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16</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50</v>
      </c>
      <c r="J83" s="136" cm="1">
        <f t="array" ref="J83">IF(J$29="","",IF(J95&lt;&gt;"",IF(J96&gt;20,INDEX(T!$P$6:$P$29,MATCH(TRUE,INDEX(T!$P$6:$P$29&gt;J82,0),)),J82)))</f>
        <v>70</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16</v>
      </c>
      <c r="E84" s="184">
        <v>4</v>
      </c>
      <c r="F84" s="184">
        <v>6</v>
      </c>
      <c r="G84" s="184">
        <v>10</v>
      </c>
      <c r="H84" s="184">
        <v>16</v>
      </c>
      <c r="I84" s="184" cm="1">
        <f t="array" ref="I84">IF(I29="","",IF(I92&gt;(IF(COUNT(I19:I21)=1,230,IF(COUNT(I19:I21)=3,400))/(I27*IF(I37="B",5,IF(I37="C",10,IF(I37="D",20))))),INDEX(T!$P6:$P29,MATCH(TRUE,INDEX(T!$P6:$P29&gt;I83,0),)),I83))</f>
        <v>50</v>
      </c>
      <c r="J84" s="184" cm="1">
        <f t="array" ref="J84">IF(J29="","",IF(J92&gt;(IF(COUNT(J19:J21)=1,230,IF(COUNT(J19:J21)=3,400))/(J27*IF(J37="B",5,IF(J37="C",10,IF(J37="D",20))))),INDEX(T!$P6:$P29,MATCH(TRUE,INDEX(T!$P6:$P29&gt;J83,0),)),J83))</f>
        <v>70</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25</v>
      </c>
      <c r="J85" s="136">
        <f t="shared" si="19"/>
        <v>35</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1.1499999999999999</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0.38700000000000001</v>
      </c>
      <c r="J88" s="156">
        <f>IF(J$25=0,"",IF(ISNUMBER(J83),LOOKUP(J83,T!$P$6:$P$29,T!$Q$6:$Q$29),IF(ISNUMBER(J79),LOOKUP(J79,T!$P$6:$P$29,T!$Q$6:$Q$29),IF(ISNUMBER(J80),LOOKUP(J80,T!$P$6:$P$29,T!$Q$6:$Q$29),0))))</f>
        <v>0.26800000000000002</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0.72699999999999998</v>
      </c>
      <c r="J89" s="158">
        <f>IF(J$25=0,"",IF(ISNUMBER(J85),LOOKUP(J85,T!$P$6:$P$28,T!$Q$6:$Q$28),0))</f>
        <v>0.52400000000000002</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23</v>
      </c>
      <c r="E91" s="158">
        <f t="shared" ca="1" si="21"/>
        <v>109.80000000000001</v>
      </c>
      <c r="F91" s="158">
        <f t="shared" ca="1" si="21"/>
        <v>109.80000000000001</v>
      </c>
      <c r="G91" s="158">
        <f t="shared" ca="1" si="21"/>
        <v>109.80000000000001</v>
      </c>
      <c r="H91" s="158">
        <f ca="1">IF(H25&lt;&gt;0,(H88+H89)*H69,0)</f>
        <v>109.80000000000001</v>
      </c>
      <c r="I91" s="158">
        <f t="shared" si="21"/>
        <v>55.699999999999996</v>
      </c>
      <c r="J91" s="158">
        <f t="shared" si="21"/>
        <v>39.6</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2.802E-2</v>
      </c>
      <c r="E92" s="159">
        <f t="shared" ca="1" si="22"/>
        <v>0.13218000000000002</v>
      </c>
      <c r="F92" s="159">
        <f t="shared" ca="1" si="22"/>
        <v>0.13218000000000002</v>
      </c>
      <c r="G92" s="159">
        <f t="shared" ca="1" si="22"/>
        <v>0.13218000000000002</v>
      </c>
      <c r="H92" s="159">
        <f ca="1">IF(H25&lt;&gt;0,((H90+H91)*1.2)/1000,0)</f>
        <v>0.13218000000000002</v>
      </c>
      <c r="I92" s="159">
        <f t="shared" si="22"/>
        <v>6.7259999999999986E-2</v>
      </c>
      <c r="J92" s="159">
        <f t="shared" si="22"/>
        <v>4.7940000000000003E-2</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8" t="s">
        <v>2487</v>
      </c>
      <c r="C94" s="385"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1.4583333333333335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6.3162000000000003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6.3162000000000003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6.3162000000000003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6.3162000000000003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2.9769623255090081</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13.876499999999998</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13.876499999999998</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1.4583333333333335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6.3162000000000003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6.3162000000000003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6.3162000000000003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6.3162000000000003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2.9769623255090081</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13.876499999999998</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13.876499999999998</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1.4583333333333335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6.3162000000000003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6.3162000000000003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6.3162000000000003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6.3162000000000003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2.9769623255090081</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13.876499999999998</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13.876499999999998</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1.4583333333333335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6.3162000000000003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6.3162000000000003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6.3162000000000003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6.3162000000000003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2.9769623255090081</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13.876499999999998</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13.876499999999998</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9"/>
      <c r="C102" s="385"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1.4583333333333335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15.790499999999996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10.479149999999997</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6.3162000000000003</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2.9769623255090081</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5.2634999999999996</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3.4930499999999998</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2.6483018867924528E-2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2.2069182389937107E-2</v>
      </c>
      <c r="L104" s="194">
        <f ca="1">IFERROR((IF(L84&gt;=L83,L102,99999)/((SUMPRODUCT(Items!$A$242:$A$254,Items!$AQ$242:$AQ$254)/SUM(Items!$A$242:$A$254))*Items!$N$1)),"")</f>
        <v>1.4645911949685534E-2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2096</v>
      </c>
      <c r="C220" s="152"/>
      <c r="D220" s="152"/>
      <c r="E220" s="152"/>
      <c r="F220" s="152"/>
      <c r="G220" s="152"/>
      <c r="H220" s="152"/>
      <c r="I220" s="152"/>
      <c r="J220" s="152"/>
      <c r="K220" s="152"/>
      <c r="L220" s="152"/>
      <c r="M220" s="152"/>
      <c r="O220" s="125"/>
    </row>
    <row r="221" spans="1:58" s="124" customFormat="1" ht="16">
      <c r="A221" s="393"/>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4"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5"/>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5"/>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5"/>
      <c r="B226" s="151" t="s">
        <v>2138</v>
      </c>
      <c r="C226" s="152"/>
      <c r="D226" s="152"/>
      <c r="E226" s="152"/>
      <c r="F226" s="152"/>
      <c r="G226" s="152" t="s">
        <v>2139</v>
      </c>
      <c r="H226" s="152"/>
      <c r="I226" s="152" t="s">
        <v>2139</v>
      </c>
      <c r="J226" s="152" t="s">
        <v>2139</v>
      </c>
      <c r="K226" s="152"/>
      <c r="L226" s="152" t="s">
        <v>2140</v>
      </c>
    </row>
    <row r="227" spans="1:12" s="124" customFormat="1" ht="16">
      <c r="A227" s="395"/>
      <c r="B227" s="151" t="s">
        <v>2141</v>
      </c>
      <c r="C227" s="152"/>
      <c r="D227" s="152"/>
      <c r="E227" s="152"/>
      <c r="F227" s="152"/>
      <c r="G227" s="152" t="s">
        <v>2142</v>
      </c>
      <c r="H227" s="152"/>
      <c r="I227" s="152"/>
      <c r="J227" s="152" t="s">
        <v>2142</v>
      </c>
      <c r="K227" s="152"/>
      <c r="L227" s="152" t="s">
        <v>2142</v>
      </c>
    </row>
    <row r="228" spans="1:12" s="124" customFormat="1" ht="16">
      <c r="A228" s="395"/>
      <c r="B228" s="151" t="s">
        <v>2143</v>
      </c>
      <c r="C228" s="152"/>
      <c r="D228" s="152"/>
      <c r="E228" s="152"/>
      <c r="F228" s="152"/>
      <c r="G228" s="152"/>
      <c r="H228" s="152"/>
      <c r="I228" s="152"/>
      <c r="J228" s="152"/>
      <c r="K228" s="152"/>
      <c r="L228" s="152" t="s">
        <v>2144</v>
      </c>
    </row>
    <row r="229" spans="1:12" s="124" customFormat="1" ht="16">
      <c r="A229" s="396"/>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2180</v>
      </c>
      <c r="B231" s="195" t="s">
        <v>2181</v>
      </c>
      <c r="C231" s="184">
        <v>2</v>
      </c>
      <c r="D231" s="184">
        <v>3</v>
      </c>
      <c r="E231" s="184">
        <v>4</v>
      </c>
      <c r="F231" s="184">
        <v>5</v>
      </c>
      <c r="G231" s="184">
        <v>6</v>
      </c>
      <c r="H231" s="184"/>
      <c r="I231" s="184">
        <v>7</v>
      </c>
      <c r="J231" s="184">
        <v>9</v>
      </c>
      <c r="K231" s="184"/>
      <c r="L231" s="184"/>
    </row>
    <row r="232" spans="1:12" s="124" customFormat="1" ht="16">
      <c r="A232" s="395"/>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5"/>
      <c r="B233" s="151" t="s">
        <v>2135</v>
      </c>
      <c r="C233" s="152">
        <v>2</v>
      </c>
      <c r="D233" s="152" t="s">
        <v>2136</v>
      </c>
      <c r="E233" s="152">
        <v>2</v>
      </c>
      <c r="F233" s="152" t="s">
        <v>2136</v>
      </c>
      <c r="G233" s="152">
        <v>2</v>
      </c>
      <c r="H233" s="152"/>
      <c r="I233" s="152" t="s">
        <v>2136</v>
      </c>
      <c r="J233" s="152" t="s">
        <v>2136</v>
      </c>
      <c r="K233" s="152"/>
      <c r="L233" s="152"/>
    </row>
    <row r="234" spans="1:12" s="124" customFormat="1" ht="16">
      <c r="A234" s="395"/>
      <c r="B234" s="151" t="s">
        <v>2138</v>
      </c>
      <c r="C234" s="152"/>
      <c r="D234" s="152"/>
      <c r="E234" s="152"/>
      <c r="F234" s="152"/>
      <c r="G234" s="152"/>
      <c r="H234" s="152"/>
      <c r="I234" s="152"/>
      <c r="J234" s="152"/>
      <c r="K234" s="152"/>
      <c r="L234" s="152"/>
    </row>
    <row r="235" spans="1:12" s="124" customFormat="1" ht="16">
      <c r="A235" s="395"/>
      <c r="B235" s="151" t="s">
        <v>2141</v>
      </c>
      <c r="C235" s="152"/>
      <c r="D235" s="152"/>
      <c r="E235" s="152"/>
      <c r="F235" s="152"/>
      <c r="G235" s="152"/>
      <c r="H235" s="152"/>
      <c r="I235" s="152"/>
      <c r="J235" s="152"/>
      <c r="K235" s="152"/>
      <c r="L235" s="152"/>
    </row>
    <row r="236" spans="1:12" s="124" customFormat="1" ht="16">
      <c r="A236" s="395"/>
      <c r="B236" s="151" t="s">
        <v>2143</v>
      </c>
      <c r="C236" s="152"/>
      <c r="D236" s="152"/>
      <c r="E236" s="152"/>
      <c r="F236" s="152"/>
      <c r="G236" s="152"/>
      <c r="H236" s="152"/>
      <c r="I236" s="152"/>
      <c r="J236" s="152"/>
      <c r="K236" s="152"/>
      <c r="L236" s="152"/>
    </row>
    <row r="237" spans="1:12" s="124" customFormat="1" ht="16">
      <c r="A237" s="396"/>
      <c r="B237" s="134" t="s">
        <v>2096</v>
      </c>
      <c r="C237" s="136"/>
      <c r="D237" s="136"/>
      <c r="E237" s="136"/>
      <c r="F237" s="136"/>
      <c r="G237" s="136"/>
      <c r="H237" s="136"/>
      <c r="I237" s="136"/>
      <c r="J237" s="136"/>
      <c r="K237" s="136"/>
      <c r="L237" s="136"/>
    </row>
    <row r="238" spans="1:12" s="124" customFormat="1" ht="16">
      <c r="L238" s="123"/>
    </row>
    <row r="239" spans="1:12" s="124" customFormat="1" ht="55">
      <c r="A239" s="394" t="s">
        <v>2182</v>
      </c>
      <c r="B239" s="195" t="s">
        <v>2183</v>
      </c>
      <c r="C239" s="184">
        <v>2</v>
      </c>
      <c r="D239" s="184">
        <v>3</v>
      </c>
      <c r="E239" s="184">
        <v>4</v>
      </c>
      <c r="F239" s="184">
        <v>5</v>
      </c>
      <c r="G239" s="184">
        <v>6</v>
      </c>
      <c r="H239" s="184"/>
      <c r="I239" s="184">
        <v>7</v>
      </c>
      <c r="J239" s="184">
        <v>9</v>
      </c>
      <c r="K239" s="184"/>
      <c r="L239" s="184">
        <v>12</v>
      </c>
    </row>
    <row r="240" spans="1:12" s="124" customFormat="1" ht="16">
      <c r="A240" s="395"/>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5"/>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5"/>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5"/>
      <c r="B243" s="151" t="s">
        <v>2141</v>
      </c>
      <c r="C243" s="152" t="s">
        <v>2142</v>
      </c>
      <c r="D243" s="152" t="s">
        <v>2142</v>
      </c>
      <c r="E243" s="152" t="s">
        <v>2142</v>
      </c>
      <c r="F243" s="152" t="s">
        <v>2142</v>
      </c>
      <c r="G243" s="152" t="s">
        <v>2148</v>
      </c>
      <c r="H243" s="152"/>
      <c r="I243" s="152"/>
      <c r="J243" s="152"/>
      <c r="K243" s="152"/>
      <c r="L243" s="152"/>
    </row>
    <row r="244" spans="1:15" s="124" customFormat="1" ht="16">
      <c r="A244" s="395"/>
      <c r="B244" s="151" t="s">
        <v>2143</v>
      </c>
      <c r="C244" s="152"/>
      <c r="D244" s="152"/>
      <c r="E244" s="152"/>
      <c r="F244" s="152"/>
      <c r="G244" s="152"/>
      <c r="H244" s="152"/>
      <c r="I244" s="152" t="s">
        <v>2149</v>
      </c>
      <c r="J244" s="152" t="s">
        <v>2149</v>
      </c>
      <c r="K244" s="152"/>
      <c r="L244" s="152" t="s">
        <v>2144</v>
      </c>
    </row>
    <row r="245" spans="1:15" s="124" customFormat="1" ht="16">
      <c r="A245" s="396"/>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4" t="s">
        <v>2184</v>
      </c>
      <c r="B247" s="195" t="s">
        <v>2152</v>
      </c>
      <c r="C247" s="184">
        <v>2</v>
      </c>
      <c r="D247" s="184">
        <v>3</v>
      </c>
      <c r="E247" s="184">
        <v>4</v>
      </c>
      <c r="F247" s="184">
        <v>5</v>
      </c>
      <c r="G247" s="184">
        <v>6</v>
      </c>
      <c r="H247" s="184"/>
      <c r="I247" s="184">
        <v>7</v>
      </c>
      <c r="J247" s="184"/>
      <c r="K247" s="184"/>
      <c r="L247" s="184"/>
    </row>
    <row r="248" spans="1:15" s="124" customFormat="1" ht="16">
      <c r="A248" s="395"/>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5"/>
      <c r="B249" s="151" t="s">
        <v>2135</v>
      </c>
      <c r="C249" s="152">
        <v>2</v>
      </c>
      <c r="D249" s="152" t="s">
        <v>2136</v>
      </c>
      <c r="E249" s="152">
        <v>2</v>
      </c>
      <c r="F249" s="152" t="s">
        <v>2136</v>
      </c>
      <c r="G249" s="152">
        <v>2</v>
      </c>
      <c r="H249" s="152"/>
      <c r="I249" s="152" t="s">
        <v>2136</v>
      </c>
      <c r="J249" s="152"/>
      <c r="K249" s="152"/>
      <c r="L249" s="152"/>
    </row>
    <row r="250" spans="1:15" s="124" customFormat="1" ht="16">
      <c r="A250" s="395"/>
      <c r="B250" s="151" t="s">
        <v>2138</v>
      </c>
      <c r="C250" s="152"/>
      <c r="D250" s="152"/>
      <c r="E250" s="152"/>
      <c r="F250" s="152"/>
      <c r="G250" s="152"/>
      <c r="H250" s="152"/>
      <c r="I250" s="152"/>
      <c r="J250" s="152"/>
      <c r="K250" s="152"/>
      <c r="L250" s="152"/>
    </row>
    <row r="251" spans="1:15" s="124" customFormat="1" ht="16">
      <c r="A251" s="395"/>
      <c r="B251" s="151" t="s">
        <v>2141</v>
      </c>
      <c r="C251" s="152"/>
      <c r="D251" s="152"/>
      <c r="E251" s="152"/>
      <c r="F251" s="152"/>
      <c r="G251" s="152"/>
      <c r="H251" s="152"/>
      <c r="I251" s="152"/>
      <c r="J251" s="152"/>
      <c r="K251" s="152"/>
      <c r="L251" s="152"/>
    </row>
    <row r="252" spans="1:15" s="124" customFormat="1" ht="16">
      <c r="A252" s="395"/>
      <c r="B252" s="151" t="s">
        <v>2143</v>
      </c>
      <c r="C252" s="152"/>
      <c r="D252" s="152"/>
      <c r="E252" s="152"/>
      <c r="F252" s="152"/>
      <c r="G252" s="152"/>
      <c r="H252" s="152"/>
      <c r="I252" s="152"/>
      <c r="J252" s="152"/>
      <c r="K252" s="152"/>
      <c r="L252" s="152"/>
    </row>
    <row r="253" spans="1:15" s="124" customFormat="1" ht="16">
      <c r="A253" s="396"/>
      <c r="B253" s="134" t="s">
        <v>2096</v>
      </c>
      <c r="C253" s="136"/>
      <c r="D253" s="136"/>
      <c r="E253" s="136"/>
      <c r="F253" s="136"/>
      <c r="G253" s="136"/>
      <c r="H253" s="136"/>
      <c r="I253" s="136"/>
      <c r="J253" s="136"/>
      <c r="K253" s="136"/>
      <c r="L253" s="136"/>
    </row>
    <row r="254" spans="1:15" s="124" customFormat="1" ht="16">
      <c r="O254" s="125"/>
    </row>
    <row r="255" spans="1:15" s="124" customFormat="1" ht="55">
      <c r="A255" s="391" t="s">
        <v>2185</v>
      </c>
      <c r="B255" s="195" t="s">
        <v>2156</v>
      </c>
      <c r="C255" s="184">
        <v>2</v>
      </c>
      <c r="D255" s="184">
        <v>3</v>
      </c>
      <c r="E255" s="184">
        <v>4</v>
      </c>
      <c r="F255" s="184">
        <v>5</v>
      </c>
      <c r="G255" s="184">
        <v>6</v>
      </c>
      <c r="H255" s="184"/>
      <c r="I255" s="184">
        <v>7</v>
      </c>
      <c r="J255" s="184">
        <v>9</v>
      </c>
      <c r="K255" s="184"/>
      <c r="L255" s="184">
        <v>12</v>
      </c>
    </row>
    <row r="256" spans="1:15" s="124" customFormat="1" ht="16">
      <c r="A256" s="392"/>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2"/>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2"/>
      <c r="B258" s="151" t="s">
        <v>2138</v>
      </c>
      <c r="C258" s="152"/>
      <c r="D258" s="152"/>
      <c r="E258" s="152"/>
      <c r="F258" s="152"/>
      <c r="G258" s="152" t="s">
        <v>2139</v>
      </c>
      <c r="H258" s="152"/>
      <c r="I258" s="152" t="s">
        <v>2139</v>
      </c>
      <c r="J258" s="152" t="s">
        <v>2139</v>
      </c>
      <c r="K258" s="152"/>
      <c r="L258" s="152" t="s">
        <v>2140</v>
      </c>
    </row>
    <row r="259" spans="1:12" s="124" customFormat="1" ht="16">
      <c r="A259" s="392"/>
      <c r="B259" s="151" t="s">
        <v>2141</v>
      </c>
      <c r="C259" s="152"/>
      <c r="D259" s="152"/>
      <c r="E259" s="152"/>
      <c r="F259" s="152"/>
      <c r="G259" s="152" t="s">
        <v>2142</v>
      </c>
      <c r="H259" s="152"/>
      <c r="I259" s="152"/>
      <c r="J259" s="152" t="s">
        <v>2142</v>
      </c>
      <c r="K259" s="152"/>
      <c r="L259" s="152" t="s">
        <v>2142</v>
      </c>
    </row>
    <row r="260" spans="1:12" s="124" customFormat="1" ht="16">
      <c r="A260" s="392"/>
      <c r="B260" s="151" t="s">
        <v>2143</v>
      </c>
      <c r="C260" s="152"/>
      <c r="D260" s="152"/>
      <c r="E260" s="152"/>
      <c r="F260" s="152"/>
      <c r="G260" s="152"/>
      <c r="H260" s="152"/>
      <c r="I260" s="152"/>
      <c r="J260" s="152"/>
      <c r="K260" s="152"/>
      <c r="L260" s="152" t="s">
        <v>2144</v>
      </c>
    </row>
    <row r="261" spans="1:12" s="124" customFormat="1" ht="16">
      <c r="A261" s="393"/>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2186</v>
      </c>
      <c r="B263" s="195" t="s">
        <v>2158</v>
      </c>
      <c r="C263" s="184">
        <v>2</v>
      </c>
      <c r="D263" s="184">
        <v>3</v>
      </c>
      <c r="E263" s="184">
        <v>4</v>
      </c>
      <c r="F263" s="184">
        <v>5</v>
      </c>
      <c r="G263" s="184">
        <v>6</v>
      </c>
      <c r="H263" s="184"/>
      <c r="I263" s="184">
        <v>7</v>
      </c>
      <c r="J263" s="184">
        <v>9</v>
      </c>
      <c r="K263" s="184"/>
      <c r="L263" s="184"/>
    </row>
    <row r="264" spans="1:12" s="124" customFormat="1" ht="16">
      <c r="A264" s="392"/>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2"/>
      <c r="B265" s="151" t="s">
        <v>2135</v>
      </c>
      <c r="C265" s="152">
        <v>2</v>
      </c>
      <c r="D265" s="152" t="s">
        <v>2136</v>
      </c>
      <c r="E265" s="152">
        <v>2</v>
      </c>
      <c r="F265" s="152" t="s">
        <v>2136</v>
      </c>
      <c r="G265" s="152">
        <v>2</v>
      </c>
      <c r="H265" s="152"/>
      <c r="I265" s="152" t="s">
        <v>2136</v>
      </c>
      <c r="J265" s="152" t="s">
        <v>2136</v>
      </c>
      <c r="K265" s="152"/>
      <c r="L265" s="152"/>
    </row>
    <row r="266" spans="1:12" s="124" customFormat="1" ht="16">
      <c r="A266" s="392"/>
      <c r="B266" s="151" t="s">
        <v>2138</v>
      </c>
      <c r="C266" s="152"/>
      <c r="D266" s="152"/>
      <c r="E266" s="152"/>
      <c r="F266" s="152"/>
      <c r="G266" s="152"/>
      <c r="H266" s="152"/>
      <c r="I266" s="152"/>
      <c r="J266" s="152"/>
      <c r="K266" s="152"/>
      <c r="L266" s="152"/>
    </row>
    <row r="267" spans="1:12" s="124" customFormat="1" ht="16">
      <c r="A267" s="392"/>
      <c r="B267" s="151" t="s">
        <v>2141</v>
      </c>
      <c r="C267" s="152"/>
      <c r="D267" s="152"/>
      <c r="E267" s="152"/>
      <c r="F267" s="152"/>
      <c r="G267" s="152"/>
      <c r="H267" s="152"/>
      <c r="I267" s="152"/>
      <c r="J267" s="152"/>
      <c r="K267" s="152"/>
      <c r="L267" s="152"/>
    </row>
    <row r="268" spans="1:12" s="124" customFormat="1" ht="16">
      <c r="A268" s="392"/>
      <c r="B268" s="151" t="s">
        <v>2143</v>
      </c>
      <c r="C268" s="152"/>
      <c r="D268" s="152"/>
      <c r="E268" s="152"/>
      <c r="F268" s="152"/>
      <c r="G268" s="152"/>
      <c r="H268" s="152"/>
      <c r="I268" s="152"/>
      <c r="J268" s="152"/>
      <c r="K268" s="152"/>
      <c r="L268" s="152"/>
    </row>
    <row r="269" spans="1:12" s="124" customFormat="1" ht="16">
      <c r="A269" s="393"/>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1" t="s">
        <v>2187</v>
      </c>
      <c r="B271" s="195" t="s">
        <v>2160</v>
      </c>
      <c r="C271" s="184">
        <v>2</v>
      </c>
      <c r="D271" s="184">
        <v>3</v>
      </c>
      <c r="E271" s="184">
        <v>4</v>
      </c>
      <c r="F271" s="184">
        <v>5</v>
      </c>
      <c r="G271" s="184">
        <v>6</v>
      </c>
      <c r="H271" s="184"/>
      <c r="I271" s="184">
        <v>7</v>
      </c>
      <c r="J271" s="184">
        <v>9</v>
      </c>
      <c r="K271" s="184"/>
      <c r="L271" s="184">
        <v>12</v>
      </c>
    </row>
    <row r="272" spans="1:12" s="124" customFormat="1" ht="16">
      <c r="A272" s="392"/>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2"/>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2"/>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2"/>
      <c r="B275" s="151" t="s">
        <v>2141</v>
      </c>
      <c r="C275" s="152" t="s">
        <v>2142</v>
      </c>
      <c r="D275" s="152" t="s">
        <v>2142</v>
      </c>
      <c r="E275" s="152" t="s">
        <v>2142</v>
      </c>
      <c r="F275" s="152" t="s">
        <v>2142</v>
      </c>
      <c r="G275" s="152" t="s">
        <v>2148</v>
      </c>
      <c r="H275" s="152"/>
      <c r="I275" s="152"/>
      <c r="J275" s="152"/>
      <c r="K275" s="152"/>
      <c r="L275" s="152"/>
    </row>
    <row r="276" spans="1:15" s="124" customFormat="1" ht="16">
      <c r="A276" s="392"/>
      <c r="B276" s="151" t="s">
        <v>2143</v>
      </c>
      <c r="C276" s="152"/>
      <c r="D276" s="152"/>
      <c r="E276" s="152"/>
      <c r="F276" s="152"/>
      <c r="G276" s="152"/>
      <c r="H276" s="152"/>
      <c r="I276" s="152" t="s">
        <v>2149</v>
      </c>
      <c r="J276" s="152" t="s">
        <v>2149</v>
      </c>
      <c r="K276" s="152"/>
      <c r="L276" s="152" t="s">
        <v>2144</v>
      </c>
    </row>
    <row r="277" spans="1:15" s="124" customFormat="1" ht="16">
      <c r="A277" s="393"/>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1" t="s">
        <v>2188</v>
      </c>
      <c r="B279" s="195" t="s">
        <v>2162</v>
      </c>
      <c r="C279" s="184">
        <v>2</v>
      </c>
      <c r="D279" s="184">
        <v>3</v>
      </c>
      <c r="E279" s="184">
        <v>4</v>
      </c>
      <c r="F279" s="184">
        <v>5</v>
      </c>
      <c r="G279" s="184">
        <v>6</v>
      </c>
      <c r="H279" s="184"/>
      <c r="I279" s="184">
        <v>7</v>
      </c>
      <c r="J279" s="184"/>
      <c r="K279" s="184"/>
      <c r="L279" s="184"/>
    </row>
    <row r="280" spans="1:15" s="124" customFormat="1" ht="16">
      <c r="A280" s="392"/>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2"/>
      <c r="B281" s="151" t="s">
        <v>2135</v>
      </c>
      <c r="C281" s="152">
        <v>2</v>
      </c>
      <c r="D281" s="152" t="s">
        <v>2136</v>
      </c>
      <c r="E281" s="152">
        <v>2</v>
      </c>
      <c r="F281" s="152" t="s">
        <v>2136</v>
      </c>
      <c r="G281" s="152">
        <v>2</v>
      </c>
      <c r="H281" s="152"/>
      <c r="I281" s="152" t="s">
        <v>2136</v>
      </c>
      <c r="J281" s="152"/>
      <c r="K281" s="152"/>
      <c r="L281" s="152"/>
    </row>
    <row r="282" spans="1:15" s="124" customFormat="1" ht="16">
      <c r="A282" s="392"/>
      <c r="B282" s="151" t="s">
        <v>2138</v>
      </c>
      <c r="C282" s="152"/>
      <c r="D282" s="152"/>
      <c r="E282" s="152"/>
      <c r="F282" s="152"/>
      <c r="G282" s="152"/>
      <c r="H282" s="152"/>
      <c r="I282" s="152"/>
      <c r="J282" s="152"/>
      <c r="K282" s="152"/>
      <c r="L282" s="152"/>
    </row>
    <row r="283" spans="1:15" s="124" customFormat="1" ht="16">
      <c r="A283" s="392"/>
      <c r="B283" s="151" t="s">
        <v>2141</v>
      </c>
      <c r="C283" s="152"/>
      <c r="D283" s="152"/>
      <c r="E283" s="152"/>
      <c r="F283" s="152"/>
      <c r="G283" s="152"/>
      <c r="H283" s="152"/>
      <c r="I283" s="152"/>
      <c r="J283" s="152"/>
      <c r="K283" s="152"/>
      <c r="L283" s="152"/>
    </row>
    <row r="284" spans="1:15" s="124" customFormat="1" ht="16">
      <c r="A284" s="392"/>
      <c r="B284" s="151" t="s">
        <v>2143</v>
      </c>
      <c r="C284" s="152"/>
      <c r="D284" s="152"/>
      <c r="E284" s="152"/>
      <c r="F284" s="152"/>
      <c r="G284" s="152"/>
      <c r="H284" s="152"/>
      <c r="I284" s="152"/>
      <c r="J284" s="152"/>
      <c r="K284" s="152"/>
      <c r="L284" s="152"/>
    </row>
    <row r="285" spans="1:15" s="124" customFormat="1" ht="16">
      <c r="A285" s="393"/>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2025-02-04T14:59:23Z</dcterms:modified>
</cp:coreProperties>
</file>