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6F3D0E6E-4C12-3F44-97B1-B81DDA3CC3EE}" xr6:coauthVersionLast="47" xr6:coauthVersionMax="47" xr10:uidLastSave="{00000000-0000-0000-0000-000000000000}"/>
  <bookViews>
    <workbookView xWindow="0" yWindow="500" windowWidth="26880" windowHeight="16300" tabRatio="653" activeTab="3"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11" i="6" l="1"/>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N1" i="13" l="1"/>
  <c r="O103" i="12"/>
  <c r="A134" i="12"/>
  <c r="AO429" i="12"/>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1" i="13" l="1"/>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19" i="13" a="1"/>
  <c r="Z538" i="13" a="1"/>
  <c r="Z525" i="13" a="1"/>
  <c r="Z550" i="13" a="1"/>
  <c r="Z541" i="13" a="1"/>
  <c r="Z574" i="13" a="1"/>
  <c r="Z517" i="13" a="1"/>
  <c r="Z534" i="13" a="1"/>
  <c r="Z578" i="13" a="1"/>
  <c r="Z580" i="13" a="1"/>
  <c r="Z552" i="13" a="1"/>
  <c r="Z546" i="13" a="1"/>
  <c r="Z532" i="13" a="1"/>
  <c r="Z518" i="13" a="1"/>
  <c r="Z543" i="13" a="1"/>
  <c r="Z592" i="13" a="1"/>
  <c r="Z560" i="13" a="1"/>
  <c r="Z573" i="13" a="1"/>
  <c r="Z563" i="13" a="1"/>
  <c r="Z520" i="13" a="1"/>
  <c r="Z562" i="13" a="1"/>
  <c r="Z591" i="13" a="1"/>
  <c r="Z584" i="13" a="1"/>
  <c r="Z548" i="13" a="1"/>
  <c r="Z587" i="13" a="1"/>
  <c r="Z551" i="13" a="1"/>
  <c r="Z529" i="13" a="1"/>
  <c r="Z586" i="13" a="1"/>
  <c r="Z597" i="13" a="1"/>
  <c r="Z542" i="13" a="1"/>
  <c r="Z530" i="13" a="1"/>
  <c r="Z524" i="13" a="1"/>
  <c r="Z566" i="13" a="1"/>
  <c r="Z531" i="13" a="1"/>
  <c r="Z539" i="13" a="1"/>
  <c r="Z555" i="13" a="1"/>
  <c r="Z558" i="13" a="1"/>
  <c r="Z527" i="13" a="1"/>
  <c r="Z596" i="13" a="1"/>
  <c r="Z582" i="13" a="1"/>
  <c r="Z553" i="13" a="1"/>
  <c r="Z521" i="13" a="1"/>
  <c r="Z533" i="13" a="1"/>
  <c r="Z595" i="13" a="1"/>
  <c r="Z588" i="13" a="1"/>
  <c r="Z537" i="13" a="1"/>
  <c r="Z565" i="13" a="1"/>
  <c r="Z572" i="13" a="1"/>
  <c r="Z581" i="13" a="1"/>
  <c r="Z569" i="13" a="1"/>
  <c r="Z571" i="13" a="1"/>
  <c r="Z583" i="13" a="1"/>
  <c r="Z593" i="13" a="1"/>
  <c r="Z528" i="13" a="1"/>
  <c r="Z590" i="13" a="1"/>
  <c r="Z576" i="13" a="1"/>
  <c r="Z547" i="13" a="1"/>
  <c r="Z564" i="13" a="1"/>
  <c r="Z559" i="13" a="1"/>
  <c r="Z599" i="13" a="1"/>
  <c r="Z567" i="13" a="1"/>
  <c r="Z579" i="13" a="1"/>
  <c r="Z589" i="13" a="1"/>
  <c r="Z540" i="13" a="1"/>
  <c r="Z523" i="13" a="1"/>
  <c r="Z557" i="13" a="1"/>
  <c r="Z535" i="13" a="1"/>
  <c r="Z600" i="13" a="1"/>
  <c r="Z545" i="13" a="1"/>
  <c r="Z601" i="13" a="1"/>
  <c r="Z570" i="13" a="1"/>
  <c r="Z577" i="13" a="1"/>
  <c r="Z536" i="13" a="1"/>
  <c r="Z561" i="13" a="1"/>
  <c r="Z556" i="13" a="1"/>
  <c r="Z522" i="13" a="1"/>
  <c r="Z594" i="13" a="1"/>
  <c r="Z575" i="13" a="1"/>
  <c r="Z526" i="13" a="1"/>
  <c r="Z598" i="13" a="1"/>
  <c r="Z544" i="13" a="1"/>
  <c r="Z568" i="13" a="1"/>
  <c r="Z549" i="13" a="1"/>
  <c r="Z585" i="13" a="1"/>
  <c r="Z554"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52" i="12" l="1"/>
  <c r="L513" i="12"/>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484" i="12"/>
  <c r="AO482" i="12"/>
  <c r="AO479" i="12"/>
  <c r="AO481" i="12"/>
  <c r="AO149" i="12"/>
  <c r="O149" i="12"/>
  <c r="J29" i="20"/>
  <c r="J100" i="20" s="1"/>
  <c r="J76" i="20" a="1"/>
  <c r="J76" i="20" s="1"/>
  <c r="J77" i="20" a="1"/>
  <c r="J77" i="20" s="1"/>
  <c r="D76" i="20" a="1"/>
  <c r="D76" i="20" s="1"/>
  <c r="D35" i="20"/>
  <c r="D80" i="20" a="1"/>
  <c r="D80" i="20" s="1"/>
  <c r="D29" i="20"/>
  <c r="D100" i="20" s="1"/>
  <c r="D77" i="20" a="1"/>
  <c r="D77" i="20" s="1"/>
  <c r="AO478" i="12" l="1"/>
  <c r="AO466" i="12"/>
  <c r="J80" i="20" a="1"/>
  <c r="J80" i="20" s="1"/>
  <c r="AO475" i="12"/>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6" i="13" a="1"/>
  <c r="Z510" i="13" a="1"/>
  <c r="Z502" i="13" a="1"/>
  <c r="Z504" i="13" a="1"/>
  <c r="Z506" i="13" a="1"/>
  <c r="Z503" i="13" a="1"/>
  <c r="Z511" i="13" a="1"/>
  <c r="Z515" i="13" a="1"/>
  <c r="Z512" i="13" a="1"/>
  <c r="Z513" i="13" a="1"/>
  <c r="Z508" i="13" a="1"/>
  <c r="Z507" i="13" a="1"/>
  <c r="Z509" i="13" a="1"/>
  <c r="Z505" i="13" a="1"/>
  <c r="Z514"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HF490" i="13"/>
  <c r="FF490" i="13"/>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EN478" i="13" l="1"/>
  <c r="EN477" i="13"/>
  <c r="EE491" i="13"/>
  <c r="EE490" i="13"/>
  <c r="EE478" i="13"/>
  <c r="EE489" i="13"/>
  <c r="EE479" i="13"/>
  <c r="EE483" i="13"/>
  <c r="EE484" i="13"/>
  <c r="IK485" i="13" a="1"/>
  <c r="IK485" i="13" s="1"/>
  <c r="IK483" i="13" a="1"/>
  <c r="IK483" i="13" s="1"/>
  <c r="IK489" i="13" a="1"/>
  <c r="IK489" i="13" s="1"/>
  <c r="IK484" i="13" a="1"/>
  <c r="IK484" i="13" s="1"/>
  <c r="IK478" i="13" a="1"/>
  <c r="IK478" i="13" s="1"/>
  <c r="IK477" i="13" a="1"/>
  <c r="IK477"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6" i="12"/>
  <c r="A337" i="12"/>
  <c r="A335"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G88" i="20" l="1"/>
  <c r="G91" i="20" s="1"/>
  <c r="G92" i="20" s="1"/>
  <c r="G104" i="20"/>
  <c r="G97" i="20"/>
  <c r="A366" i="12"/>
  <c r="H88" i="20"/>
  <c r="H91" i="20" s="1"/>
  <c r="H92" i="20" s="1"/>
  <c r="H104" i="20"/>
  <c r="H97" i="20"/>
  <c r="F88" i="20"/>
  <c r="F91" i="20" s="1"/>
  <c r="F92" i="20" s="1"/>
  <c r="F104" i="20"/>
  <c r="A367" i="12" s="1"/>
  <c r="F97" i="20"/>
  <c r="A369" i="12" l="1"/>
  <c r="AO369" i="12" s="1"/>
  <c r="O367" i="12"/>
  <c r="AO367" i="12"/>
  <c r="A368" i="12"/>
  <c r="A396" i="12" s="1"/>
  <c r="A540" i="12" s="1"/>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<sst xmlns="http://schemas.openxmlformats.org/spreadsheetml/2006/main" count="5558" uniqueCount="2840">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</sst>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2">
    <dxf>
      <font>
        <strike val="0"/>
        <color theme="8" tint="0.39994506668294322"/>
      </font>
    </dxf>
    <dxf>
      <font>
        <color rgb="FF9C0006"/>
      </font>
      <fill>
        <patternFill>
          <bgColor rgb="FFFFC7CE"/>
        </patternFill>
      </fill>
    </dxf>
    <dxf>
      <font>
        <strike val="0"/>
        <color theme="8" tint="0.39994506668294322"/>
      </font>
    </dxf>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1" dataDxfId="470">
  <autoFilter ref="B32:J50" xr:uid="{00000000-0009-0000-0100-000001000000}"/>
  <tableColumns count="9">
    <tableColumn id="1" xr3:uid="{A5A6DDE8-644E-B645-9B31-774C6797337A}" name="Ref A      1-Phase" dataDxfId="469"/>
    <tableColumn id="2" xr3:uid="{5D2C410F-BD87-9E49-95F1-4416B31F01CA}" name="Ref A      3-Phase" dataDxfId="468"/>
    <tableColumn id="3" xr3:uid="{DDA67CFB-0BF8-0D47-8177-27F0A393C879}" name="Ref B      1-Phase" dataDxfId="467"/>
    <tableColumn id="4" xr3:uid="{22F4E3A3-299A-B64D-8636-11BDF77B5419}" name="Ref B      3-Phase" dataDxfId="466"/>
    <tableColumn id="5" xr3:uid="{3E00CFF8-2195-5742-B8E3-25463BAD433E}" name="Ref C      1-Phase" dataDxfId="465"/>
    <tableColumn id="6" xr3:uid="{65AB633F-BECC-4E4A-9B00-006F478AFF70}" name="Ref C       3-Phase" dataDxfId="464"/>
    <tableColumn id="7" xr3:uid="{DBA997D8-96A1-1B47-A8CC-A9140FD62C59}" name="Ref E      1-Phase" dataDxfId="463"/>
    <tableColumn id="8" xr3:uid="{BC868A03-2C0B-7B4C-B087-A5E1350A5099}" name="Ref E       3-Phase" dataDxfId="462"/>
    <tableColumn id="9" xr3:uid="{56A9FE2A-81EE-7443-898C-C4DF0C51E914}" name="Cable Size" dataDxfId="46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60" dataDxfId="459">
  <autoFilter ref="B5:M27" xr:uid="{00000000-0009-0000-0100-000002000000}"/>
  <tableColumns count="12">
    <tableColumn id="1" xr3:uid="{5C06527D-77C9-B546-9AB2-6EC17F04B200}" name="Ref A      1-Phase" dataDxfId="458"/>
    <tableColumn id="2" xr3:uid="{9DB9C4F4-B5BE-3D42-9FA6-E719EA89B54D}" name="Ref A      3-Phase" dataDxfId="457"/>
    <tableColumn id="3" xr3:uid="{4F7686AF-D48B-C444-B41F-B9CE078C91ED}" name="Ref B      1-Phase" dataDxfId="456"/>
    <tableColumn id="4" xr3:uid="{C80BCB45-48A2-6649-91B7-EC4C30168FE6}" name="Ref B      3-Phase" dataDxfId="455"/>
    <tableColumn id="5" xr3:uid="{29B05CD9-1DBC-3649-BC36-854EE621D2B3}" name="Ref C      Touching 1-Phase Flat" dataDxfId="454"/>
    <tableColumn id="6" xr3:uid="{CEAECAB6-F10C-D144-89F6-D38D78A30974}" name="Ref C      Touching 3-Phase" dataDxfId="453"/>
    <tableColumn id="7" xr3:uid="{23A9B015-F0F1-A247-BB37-68A552781076}" name="Ref F      Touching 1-Phase Flat" dataDxfId="452"/>
    <tableColumn id="8" xr3:uid="{B1BF9084-22A0-2744-8735-C1271BF97214}" name="Ref F      Touching 3-Phase Flat" dataDxfId="451"/>
    <tableColumn id="9" xr3:uid="{C3645EAC-3AD3-1549-A27E-7BE1E6BE5E86}" name="Ref F      Touching 3-Phase Trefoil" dataDxfId="450"/>
    <tableColumn id="10" xr3:uid="{28F7DF2A-F36C-8B41-A5C4-947BA6644CCF}" name="Ref F      Spaced    Flat Horizontal" dataDxfId="449"/>
    <tableColumn id="11" xr3:uid="{314CF27A-AD57-7540-BE25-AA8988EA02CA}" name="Ref F      Spaced   Flat Vertical" dataDxfId="448"/>
    <tableColumn id="12" xr3:uid="{A2F6A710-73AF-6A4B-AD64-576FB8D4D121}" name="Cable Size" dataDxfId="447"/>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6" dataDxfId="445">
  <autoFilter ref="B55:M68" xr:uid="{00000000-0009-0000-0100-000003000000}"/>
  <tableColumns count="12">
    <tableColumn id="1" xr3:uid="{8F56D565-4DBE-134B-A783-9E3202E43BD6}" name="Ref C      Touching 1-Phase Flat" dataDxfId="444"/>
    <tableColumn id="2" xr3:uid="{B4E810FA-0946-CE43-BAAC-9FFF8C869AB4}" name="Ref C      Touching 3-Phase Flat" dataDxfId="443"/>
    <tableColumn id="3" xr3:uid="{9505943B-4DB3-3249-B909-488D6AFB3261}" name="Ref F      Touching 1-Phase Flat" dataDxfId="442"/>
    <tableColumn id="4" xr3:uid="{9B4F775E-F876-AD47-B8B2-762C1787D834}" name="Ref F      Touching 3-Phase Flat" dataDxfId="441"/>
    <tableColumn id="5" xr3:uid="{70FD5798-BEAA-644A-ADA7-B483122AA72A}" name="Ref F      Touching 3-Phase Trefoil" dataDxfId="440"/>
    <tableColumn id="6" xr3:uid="{1D79B934-9CD2-C543-919C-9637F4CC509C}" name="Ref F      Spaced   D.C.   Horizontal" dataDxfId="439"/>
    <tableColumn id="7" xr3:uid="{AC056145-8E01-ED4F-91CC-4803354D17C8}" name="Ref F      Spaced   D.C.   Vertical" dataDxfId="438"/>
    <tableColumn id="8" xr3:uid="{4937B457-2102-FC42-B281-C6729DBFD3FD}" name="Ref F      Spaced     1-Phase   Horizontal" dataDxfId="437"/>
    <tableColumn id="9" xr3:uid="{D64FB8E3-0445-ED4C-B5F1-6B179D9D0B49}" name="Ref F      Spaced   1-Phase   Vertical" dataDxfId="436"/>
    <tableColumn id="10" xr3:uid="{61797ED1-B72E-DF4C-B81D-DBD99AD81D9B}" name="Ref F      Spaced     3-Phase   Horizontal" dataDxfId="435"/>
    <tableColumn id="11" xr3:uid="{D60525F3-3629-7C4C-B5D3-ED38803EC137}" name="Ref F      Spaced     3-Phase   Vertical" dataDxfId="434"/>
    <tableColumn id="12" xr3:uid="{CB42BC2B-CC8D-F04F-B50E-9AE44768EC45}" name="Cable Size" dataDxfId="433"/>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2" dataDxfId="431">
  <autoFilter ref="B73:H90" xr:uid="{00000000-0009-0000-0100-000004000000}"/>
  <tableColumns count="7">
    <tableColumn id="1" xr3:uid="{4CBC3141-7EF2-E44F-B44A-CB40591B5906}" name="Ref C      1-Phase" dataDxfId="430"/>
    <tableColumn id="2" xr3:uid="{6F6E3EF0-8496-2E4B-9178-A9144373A78B}" name="Ref C     3-Phase" dataDxfId="429"/>
    <tableColumn id="3" xr3:uid="{F65744A9-E645-1343-B427-E350DC2DD900}" name="Ref E      1-Phase" dataDxfId="428"/>
    <tableColumn id="4" xr3:uid="{33F323D5-AB20-C44C-82F9-4236AC584AC0}" name="Ref E      3-Phase" dataDxfId="427"/>
    <tableColumn id="5" xr3:uid="{6E88914E-E8DE-6B47-888E-54BDED9D9CCC}" name="Ref D      1-Phase2" dataDxfId="426"/>
    <tableColumn id="6" xr3:uid="{CC09EA98-FD58-A14E-BCBC-BE1963B4E391}" name="Ref D       3-Phase" dataDxfId="425"/>
    <tableColumn id="9" xr3:uid="{610C94DD-7FD7-7545-85B6-A79F566866FD}" name="Cable Size" dataDxfId="424"/>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3" dataDxfId="422">
  <autoFilter ref="B95:I102" xr:uid="{00000000-0009-0000-0100-000005000000}"/>
  <tableColumns count="8">
    <tableColumn id="1" xr3:uid="{8FB351C3-C113-2946-A5C8-9C16DF222FA2}" name="Method 100" dataDxfId="421"/>
    <tableColumn id="2" xr3:uid="{5C732C79-2C0A-A745-895C-C450A0445D07}" name="Method 101" dataDxfId="420"/>
    <tableColumn id="3" xr3:uid="{28A94422-D28E-0A42-AEB1-81DA8253B205}" name="Method 102" dataDxfId="419"/>
    <tableColumn id="4" xr3:uid="{FA300742-14C1-C742-BAFA-0A05A3116FCC}" name="Method 103" dataDxfId="418"/>
    <tableColumn id="5" xr3:uid="{F42C8BC2-9646-D94F-9CFD-5F752EE81F6F}" name="Ref C      " dataDxfId="417"/>
    <tableColumn id="6" xr3:uid="{63CCA8E7-8F73-A74C-AC0D-1A595CF2066F}" name="Ref A" dataDxfId="416"/>
    <tableColumn id="11" xr3:uid="{19E2CE50-0627-2441-9B42-1CEBBAC201C0}" name="Voltage Drop" dataDxfId="415"/>
    <tableColumn id="12" xr3:uid="{DCFDE463-2F30-A745-83D6-50242C7B5E2E}" name="Cable Size" dataDxfId="414"/>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3" dataDxfId="412">
  <autoFilter ref="B107:M129" xr:uid="{00000000-0009-0000-0100-000006000000}"/>
  <tableColumns count="12">
    <tableColumn id="1" xr3:uid="{69876B71-738A-4843-B22F-4678EA2DFFBD}" name="Ref A      1-Phase" dataDxfId="411"/>
    <tableColumn id="2" xr3:uid="{0584E925-BABB-154B-909C-59D606F02965}" name="Ref A      3-Phase" dataDxfId="410"/>
    <tableColumn id="3" xr3:uid="{A3C314AC-AC7C-DE46-AD29-4C881941345E}" name="Ref B      1-Phase" dataDxfId="409"/>
    <tableColumn id="4" xr3:uid="{2027E9C0-B081-764A-92B9-3425DAB598FA}" name="Ref B      3-Phase" dataDxfId="408"/>
    <tableColumn id="5" xr3:uid="{881EC58B-27EC-C740-8104-21DB488464FA}" name="Ref C      Touching 1-Phase Flat" dataDxfId="407"/>
    <tableColumn id="6" xr3:uid="{1122F6BB-146A-4E42-B356-AE6DF575EADA}" name="Ref C      Touching 3-Phase" dataDxfId="406"/>
    <tableColumn id="7" xr3:uid="{F78FB527-5C4C-D849-B4C0-892CF0DBFFDF}" name="Ref F      Touching 1-Phase Flat" dataDxfId="405"/>
    <tableColumn id="8" xr3:uid="{BC97B3AE-77A7-C847-A15E-FD131691FD4A}" name="Ref F      Touching 3-Phase Flat" dataDxfId="404"/>
    <tableColumn id="9" xr3:uid="{FB8F73BA-6EF6-5147-BEF9-6B6069576E11}" name="Ref F      Touching 3-Phase Trefoil" dataDxfId="403"/>
    <tableColumn id="10" xr3:uid="{4A8C5A2F-1E67-2E43-9627-F1FF6A758159}" name="Ref F      Spaced   Flat Horizontal" dataDxfId="402"/>
    <tableColumn id="11" xr3:uid="{F7E9141A-6CDC-0147-9BB9-AA2C96EE1BFB}" name="Ref F      Spaced   Flat Vertical" dataDxfId="401"/>
    <tableColumn id="12" xr3:uid="{098BEAAB-704A-3047-896C-FCC18998BF4B}" name="Cable Size" dataDxfId="400"/>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9" dataDxfId="398">
  <autoFilter ref="B134:J152" xr:uid="{00000000-0009-0000-0100-000007000000}"/>
  <tableColumns count="9">
    <tableColumn id="1" xr3:uid="{F2AC4F0A-8F37-E640-BFDA-3E7ADBB12ABA}" name="Ref A      1-Phase" dataDxfId="397"/>
    <tableColumn id="2" xr3:uid="{7BC4515A-B88B-8947-99FB-F0D78629F4D7}" name="Ref A      3-Phase" dataDxfId="396"/>
    <tableColumn id="3" xr3:uid="{706E4CE4-FBDB-2443-839E-56841473F7EA}" name="Ref B      1-Phase" dataDxfId="395"/>
    <tableColumn id="4" xr3:uid="{F89297AC-B01A-C443-A753-0312BC5644F7}" name="Ref B      3-Phase" dataDxfId="394"/>
    <tableColumn id="5" xr3:uid="{2F640B1A-FC15-E541-8B29-98C16486B789}" name="Ref C      1-Phase" dataDxfId="393"/>
    <tableColumn id="6" xr3:uid="{2819E63D-1391-6346-8FD7-E6CDA6F3D277}" name="Ref C      3-Phase" dataDxfId="392"/>
    <tableColumn id="7" xr3:uid="{39EFFEAC-971D-124B-BE7D-1891681D8B09}" name="Ref E      1-Phase" dataDxfId="391"/>
    <tableColumn id="8" xr3:uid="{6BFA4C82-5B3E-F345-ACD2-80292358D991}" name="Ref E     3-Phase" dataDxfId="390"/>
    <tableColumn id="9" xr3:uid="{BFF7D58E-270E-6745-8DC1-E314C93EB662}" name="Cable Size" dataDxfId="389"/>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8" dataDxfId="387">
  <autoFilter ref="B157:M170" xr:uid="{00000000-0009-0000-0100-000008000000}"/>
  <tableColumns count="12">
    <tableColumn id="1" xr3:uid="{82CEC370-C125-F940-A4D7-6254549BDD3D}" name="Ref C      Touching 1-Phase Flat" dataDxfId="386"/>
    <tableColumn id="2" xr3:uid="{068FCE23-09BF-514D-B68F-74CE7E133243}" name="Ref C      Touching 3-Phase Flat" dataDxfId="385"/>
    <tableColumn id="3" xr3:uid="{E8CCC19E-5185-DB4A-9357-6438BEA9BC0A}" name="Ref F      Touching 1-Phase Flat" dataDxfId="384"/>
    <tableColumn id="4" xr3:uid="{9A690EFF-14BB-104E-B006-BCD1FFD99761}" name="Ref F      Touching 3-Phase Flat" dataDxfId="383"/>
    <tableColumn id="5" xr3:uid="{0BAF8325-0E0C-2B4E-9EC5-31845BF42D8D}" name="Ref F      Touching 3-Phase Trefoil" dataDxfId="382"/>
    <tableColumn id="6" xr3:uid="{BBF3BFF1-A03F-164C-ACEE-61D71FD9B26A}" name="Ref F      Spaced   D.C.   Horizontal" dataDxfId="381"/>
    <tableColumn id="7" xr3:uid="{7A2369B8-A87E-204B-B36D-A203DC118AAF}" name="Ref F      Spaced   D.C.   Vertical" dataDxfId="380"/>
    <tableColumn id="8" xr3:uid="{9C855780-7BFC-4648-9469-EFB84E90B69A}" name="Ref F      Spaced     1-Phase   Horizontal" dataDxfId="379"/>
    <tableColumn id="9" xr3:uid="{602498A4-0F4B-214D-B336-00FCADEE478B}" name="Ref F      Spaced   1-Phase   Vertical" dataDxfId="378"/>
    <tableColumn id="10" xr3:uid="{FD44C38F-72DA-A54C-A720-E7E458934B10}" name="Ref F      Spaced     3-Phase   Horizontal" dataDxfId="377"/>
    <tableColumn id="11" xr3:uid="{525CA405-9E96-154B-A391-06539FFAA2CF}" name="Ref F      Spaced     3-Phase   Vertical" dataDxfId="376"/>
    <tableColumn id="12" xr3:uid="{0B90640E-86E9-E342-AA6E-9FF42D688682}" name="Cable Size" dataDxfId="375"/>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4" dataDxfId="373">
  <autoFilter ref="B175:H192" xr:uid="{00000000-0009-0000-0100-000009000000}"/>
  <tableColumns count="7">
    <tableColumn id="1" xr3:uid="{D4F598C6-F774-A245-9243-2B4B03CD40D2}" name="Ref C      1-Phase" dataDxfId="372"/>
    <tableColumn id="2" xr3:uid="{04C29071-6D86-8440-878B-F7B1BB6E2E27}" name="Ref C     3-Phase" dataDxfId="371"/>
    <tableColumn id="3" xr3:uid="{F21D7E28-3152-9A43-95F2-2B869937953F}" name="Ref E      1-Phase" dataDxfId="370"/>
    <tableColumn id="4" xr3:uid="{F98FC7C4-C27D-7642-8297-8E5EE5E4F817}" name="Ref E      3-Phase" dataDxfId="369"/>
    <tableColumn id="5" xr3:uid="{50D5D0E9-4216-D74E-83B0-7484886EB992}" name="Ref D      1-Phase2" dataDxfId="368"/>
    <tableColumn id="6" xr3:uid="{6FE7DD63-352B-6745-860B-1A07CF74C71A}" name="Ref D       3-Phase" dataDxfId="367"/>
    <tableColumn id="9" xr3:uid="{9E0DDEA8-CB86-3447-8CEA-A67A617129C6}" name="Cable Size" dataDxfId="366"/>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5" dataDxfId="364">
  <autoFilter ref="B197:E214" xr:uid="{00000000-0009-0000-0100-00000A000000}"/>
  <tableColumns count="4">
    <tableColumn id="1" xr3:uid="{DCCB7E08-04C2-4242-93A9-BDE92FB6A283}" name="1-Phase Two-core " dataDxfId="363"/>
    <tableColumn id="2" xr3:uid="{4B9FCF36-8D0C-4042-922A-9BC44C3D1F05}" name="3-Phase" dataDxfId="362"/>
    <tableColumn id="3" xr3:uid="{B6A3816F-CDE4-3943-9BB2-B35F4AD865DF}" name="1-Phase Single-core" dataDxfId="361"/>
    <tableColumn id="9" xr3:uid="{B03F009D-7194-2641-99E5-B903C8AEA279}" name="Cable Size" dataDxfId="360"/>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9" dataDxfId="358">
  <autoFilter ref="B219:E236" xr:uid="{00000000-0009-0000-0100-00000B000000}"/>
  <tableColumns count="4">
    <tableColumn id="1" xr3:uid="{C7BC598E-574E-8248-AAFC-405454E47A95}" name="1-Phase Two-core " dataDxfId="357"/>
    <tableColumn id="2" xr3:uid="{E54C70CA-6079-1642-B08E-0FA28F62AA58}" name="3-Phase" dataDxfId="356"/>
    <tableColumn id="3" xr3:uid="{0CA2C46F-6469-6545-B702-1AD0F47F273D}" name="1-Phase Single-core" dataDxfId="355"/>
    <tableColumn id="9" xr3:uid="{65D163C7-B8F0-DD41-B720-C2BF90BBA2E9}" name="Cable Size" dataDxfId="354"/>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3" dataDxfId="352">
  <autoFilter ref="B253:J275" xr:uid="{00000000-0009-0000-0100-00000C000000}"/>
  <tableColumns count="9">
    <tableColumn id="1" xr3:uid="{DFBC639F-9667-8047-9149-8C7396024340}" name="Ref C      1-Phase" dataDxfId="351"/>
    <tableColumn id="2" xr3:uid="{194A8F82-8175-EA44-93C8-507354B7CCAB}" name="Ref C      3-Phase Trefoil" dataDxfId="350"/>
    <tableColumn id="3" xr3:uid="{4650777B-B819-5B47-B466-615965EF1FD0}" name="Ref C     3-Phase Flat" dataDxfId="349"/>
    <tableColumn id="4" xr3:uid="{F63D3B77-F6F3-B846-A8C5-F04AC142A537}" name="Ref E,F,G      1-Phase" dataDxfId="348"/>
    <tableColumn id="5" xr3:uid="{550849B2-8B8F-2447-B8DC-08D6C058F9E8}" name="Ref E,F,G      3-Phase Trefoil" dataDxfId="347"/>
    <tableColumn id="6" xr3:uid="{3427F223-0BD0-F344-8635-674EB8F0A51A}" name="Ref E,F,G      Touching 3-Phase Flat" dataDxfId="346"/>
    <tableColumn id="7" xr3:uid="{BF267E42-7B42-BA47-A4AB-443B140DE1AD}" name="Ref E,F,G      Spaced     3-Phase Flat Vertical" dataDxfId="345"/>
    <tableColumn id="8" xr3:uid="{86425269-6F9D-9144-8FDC-2499835A6159}" name="Ref E,F,G      Spaced     3-Phase Flat Horizontal" dataDxfId="344"/>
    <tableColumn id="12" xr3:uid="{7DADAD61-FABB-5C49-B275-CD128F2D207E}" name="Cable Size" dataDxfId="343"/>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2" dataDxfId="341">
  <autoFilter ref="B280:J302" xr:uid="{00000000-0009-0000-0100-00000D000000}"/>
  <tableColumns count="9">
    <tableColumn id="1" xr3:uid="{E255A2DA-B172-854A-9A27-23E502BCFD7E}" name="Ref C      1-Phase" dataDxfId="340"/>
    <tableColumn id="2" xr3:uid="{0EC491FE-F50F-2B42-96AA-32AA7FECF1DA}" name="Ref C      3-Phase Trefoil" dataDxfId="339"/>
    <tableColumn id="3" xr3:uid="{677087E4-9AEE-F14B-B8B6-6C8E43F0402B}" name="Ref C     3-Phase Flat" dataDxfId="338"/>
    <tableColumn id="4" xr3:uid="{DD93A0DD-B99F-064A-B4D1-509740BE6D31}" name="Ref E,F,G      1-Phase" dataDxfId="337"/>
    <tableColumn id="5" xr3:uid="{01F60A36-D73C-6B48-99DF-6CD3E42EF749}" name="Ref E,F,G      3-Phase Trefoil" dataDxfId="336"/>
    <tableColumn id="6" xr3:uid="{B1C34053-0880-DB41-8E11-052187B999EA}" name="Ref E,F,G      Touching 3-Phase Flat" dataDxfId="335"/>
    <tableColumn id="7" xr3:uid="{33D99F2B-A68F-B241-A635-485EF462D77E}" name="Ref E,F,G      Spaced     3-Phase Flat Vertical" dataDxfId="334"/>
    <tableColumn id="8" xr3:uid="{E073D6ED-43BC-6B4F-A6D3-0DD3EF8FE162}" name="Ref E,F,G      Spaced     3-Phase Flat Horizontal" dataDxfId="333"/>
    <tableColumn id="12" xr3:uid="{8354A0F5-78CC-884C-9283-BEF837D5CB48}" name="Cable Size" dataDxfId="332"/>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1" dataDxfId="330">
  <autoFilter ref="B326:J337" xr:uid="{00000000-0009-0000-0100-00000E000000}"/>
  <tableColumns count="9">
    <tableColumn id="1" xr3:uid="{0DC71F84-F504-1749-8CE0-0482348332AF}" name="Ref A      1-Phase" dataDxfId="329"/>
    <tableColumn id="2" xr3:uid="{DFD03A18-96FC-6247-A14E-455FA79576B9}" name="Ref A      3-Phase" dataDxfId="328"/>
    <tableColumn id="3" xr3:uid="{65DFBBAE-B2B0-6744-BD4E-A4430419F917}" name="Ref B      1-Phase" dataDxfId="327"/>
    <tableColumn id="4" xr3:uid="{22453F02-142C-454D-A722-726F3356B39C}" name="Ref B      3-Phase" dataDxfId="326"/>
    <tableColumn id="5" xr3:uid="{A45D7D5E-CD53-9F46-94A8-64C638B3FB7C}" name="Ref C      1-Phase" dataDxfId="325"/>
    <tableColumn id="6" xr3:uid="{67A89AF4-9C52-F349-9D5A-BE8DC7835430}" name="Ref C       3-Phase" dataDxfId="324"/>
    <tableColumn id="7" xr3:uid="{024429F7-115E-9849-8319-157FDA92113D}" name="Ref E      1-Phase" dataDxfId="323"/>
    <tableColumn id="8" xr3:uid="{560F5836-21A1-FD4C-9910-4E8372E5215F}" name="Ref E       3-Phase" dataDxfId="322"/>
    <tableColumn id="9" xr3:uid="{0D0CA484-DB56-0347-A90E-CC2896A77496}" name="Cable Size" dataDxfId="32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20" dataDxfId="319">
  <autoFilter ref="B307:M321" xr:uid="{00000000-0009-0000-0100-00000F000000}"/>
  <tableColumns count="12">
    <tableColumn id="1" xr3:uid="{4C5FE5CC-34BA-2C49-8C1E-D642993EFE8E}" name="Ref A      1-Phase" dataDxfId="318"/>
    <tableColumn id="2" xr3:uid="{A90C4450-FF7E-9747-A032-6B50AB0D544D}" name="Ref A      3-Phase" dataDxfId="317"/>
    <tableColumn id="3" xr3:uid="{2357887B-4CAF-6D42-A089-0D6F958336A7}" name="Ref B      1-Phase" dataDxfId="316"/>
    <tableColumn id="4" xr3:uid="{89B25D8F-D806-C147-A1C1-12D6C6BA7659}" name="Ref B      3-Phase" dataDxfId="315"/>
    <tableColumn id="5" xr3:uid="{2BA067DB-13C5-1F43-8164-C2A02D2DFEAF}" name="Ref C      Touching 1-Phase Flat" dataDxfId="314"/>
    <tableColumn id="6" xr3:uid="{316AF11A-58DC-5143-8ADD-874FAF0F0C50}" name="Ref C      Touching 3-Phase" dataDxfId="313"/>
    <tableColumn id="7" xr3:uid="{930FEBC5-AB03-BA42-AA01-0E7C1ED6DE3B}" name="Ref F      Touching 1-Phase Flat" dataDxfId="312"/>
    <tableColumn id="8" xr3:uid="{0360649E-E3E1-AA4A-8E31-C63245CA0DD0}" name="Ref F      Touching 3-Phase Flat" dataDxfId="311"/>
    <tableColumn id="9" xr3:uid="{68799CA0-DA49-2A41-A3CA-6FA2BFB21CC6}" name="Ref F      Touching 3-Phase Trefoil" dataDxfId="310"/>
    <tableColumn id="10" xr3:uid="{2D8E902C-8D09-4E4E-9116-7DDC88C8A2B9}" name="Ref F      Spaced    Flat Horizontal" dataDxfId="309"/>
    <tableColumn id="11" xr3:uid="{3DA555C5-AA5A-864B-87A8-717BC26C010A}" name="Ref F      Spaced   Flat Vertical" dataDxfId="308"/>
    <tableColumn id="12" xr3:uid="{D1875A26-631E-7745-99AA-272BF8B513D0}" name="Cable Size" dataDxfId="307"/>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6" dataDxfId="305">
  <autoFilter ref="B342:M356" xr:uid="{00000000-0009-0000-0100-000010000000}"/>
  <tableColumns count="12">
    <tableColumn id="1" xr3:uid="{6543A18A-EA9F-5A4F-AADF-FB5E22E3B550}" name="Ref C      Touching 1-Phase Flat" dataDxfId="304"/>
    <tableColumn id="2" xr3:uid="{93F1E9A1-708F-314E-82A2-75464D79932A}" name="Ref C      Touching 3-Phase Flat" dataDxfId="303"/>
    <tableColumn id="3" xr3:uid="{049EBDDD-C52C-D24B-A591-7BF99301F7D1}" name="Ref F      Touching 1-Phase Flat" dataDxfId="302"/>
    <tableColumn id="4" xr3:uid="{B9D30280-A4A1-F946-9ED2-3CCAEC73868C}" name="Ref F      Touching 3-Phase Flat" dataDxfId="301"/>
    <tableColumn id="5" xr3:uid="{FE9C2CD6-FC4D-1042-8F85-86062E74E777}" name="Ref F      Touching 3-Phase Trefoil" dataDxfId="300"/>
    <tableColumn id="6" xr3:uid="{58BFF602-0AA0-334A-A509-07D843A9BC48}" name="Ref F      Spaced   D.C.   Horizontal" dataDxfId="299"/>
    <tableColumn id="7" xr3:uid="{8A5FC9D8-C52F-614E-BBAF-7038D85E6ABB}" name="Ref F      Spaced   D.C.   Vertical" dataDxfId="298"/>
    <tableColumn id="8" xr3:uid="{FC6663CB-16C0-B74A-9436-0125CEE3DA87}" name="Ref F      Spaced     1-Phase   Horizontal" dataDxfId="297"/>
    <tableColumn id="9" xr3:uid="{64329233-5E20-4247-B033-66B6AD207F3F}" name="Ref F      Spaced   1-Phase   Vertical" dataDxfId="296"/>
    <tableColumn id="10" xr3:uid="{7A1FA81B-2C30-D54C-8C4D-EFF994106290}" name="Ref F      Spaced     3-Phase   Horizontal" dataDxfId="295"/>
    <tableColumn id="11" xr3:uid="{D4F555BE-2EF4-DA48-BB4F-75BCC1C5BDE8}" name="Ref F      Spaced     3-Phase   Vertical" dataDxfId="294"/>
    <tableColumn id="12" xr3:uid="{26F5D117-9E9A-FA4F-A477-D35214877032}" name="Cable Size" dataDxfId="293"/>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2" dataDxfId="291">
  <autoFilter ref="B361:H372" xr:uid="{00000000-0009-0000-0100-000011000000}"/>
  <tableColumns count="7">
    <tableColumn id="1" xr3:uid="{F63729E2-B0B4-E448-B0F1-A334443D0596}" name="Ref C      1-Phase" dataDxfId="290"/>
    <tableColumn id="2" xr3:uid="{3845F0FD-1350-7445-9D37-DED49DD677CA}" name="Ref C     3-Phase" dataDxfId="289"/>
    <tableColumn id="3" xr3:uid="{EFF6438D-2BD3-BE49-B084-048204EF5ACF}" name="Ref E      1-Phase" dataDxfId="288"/>
    <tableColumn id="4" xr3:uid="{E9D00104-FE6B-4C43-B329-6953BAAC7C99}" name="Ref E      3-Phase" dataDxfId="287"/>
    <tableColumn id="5" xr3:uid="{6BF0A041-CB9C-704F-B2F1-74E4C0F8833C}" name="Ref D      1-Phase2" dataDxfId="286"/>
    <tableColumn id="6" xr3:uid="{D94928BE-1DEA-A94C-8758-DEB254EDB949}" name="Ref D       3-Phase" dataDxfId="285"/>
    <tableColumn id="9" xr3:uid="{67D46232-A09C-1D49-9F11-7A5D91F621C4}" name="Cable Size" dataDxfId="284"/>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3" dataDxfId="282">
  <autoFilter ref="B377:M391" xr:uid="{00000000-0009-0000-0100-000012000000}"/>
  <tableColumns count="12">
    <tableColumn id="1" xr3:uid="{977DC0F5-D51C-9E4D-9DDB-3165F08F489F}" name="Ref A      1-Phase" dataDxfId="281"/>
    <tableColumn id="2" xr3:uid="{48A7A9DE-A71C-9349-9B53-588A2D60991C}" name="Ref A      3-Phase" dataDxfId="280"/>
    <tableColumn id="3" xr3:uid="{31AB2D17-2A5A-7644-856B-C1F0A7C503D2}" name="Ref B      1-Phase" dataDxfId="279"/>
    <tableColumn id="4" xr3:uid="{1951BC6E-C885-C740-BEF5-093198D02098}" name="Ref B      3-Phase" dataDxfId="278"/>
    <tableColumn id="5" xr3:uid="{B22405E2-BB86-8C4C-8ECC-4D36F6E28444}" name="Ref C      Touching 1-Phase Flat" dataDxfId="277"/>
    <tableColumn id="6" xr3:uid="{A01DCA7F-4B23-8540-A0E1-E6F2F02840EB}" name="Ref C      Touching 3-Phase" dataDxfId="276"/>
    <tableColumn id="7" xr3:uid="{419C3070-4E0C-8A48-A33A-18211FEF0775}" name="Ref F      Touching 1-Phase Flat" dataDxfId="275"/>
    <tableColumn id="8" xr3:uid="{8262FCCD-78C0-6543-BF6D-8502E999731D}" name="Ref F      Touching 3-Phase Flat" dataDxfId="274"/>
    <tableColumn id="9" xr3:uid="{6AF71A5C-520D-9B41-B0AB-39A2950036E1}" name="Ref F      Touching 3-Phase Trefoil" dataDxfId="273"/>
    <tableColumn id="10" xr3:uid="{CD9ADE49-922A-6442-AC3C-B251F8E1947D}" name="Ref F      Spaced   Flat Horizontal" dataDxfId="272"/>
    <tableColumn id="11" xr3:uid="{1B609165-20D2-D440-B290-AC0904B15A47}" name="Ref F      Spaced   Flat Vertical" dataDxfId="271"/>
    <tableColumn id="12" xr3:uid="{D3B76686-9B4F-8A4F-8DA3-B4FF02DC9EEE}" name="Cable Size" dataDxfId="270"/>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9" dataDxfId="268">
  <autoFilter ref="B396:J407" xr:uid="{00000000-0009-0000-0100-000013000000}"/>
  <tableColumns count="9">
    <tableColumn id="1" xr3:uid="{1673942B-2C50-B841-A02B-1E16D7260D01}" name="Ref A      1-Phase" dataDxfId="267"/>
    <tableColumn id="2" xr3:uid="{A2F33BA8-22C0-914E-B0A3-96186C89D34A}" name="Ref A      3-Phase" dataDxfId="266"/>
    <tableColumn id="3" xr3:uid="{EA4577CB-C163-384C-9074-9D185EB16D59}" name="Ref B      1-Phase" dataDxfId="265"/>
    <tableColumn id="4" xr3:uid="{FE33DECC-9DAA-1744-8511-DE65626F4B88}" name="Ref B      3-Phase" dataDxfId="264"/>
    <tableColumn id="5" xr3:uid="{8EB2439F-2A5B-6C49-B76F-5385ECEE2CFA}" name="Ref C      1-Phase" dataDxfId="263"/>
    <tableColumn id="6" xr3:uid="{E8B87F04-0AA3-7743-A532-3B980DD91F53}" name="Ref C      3-Phase" dataDxfId="262"/>
    <tableColumn id="7" xr3:uid="{5AC1E31C-C239-BF43-8F8C-078304BAFD38}" name="Ref E      1-Phase" dataDxfId="261"/>
    <tableColumn id="8" xr3:uid="{1E22B2D1-E135-0940-ADB4-DEF469D1733C}" name="Ref E     3-Phase" dataDxfId="260"/>
    <tableColumn id="9" xr3:uid="{730135D8-55EB-4D4D-80DF-8C04C7521219}" name="Cable Size" dataDxfId="259"/>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8" dataDxfId="257">
  <autoFilter ref="B412:M426" xr:uid="{00000000-0009-0000-0100-000014000000}"/>
  <tableColumns count="12">
    <tableColumn id="1" xr3:uid="{1A9B1545-1974-D54C-98B4-F6FE3DF44029}" name="Ref C      Touching 1-Phase Flat" dataDxfId="256"/>
    <tableColumn id="2" xr3:uid="{FB3E3318-AFF2-564D-868D-7F3B643F0C13}" name="Ref C      Touching 3-Phase Flat" dataDxfId="255"/>
    <tableColumn id="3" xr3:uid="{5512CC60-89A0-6B47-9E6B-C459F2D3DF97}" name="Ref F      Touching 1-Phase Flat" dataDxfId="254"/>
    <tableColumn id="4" xr3:uid="{40A93E0F-E7DF-1F4B-BBC0-2F2290CCDEA1}" name="Ref F      Touching 3-Phase Flat" dataDxfId="253"/>
    <tableColumn id="5" xr3:uid="{CEAEA337-6735-3F40-8DB2-BD6F8E306460}" name="Ref F      Touching 3-Phase Trefoil" dataDxfId="252"/>
    <tableColumn id="6" xr3:uid="{32C0E437-860B-0B44-9E5A-C66261751BE3}" name="Ref F      Spaced   D.C.   Horizontal" dataDxfId="251"/>
    <tableColumn id="7" xr3:uid="{8FFCE900-B1AD-824F-91E1-4954148831BD}" name="Ref F      Spaced   D.C.   Vertical" dataDxfId="250"/>
    <tableColumn id="8" xr3:uid="{06CDE74A-BCE0-6C45-ACD4-6E3ACBE20753}" name="Ref F      Spaced     1-Phase   Horizontal" dataDxfId="249"/>
    <tableColumn id="9" xr3:uid="{46361111-7236-5F49-A66F-51C76D045135}" name="Ref F      Spaced   1-Phase   Vertical" dataDxfId="248"/>
    <tableColumn id="10" xr3:uid="{7A194A52-8EC6-ED4F-919D-420900969308}" name="Ref F      Spaced     3-Phase   Horizontal" dataDxfId="247"/>
    <tableColumn id="11" xr3:uid="{C56EA2DC-DCB1-6044-A111-5BCCB5D5133F}" name="Ref F      Spaced     3-Phase   Vertical" dataDxfId="246"/>
    <tableColumn id="12" xr3:uid="{57BD4B49-E112-8249-8596-53B8209ADEFE}" name="Cable Size" dataDxfId="245"/>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4" dataDxfId="243">
  <autoFilter ref="B431:H442" xr:uid="{00000000-0009-0000-0100-000015000000}"/>
  <tableColumns count="7">
    <tableColumn id="1" xr3:uid="{E437BF8C-5DA4-AB4F-8B17-0935A2B563FE}" name="Ref C      1-Phase" dataDxfId="242"/>
    <tableColumn id="2" xr3:uid="{E4550746-79B7-874F-890C-8BBA74D60D32}" name="Ref C     3-Phase" dataDxfId="241"/>
    <tableColumn id="3" xr3:uid="{80E819D3-282A-5F46-A290-834A000C7115}" name="Ref E      1-Phase" dataDxfId="240"/>
    <tableColumn id="4" xr3:uid="{FFC03573-1388-E64A-8E2D-B76A27A1F819}" name="Ref E      3-Phase" dataDxfId="239"/>
    <tableColumn id="5" xr3:uid="{D3E8E9A2-AEAA-014A-A600-0B7DE7E73584}" name="Ref D      1-Phase2" dataDxfId="238"/>
    <tableColumn id="6" xr3:uid="{FD8CBCC2-C2EE-524C-99B9-3D7D615E1CBA}" name="Ref D       3-Phase" dataDxfId="237"/>
    <tableColumn id="9" xr3:uid="{420EBFD7-5E6E-FD46-B24A-98EF9736E88D}" name="Cable Size" dataDxfId="236"/>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5" dataDxfId="234">
  <autoFilter ref="B241:E248" xr:uid="{00000000-0009-0000-0100-000016000000}"/>
  <tableColumns count="4">
    <tableColumn id="1" xr3:uid="{1BBE7E2E-5F58-9F4E-A904-8BACFEB0D12C}" name="1-Phase " dataDxfId="233"/>
    <tableColumn id="2" xr3:uid="{37354591-3C7E-464C-BA14-D775C105E3A3}" name="3-Phase" dataDxfId="232"/>
    <tableColumn id="3" xr3:uid="{CC938B2D-3DF8-4443-81BD-F548FEC5A192}" name="Mass Support" dataDxfId="231"/>
    <tableColumn id="9" xr3:uid="{E33CAB35-2C00-D448-924A-38978C9E6657}" name="Cable Size" dataDxfId="230"/>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9" dataDxfId="228">
  <autoFilter ref="U5:AC27" xr:uid="{00000000-0009-0000-0100-000017000000}"/>
  <tableColumns count="9">
    <tableColumn id="1" xr3:uid="{442775B6-B70A-364D-AFA6-5852AD544214}" name="Ref A      1-Phase" dataDxfId="227"/>
    <tableColumn id="2" xr3:uid="{701A09C9-7476-6046-B633-66291D7BF8C1}" name="Ref A      3-Phase" dataDxfId="226"/>
    <tableColumn id="3" xr3:uid="{483EDBDD-EDC7-F245-827A-1FE7919942C9}" name="Ref B      1-Phase" dataDxfId="225"/>
    <tableColumn id="4" xr3:uid="{6778384E-C5AA-E34A-8630-F1937A0E03A3}" name="Ref B      3-Phase" dataDxfId="224"/>
    <tableColumn id="5" xr3:uid="{6D3945F5-5A70-9C4F-8F75-EF734A292399}" name="Ref C      1-Phase" dataDxfId="223"/>
    <tableColumn id="6" xr3:uid="{6D09A362-74DC-0A45-8307-1D3A71F176C2}" name="Ref C       3-Phase" dataDxfId="222"/>
    <tableColumn id="7" xr3:uid="{1C66AF4D-BD57-7C40-BC70-74F2A490E70C}" name="Ref E      1-Phase" dataDxfId="221"/>
    <tableColumn id="8" xr3:uid="{AFDE039E-5C83-0B44-9039-846561275FE6}" name="Ref E       3-Phase" dataDxfId="220"/>
    <tableColumn id="9" xr3:uid="{43DA4CB7-3BAD-684F-9A1B-10462DF4256F}" name="Cable Size" dataDxfId="219"/>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8" dataDxfId="217">
  <autoFilter ref="U32:X50" xr:uid="{00000000-0009-0000-0100-000018000000}"/>
  <tableColumns count="4">
    <tableColumn id="1" xr3:uid="{71D2A83C-2BCB-B243-BD55-2ECFCF6ABE49}" name="1-Phase Two-core " dataDxfId="216"/>
    <tableColumn id="2" xr3:uid="{CB1B4D2C-17D8-D74F-90A3-B7EE84A5EA46}" name="3-Phase" dataDxfId="215"/>
    <tableColumn id="3" xr3:uid="{3161F2E9-016F-3449-A627-1F9AE60307C8}" name="1-Phase Single-core" dataDxfId="214"/>
    <tableColumn id="9" xr3:uid="{4D814E3F-CD96-7348-A939-FAA2AABFB37F}" name="Cable Size" dataDxfId="213"/>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2" dataDxfId="211">
  <autoFilter ref="U55:AA68" xr:uid="{00000000-0009-0000-0100-000019000000}"/>
  <tableColumns count="7">
    <tableColumn id="1" xr3:uid="{2CA16CE5-2329-E544-9B65-03DE2A0D06FC}" name="Ref A      1-Phase" dataDxfId="210"/>
    <tableColumn id="2" xr3:uid="{5D0F6663-5F90-6D43-A6FD-C2805030777A}" name="Ref A      3-Phase" dataDxfId="209"/>
    <tableColumn id="3" xr3:uid="{7898948B-8B28-474B-9F22-BD129275EDE4}" name="Ref B      1-Phase" dataDxfId="208"/>
    <tableColumn id="4" xr3:uid="{5C6F239B-6334-8048-B711-D02F5043A392}" name="Ref B      3-Phase" dataDxfId="207"/>
    <tableColumn id="5" xr3:uid="{4D7C5C12-A3B5-8A41-9B38-C147F9C58CDC}" name="Ref C      1-Phase" dataDxfId="206"/>
    <tableColumn id="6" xr3:uid="{412E0794-DFBE-3C4A-9CE8-ED3186893C96}" name="Ref C       3-Phase" dataDxfId="205"/>
    <tableColumn id="9" xr3:uid="{2862A2A8-8FC9-0841-918D-B758A69C5279}" name="Cable Size" dataDxfId="204"/>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3" dataDxfId="202">
  <autoFilter ref="U73:X90" xr:uid="{00000000-0009-0000-0100-00001A000000}"/>
  <tableColumns count="4">
    <tableColumn id="1" xr3:uid="{805BC523-2031-A747-B3C5-0CEF394607B7}" name="1-Phase Two-core " dataDxfId="201"/>
    <tableColumn id="2" xr3:uid="{C3C6DD1A-A36E-1D4B-BDAA-EB8E3466F724}" name="3-Phase" dataDxfId="200"/>
    <tableColumn id="3" xr3:uid="{76681962-D54C-E848-AA60-8150FED3638B}" name="1-Phase Single-core" dataDxfId="199"/>
    <tableColumn id="9" xr3:uid="{F0DAB1C6-85DF-8E4F-B416-F04412A55E1A}" name="Cable Size" dataDxfId="198"/>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7" dataDxfId="196">
  <autoFilter ref="U107:AC129" xr:uid="{00000000-0009-0000-0100-00001B000000}"/>
  <tableColumns count="9">
    <tableColumn id="1" xr3:uid="{CD264298-C41B-B94F-9D9A-C30E55A7F082}" name="Ref A      1-Phase" dataDxfId="195"/>
    <tableColumn id="2" xr3:uid="{7AB0986D-E76A-EB4A-90E7-EDFCD2575D10}" name="Ref A      3-Phase" dataDxfId="194"/>
    <tableColumn id="3" xr3:uid="{33E2B133-0463-8B48-9331-E62065EAFCB1}" name="Ref B      1-Phase" dataDxfId="193"/>
    <tableColumn id="4" xr3:uid="{1B68A3F2-A410-E147-8EA6-2722B0531A6A}" name="Ref B      3-Phase" dataDxfId="192"/>
    <tableColumn id="5" xr3:uid="{64FA6EEE-31D9-4043-B880-8EF1B001AA37}" name="Ref C      1-Phase" dataDxfId="191"/>
    <tableColumn id="6" xr3:uid="{7DC397DD-466B-0443-825A-EBDD19096741}" name="Ref C       3-Phase" dataDxfId="190"/>
    <tableColumn id="7" xr3:uid="{F9C00A81-A0BA-D44C-820C-ADD707FB27D7}" name="Ref E      1-Phase" dataDxfId="189"/>
    <tableColumn id="8" xr3:uid="{19A4B9BD-22AC-5B4B-BC98-65EAA8BD95B1}" name="Ref E       3-Phase" dataDxfId="188"/>
    <tableColumn id="9" xr3:uid="{EFE6A836-769B-3E46-849B-7878C4D3C557}" name="Cable Size" dataDxfId="187"/>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6" dataDxfId="185">
  <autoFilter ref="U134:X152" xr:uid="{00000000-0009-0000-0100-00001C000000}"/>
  <tableColumns count="4">
    <tableColumn id="1" xr3:uid="{286CC2F4-10EB-714E-A1C7-C9126272023A}" name="1-Phase Two-core " dataDxfId="184"/>
    <tableColumn id="2" xr3:uid="{41A3CAFC-1BF6-9841-8427-46F42DA43E05}" name="3-Phase" dataDxfId="183"/>
    <tableColumn id="3" xr3:uid="{96190F94-65C1-404B-9A44-DB5DB4C5D48C}" name="1-Phase Single-core" dataDxfId="182"/>
    <tableColumn id="9" xr3:uid="{FF89EF52-3E74-8C47-B0DE-07DD29D8C413}" name="Cable Size" dataDxfId="181"/>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80" dataDxfId="179">
  <autoFilter ref="U157:AA170" xr:uid="{00000000-0009-0000-0100-00001D000000}"/>
  <tableColumns count="7">
    <tableColumn id="1" xr3:uid="{88244552-406E-0D41-8343-5F2F21AD93E3}" name="Ref A      1-Phase" dataDxfId="178"/>
    <tableColumn id="2" xr3:uid="{23B0923A-6016-6B4B-8EF4-0196414F8202}" name="Ref A      3-Phase" dataDxfId="177"/>
    <tableColumn id="3" xr3:uid="{26C803A5-56E0-FA4B-9105-93FD1117ABFC}" name="Ref B      1-Phase" dataDxfId="176"/>
    <tableColumn id="4" xr3:uid="{7C85C8DB-1FA5-C541-872D-112E685550A4}" name="Ref B      3-Phase" dataDxfId="175"/>
    <tableColumn id="5" xr3:uid="{E48B910A-D3E8-0340-94D6-F72A13DAD772}" name="Ref C      1-Phase" dataDxfId="174"/>
    <tableColumn id="6" xr3:uid="{6A92A41D-B5D0-9E46-ABD8-FDBE4C5BBB93}" name="Ref C       3-Phase" dataDxfId="173"/>
    <tableColumn id="9" xr3:uid="{ED47B4E4-8201-6B47-9CC9-40F8AB70EBC4}" name="Cable Size" dataDxfId="172"/>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1" dataDxfId="170">
  <autoFilter ref="U175:X192" xr:uid="{00000000-0009-0000-0100-00001E000000}"/>
  <tableColumns count="4">
    <tableColumn id="1" xr3:uid="{6C1DD6A4-51AB-B047-B3B6-EBDC7DB8CC3D}" name="1-Phase Two-core " dataDxfId="169"/>
    <tableColumn id="2" xr3:uid="{67A9DE25-6DDA-AA47-A614-908C221007A4}" name="3-Phase" dataDxfId="168"/>
    <tableColumn id="3" xr3:uid="{1E46A9AA-1975-2C43-B5F3-BE552E58B13C}" name="1-Phase Single-core" dataDxfId="167"/>
    <tableColumn id="9" xr3:uid="{6CC414B1-E2DE-4B48-9A1B-0A9143B4346A}" name="Cable Size" dataDxfId="166"/>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5" dataDxfId="164">
  <autoFilter ref="U197:Z214" xr:uid="{00000000-0009-0000-0100-00001F000000}"/>
  <tableColumns count="6">
    <tableColumn id="1" xr3:uid="{6839D94C-0751-3049-8347-BFADF4A131C3}" name="Ref A      1-Phase" dataDxfId="163"/>
    <tableColumn id="2" xr3:uid="{851784FD-ED3E-0D40-959D-506271E178BF}" name="Ref A      3-Phase" dataDxfId="162"/>
    <tableColumn id="3" xr3:uid="{06CFB962-A74E-5343-8FCF-7168A62B582F}" name="Ref B      1-Phase" dataDxfId="161"/>
    <tableColumn id="4" xr3:uid="{E376AF64-DEF9-4D4D-A57E-CCA00E5B4F87}" name="Ref B      3-Phase" dataDxfId="160"/>
    <tableColumn id="5" xr3:uid="{24622E45-356F-EC4C-B4FF-E916E424FDA4}" name="Ref C      1-Phase" dataDxfId="159"/>
    <tableColumn id="9" xr3:uid="{1320BF40-CA67-FC4A-B637-B9701CE70F37}" name="Cable Size" dataDxfId="158"/>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7" dataDxfId="156">
  <autoFilter ref="U219:Y236" xr:uid="{00000000-0009-0000-0100-000020000000}"/>
  <tableColumns count="5">
    <tableColumn id="1" xr3:uid="{D0AE4E37-EC70-2843-AFBC-461F77FB177A}" name="Ref A      1-Phase" dataDxfId="155"/>
    <tableColumn id="2" xr3:uid="{92008B8B-D102-D043-806A-8E05AA4E29CF}" name="Ref A      3-Phase" dataDxfId="154"/>
    <tableColumn id="3" xr3:uid="{B95C18D8-8E65-844A-9B77-CEACE0DBCAB2}" name="Ref B      1-Phase" dataDxfId="153"/>
    <tableColumn id="4" xr3:uid="{5F744D7F-AF21-2445-89DA-590DA395B762}" name="Ref B      3-Phase" dataDxfId="152"/>
    <tableColumn id="9" xr3:uid="{EB48D9DA-6EC7-594A-84F5-3AEC7125AC1B}" name="Cable Size" dataDxfId="151"/>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50" dataDxfId="149">
  <autoFilter ref="U241:W248" xr:uid="{00000000-0009-0000-0100-000021000000}"/>
  <tableColumns count="3">
    <tableColumn id="1" xr3:uid="{3F6A6880-AC94-3647-8A85-D5A203894DA8}" name="Ref A      1-Phase" dataDxfId="148"/>
    <tableColumn id="2" xr3:uid="{146399FF-4C07-544F-99B6-777CA87E38BD}" name="Ref A      3-Phase" dataDxfId="147"/>
    <tableColumn id="9" xr3:uid="{CA97158B-BD6D-2948-9C8C-E2D3606858B2}" name="Cable Size" dataDxfId="146"/>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5" dataDxfId="144">
  <autoFilter ref="U253:AA269" xr:uid="{00000000-0009-0000-0100-000022000000}"/>
  <tableColumns count="7">
    <tableColumn id="1" xr3:uid="{0DD43760-916D-E045-9276-784738D9CF46}" name="Ref A      1-Phase" dataDxfId="143"/>
    <tableColumn id="2" xr3:uid="{AE646303-8EDF-1C45-87A9-98BDCD8E4AD4}" name="Ref A      3-Phase" dataDxfId="142"/>
    <tableColumn id="3" xr3:uid="{8FC7715F-F33C-5C42-8CD2-408760852A4D}" name="Ref B      1-Phase" dataDxfId="141"/>
    <tableColumn id="4" xr3:uid="{E7500A6C-3A01-AF49-AECC-43CB9F4B3306}" name="Ref B      3-Phase" dataDxfId="140"/>
    <tableColumn id="5" xr3:uid="{8BF20898-863A-E043-87DE-A37F45BEFEF8}" name="Ref C      1-Phase" dataDxfId="139"/>
    <tableColumn id="6" xr3:uid="{978C7074-349D-DF4C-9AC8-BB23EFFEDCDF}" name="Ref C       3-Phase" dataDxfId="138"/>
    <tableColumn id="9" xr3:uid="{69D26A98-D975-F244-996F-40C60BBBC181}" name="Cable Size" dataDxfId="137"/>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6" dataDxfId="135">
  <autoFilter ref="U280:AA296" xr:uid="{00000000-0009-0000-0100-000023000000}"/>
  <tableColumns count="7">
    <tableColumn id="1" xr3:uid="{2A69F06F-33D6-C94F-AC05-47AF903FEF18}" name="Ref A      1-Phase" dataDxfId="134"/>
    <tableColumn id="2" xr3:uid="{781D8D34-40A6-734F-B968-7E38FCE5B2F1}" name="Ref A      3-Phase" dataDxfId="133"/>
    <tableColumn id="3" xr3:uid="{9594DB4F-A46C-5E42-A34A-64E30FF3A786}" name="Ref B      1-Phase" dataDxfId="132"/>
    <tableColumn id="4" xr3:uid="{EF91A6F7-9752-F546-9D4A-6C9B8280B50A}" name="Ref B      3-Phase" dataDxfId="131"/>
    <tableColumn id="5" xr3:uid="{41B000A5-F5F8-524B-B496-0ABF56257F4A}" name="Ref C      1-Phase" dataDxfId="130"/>
    <tableColumn id="6" xr3:uid="{97F2885B-DC71-DD4D-B680-FB44F6ADB184}" name="Ref C       3-Phase" dataDxfId="129"/>
    <tableColumn id="9" xr3:uid="{2167D0D9-A80C-1244-9C54-F05DC247BECF}" name="Cable Size" dataDxfId="128"/>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7" dataDxfId="126">
  <autoFilter ref="U307:AC321" xr:uid="{00000000-0009-0000-0100-000024000000}"/>
  <tableColumns count="9">
    <tableColumn id="1" xr3:uid="{6D1FC2C1-E26F-7240-88CA-54880799F5E6}" name="Ref A      1-Phase" dataDxfId="125"/>
    <tableColumn id="2" xr3:uid="{C5E743AF-51A2-CF46-AB33-5D297AA0ABB7}" name="Ref A      3-Phase" dataDxfId="124"/>
    <tableColumn id="3" xr3:uid="{DA0F157C-C0DA-594A-B7D6-7043EB9BABBC}" name="Ref B      1-Phase" dataDxfId="123"/>
    <tableColumn id="4" xr3:uid="{DD814B35-0B80-D942-A5FB-30C8EA7B039F}" name="Ref B      3-Phase" dataDxfId="122"/>
    <tableColumn id="5" xr3:uid="{907F9B0D-05CC-9145-8121-8066E2A7B815}" name="Ref C      1-Phase" dataDxfId="121"/>
    <tableColumn id="6" xr3:uid="{2FC8BD82-2CE4-D847-A84D-C6C89C98B5EE}" name="Ref C       3-Phase" dataDxfId="120"/>
    <tableColumn id="8" xr3:uid="{EE7E0B79-3899-8B46-BDFF-55EEB0C89132}" name="Column2" dataDxfId="119"/>
    <tableColumn id="7" xr3:uid="{86FC327A-BFB8-BE45-9FCA-18D5C2E1C8D3}" name="Column1" dataDxfId="118"/>
    <tableColumn id="9" xr3:uid="{55BA9153-8617-084D-8072-2BDEA873C11D}" name="Cable Size" dataDxfId="117"/>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6" dataDxfId="115">
  <autoFilter ref="U326:X337" xr:uid="{00000000-0009-0000-0100-000025000000}"/>
  <tableColumns count="4">
    <tableColumn id="1" xr3:uid="{92AF1925-C073-CF43-BAFA-02B96BBF0E3B}" name="Ref A      1-Phase" dataDxfId="114"/>
    <tableColumn id="2" xr3:uid="{33F3EC0F-2239-AF49-8C0E-53D9E74F05E7}" name="Ref A      3-Phase" dataDxfId="113"/>
    <tableColumn id="3" xr3:uid="{A270D948-A4B7-544E-9B39-338285BA4DEA}" name="Ref B      1-Phase" dataDxfId="112"/>
    <tableColumn id="9" xr3:uid="{5682BCA9-139B-C041-B901-A3A1F27871C3}" name="Cable Size" dataDxfId="111"/>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10" dataDxfId="109">
  <autoFilter ref="U342:AA356" xr:uid="{00000000-0009-0000-0100-000026000000}"/>
  <tableColumns count="7">
    <tableColumn id="1" xr3:uid="{6D7FCA58-8E88-7942-8439-0654AFC22F9D}" name="Ref A      1-Phase" dataDxfId="108"/>
    <tableColumn id="2" xr3:uid="{E633F24B-7E9D-CE46-8396-913DD0FA6B18}" name="Ref A      3-Phase" dataDxfId="107"/>
    <tableColumn id="3" xr3:uid="{0DF420AE-F8D0-804B-BBC4-BC57A86FC9F0}" name="Ref B      1-Phase" dataDxfId="106"/>
    <tableColumn id="4" xr3:uid="{08F2BE3C-B823-3441-BFEB-299C43E9BA5A}" name="Ref B      3-Phase" dataDxfId="105"/>
    <tableColumn id="5" xr3:uid="{62B98567-7764-BD4D-BBF3-B2E3EBF0BEF3}" name="Ref C      1-Phase" dataDxfId="104"/>
    <tableColumn id="6" xr3:uid="{AC653322-D67A-9E4A-810D-839C5DB1E19B}" name="Ref C       3-Phase" dataDxfId="103"/>
    <tableColumn id="9" xr3:uid="{0B7A9BE7-15CB-1B47-9F8D-2F1E7AB64222}" name="Cable Size" dataDxfId="102"/>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1" dataDxfId="100">
  <autoFilter ref="U361:X372" xr:uid="{00000000-0009-0000-0100-000027000000}"/>
  <tableColumns count="4">
    <tableColumn id="1" xr3:uid="{E5ACE972-8DD3-E94A-B3B8-0F5A5EBF1267}" name="Ref A      1-Phase" dataDxfId="99"/>
    <tableColumn id="2" xr3:uid="{58126E42-F2E2-3848-A3A7-CBA45806B710}" name="Ref A      3-Phase" dataDxfId="98"/>
    <tableColumn id="3" xr3:uid="{691C67C6-7643-BE47-91A0-834EE1BA4FE0}" name="Ref B      1-Phase" dataDxfId="97"/>
    <tableColumn id="9" xr3:uid="{56D2D4EA-A80B-C242-AC7E-941FBB3018BA}" name="Cable Size" dataDxfId="96"/>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5" dataDxfId="94">
  <autoFilter ref="U377:AC391" xr:uid="{00000000-0009-0000-0100-000028000000}"/>
  <tableColumns count="9">
    <tableColumn id="1" xr3:uid="{B5684DD1-E7C0-EF44-82A1-E465985F4FBB}" name="Ref A      1-Phase" dataDxfId="93"/>
    <tableColumn id="2" xr3:uid="{121E355F-1833-6949-BE2E-A5AD75C4B758}" name="Ref A      3-Phase" dataDxfId="92"/>
    <tableColumn id="3" xr3:uid="{D56FA428-1D69-C341-803C-CE89E33068A3}" name="Ref B      1-Phase" dataDxfId="91"/>
    <tableColumn id="4" xr3:uid="{B8345CFE-8E8E-E048-9449-D169E9085655}" name="Ref B      3-Phase" dataDxfId="90"/>
    <tableColumn id="5" xr3:uid="{B82156BC-3301-AD46-AB3F-8E3CAD3853FC}" name="Ref C      1-Phase" dataDxfId="89"/>
    <tableColumn id="6" xr3:uid="{0D7E55C6-D73A-984C-A04B-79203A61716C}" name="Ref C       3-Phase" dataDxfId="88"/>
    <tableColumn id="8" xr3:uid="{593D1752-5218-814D-A3C3-73E984C4628D}" name="Column2" dataDxfId="87"/>
    <tableColumn id="7" xr3:uid="{0CE8ED9D-7D87-A44D-AB57-B8CD537D7961}" name="Column1" dataDxfId="86"/>
    <tableColumn id="9" xr3:uid="{93AE7876-D85B-6540-AD96-ADC7B2638190}" name="Cable Size" dataDxfId="85"/>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4" dataDxfId="83">
  <autoFilter ref="U396:X407" xr:uid="{00000000-0009-0000-0100-000029000000}"/>
  <tableColumns count="4">
    <tableColumn id="1" xr3:uid="{629A9060-7BF6-E649-A85B-7879D8CC91EF}" name="Ref A      1-Phase" dataDxfId="82"/>
    <tableColumn id="2" xr3:uid="{22EA7403-AE82-084D-AE1B-7030BC0C63A0}" name="Ref A      3-Phase" dataDxfId="81"/>
    <tableColumn id="3" xr3:uid="{9F692CC1-4F91-EB4F-B3AC-671C23BE0C57}" name="Ref B      1-Phase" dataDxfId="80"/>
    <tableColumn id="9" xr3:uid="{56DD2169-D436-F848-9B14-895D34C09720}" name="Cable Size" dataDxfId="79"/>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8" dataDxfId="77">
  <autoFilter ref="U412:AA426" xr:uid="{00000000-0009-0000-0100-00002A000000}"/>
  <tableColumns count="7">
    <tableColumn id="1" xr3:uid="{B18BCCC7-99E1-B14A-BFAC-0B4E30E2DF09}" name="Ref A      1-Phase" dataDxfId="76"/>
    <tableColumn id="2" xr3:uid="{8DB24597-5557-2747-80A8-266E72BD06DC}" name="Ref A      3-Phase" dataDxfId="75"/>
    <tableColumn id="3" xr3:uid="{C4201E8C-64F7-9241-98F6-44242F9B5E75}" name="Ref B      1-Phase" dataDxfId="74"/>
    <tableColumn id="4" xr3:uid="{8D7D6662-BAB7-9A4C-87D8-B0BB6DED5601}" name="Ref B      3-Phase" dataDxfId="73"/>
    <tableColumn id="5" xr3:uid="{D9609F69-F8BE-814C-B86F-088619CF25DB}" name="Ref C      1-Phase" dataDxfId="72"/>
    <tableColumn id="6" xr3:uid="{0497F70E-F0E0-A242-BBE5-68723EDE715E}" name="Ref C       3-Phase" dataDxfId="71"/>
    <tableColumn id="9" xr3:uid="{32A5BEA2-DBCE-224B-8633-140795601F1B}" name="Cable Size" dataDxfId="70"/>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9" dataDxfId="68">
  <autoFilter ref="U431:X442" xr:uid="{00000000-0009-0000-0100-00002B000000}"/>
  <tableColumns count="4">
    <tableColumn id="1" xr3:uid="{3AC68602-9E1A-E345-85E3-B2412AD8C2B5}" name="Ref A      1-Phase" dataDxfId="67"/>
    <tableColumn id="2" xr3:uid="{6232D800-8E9A-2546-A8B1-A43611DF838E}" name="Ref A      3-Phase" dataDxfId="66"/>
    <tableColumn id="3" xr3:uid="{0F63577F-820A-454F-ADF6-5842A002AA70}" name="Ref B      1-Phase" dataDxfId="65"/>
    <tableColumn id="9" xr3:uid="{C4EE797C-3F84-9042-A0A4-DBDA345D0F8D}" name="Cable Size" dataDxfId="64"/>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P6" activePane="bottomRight" state="frozen"/>
      <selection activeCell="O51" sqref="O51"/>
      <selection pane="topRight" activeCell="O51" sqref="O51"/>
      <selection pane="bottomLeft" activeCell="O51" sqref="O51"/>
      <selection pane="bottomRight" activeCell="T11" sqref="T11"/>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2698</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13</v>
      </c>
      <c r="M1" s="103" t="s">
        <v>2485</v>
      </c>
      <c r="N1" s="103">
        <f ca="1">IFERROR('Client List'!AC493,IF(AND('Customer Base'!D7&lt;&gt;"Backup",SUMPRODUCT(A6:A132,AP6:AP132)&gt;0),SUM(A242:A254)/L5,0))</f>
        <v>5</v>
      </c>
      <c r="AX1" s="225" t="s">
        <v>1214</v>
      </c>
      <c r="AY1" s="225" t="s">
        <v>2199</v>
      </c>
      <c r="AZ1" s="227" t="s">
        <v>2313</v>
      </c>
      <c r="BA1" s="103">
        <v>1</v>
      </c>
      <c r="BB1" s="103">
        <f>INDEX(AM6:AM284,MATCH(AZ1,AN6:AN284,0))</f>
        <v>3</v>
      </c>
      <c r="BC1" s="103" t="s">
        <v>1228</v>
      </c>
      <c r="BD1" s="103">
        <f>INDEX(AQ6:AQ284,MATCH(AZ1,AN6:AN284,0))</f>
        <v>48</v>
      </c>
      <c r="BE1" s="225" t="s">
        <v>2318</v>
      </c>
    </row>
    <row r="2" spans="1:68">
      <c r="A2" s="269" cm="1">
        <f t="array" aca="1" ref="A2" ca="1">INDEX(A6:A549,SMALL(IF(A6:A549&lt;&gt;"",ROW(A6:A549)-MIN(ROW(A6:A549))+1),2))</f>
        <v>2</v>
      </c>
      <c r="B2" s="270">
        <v>4</v>
      </c>
      <c r="G2" s="103"/>
      <c r="I2" s="228"/>
      <c r="J2" s="103" t="s">
        <v>1174</v>
      </c>
      <c r="K2" s="103" t="s">
        <v>10</v>
      </c>
      <c r="L2" s="103">
        <v>600</v>
      </c>
      <c r="M2" s="103" t="s">
        <v>989</v>
      </c>
      <c r="N2" s="228"/>
      <c r="P2" s="103" t="str">
        <f>"Exchange Rate: USD 1 = GH₵ "&amp;'Customer Base'!J5</f>
        <v>Exchange Rate: USD 1 = GH₵ 16</v>
      </c>
      <c r="AX2" s="225"/>
      <c r="BB2" s="103">
        <f>INDEX(AM6:AM284,MATCH(AZ4,AN6:AN284,0))</f>
        <v>0.55500000000000005</v>
      </c>
      <c r="BC2" s="103" t="s">
        <v>2315</v>
      </c>
      <c r="BD2" s="103">
        <f>INDEX(AQ6:AQ284,MATCH(AZ4,AN6:AN284,0))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2194</v>
      </c>
      <c r="AY3" s="225" t="s">
        <v>2212</v>
      </c>
      <c r="AZ3" s="227" t="s">
        <v>2295</v>
      </c>
      <c r="BA3" s="103">
        <v>1</v>
      </c>
      <c r="BB3" s="103">
        <f>INDEX(AM6:AM284,MATCH(AZ3,AN6:AN284,0))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48.413793103448278</v>
      </c>
      <c r="BM4" s="103">
        <f>MOD('Customer Base'!$J$9*1000*0.8,$BO4)</f>
        <v>480</v>
      </c>
      <c r="BN4" s="103">
        <v>20</v>
      </c>
      <c r="BO4" s="103">
        <v>1160</v>
      </c>
      <c r="BP4" s="231"/>
    </row>
    <row r="5" spans="1:68">
      <c r="C5" s="232" t="s">
        <v>1882</v>
      </c>
      <c r="D5" s="233"/>
      <c r="E5" s="233"/>
      <c r="F5" s="233"/>
      <c r="G5" s="234"/>
      <c r="H5" s="233"/>
      <c r="I5" s="235"/>
      <c r="K5" s="225" t="s">
        <v>2697</v>
      </c>
      <c r="L5" s="256">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4</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28.08</v>
      </c>
      <c r="BM5" s="103">
        <f>MOD('Customer Base'!$J$9*1000*0.8,$BO5)</f>
        <v>160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21.6</v>
      </c>
      <c r="BM6" s="103">
        <f>MOD('Customer Base'!$J$9*1000*0.8,$BO6)</f>
        <v>1560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16.325581395348838</v>
      </c>
      <c r="BM7" s="103">
        <f>MOD('Customer Base'!$J$9*1000*0.8,$BO7)</f>
        <v>1120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14.04</v>
      </c>
      <c r="BM8" s="103">
        <f>MOD('Customer Base'!$J$9*1000*0.8,$BO8)</f>
        <v>160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11.461224489795919</v>
      </c>
      <c r="BM9" s="103">
        <f>MOD('Customer Base'!$J$9*1000*0.8,$BO9)</f>
        <v>2260</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9.6827586206896559</v>
      </c>
      <c r="BM10" s="103">
        <f>MOD('Customer Base'!$J$9*1000*0.8,$BO10)</f>
        <v>3960</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9.6827586206896559</v>
      </c>
      <c r="BM12" s="103">
        <f>MAX(BM4:BM10)</f>
        <v>3960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100</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100</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60kVA inverter, 100kWh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60kVA inverter, 70.2kWp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60kVA inverter, 100kWh Battery, 70.2kWp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60kVA inverter, 100kWh Battery, and 70.2kWp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60kVA inverter, 100kWh Battery, 70.2kWp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2255</v>
      </c>
      <c r="AO49" s="103" t="str">
        <f>IF('Customer Base'!$I$15="MANUAL",IFERROR(AM49*B49,""),IF('Customer Base'!$I$15="AUTOMATE",IFERROR(AM49*A49,""),""))</f>
        <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2258</v>
      </c>
      <c r="AO51" s="103" t="str">
        <f>IF('Customer Base'!$I$15="MANUAL",IFERROR(AM51*B51,""),IF('Customer Base'!$I$15="AUTOMATE",IFERROR(AM51*A51,""),""))</f>
        <v/>
      </c>
      <c r="AQ51" s="103">
        <v>48</v>
      </c>
      <c r="AR51" s="103" t="s">
        <v>2261</v>
      </c>
      <c r="AS51" s="103">
        <v>1</v>
      </c>
      <c r="AT51" s="103" t="str">
        <f t="shared" si="9"/>
        <v/>
      </c>
      <c r="AV51" s="103" t="str">
        <f t="shared" si="8"/>
        <v/>
      </c>
      <c r="AW51" s="103">
        <v>110</v>
      </c>
    </row>
    <row r="52" spans="1:52">
      <c r="A52" s="103">
        <f>IF(AND('Customer Base'!D$8=48,'Customer Base'!D$13="Victron",'Customer Base'!E$13="Multiplus",'Customer Base'!D$14&gt;8,'Customer Base'!D$14&lt;=10),'Customer Base'!D$15,IF(AND('Customer Base'!D$7="Mini-Grid",'Customer Base'!D$8=48,'Customer Base'!F$13="Victron",'Customer Base'!F$14&gt;8,'Customer Base'!F$14&lt;=10),'Customer Base'!F$15,""))</f>
        <v>6</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Victron MultiPlus-II 48/10000/140-100 230V</v>
      </c>
      <c r="AM52" s="103">
        <v>10</v>
      </c>
      <c r="AN52" s="103" t="s">
        <v>2259</v>
      </c>
      <c r="AO52" s="103">
        <f>IF('Customer Base'!$I$15="MANUAL",IFERROR(AM52*B52,""),IF('Customer Base'!$I$15="AUTOMATE",IFERROR(AM52*A52,""),""))</f>
        <v>60</v>
      </c>
      <c r="AQ52" s="103">
        <v>48</v>
      </c>
      <c r="AR52" s="103" t="s">
        <v>2261</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9</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
      </c>
      <c r="AM53" s="103">
        <v>15</v>
      </c>
      <c r="AN53" s="103" t="s">
        <v>2260</v>
      </c>
      <c r="AO53" s="103" t="str">
        <f>IF('Customer Base'!$I$15="MANUAL",IFERROR(AM53*B53,""),IF('Customer Base'!$I$15="AUTOMATE",IFERROR(AM53*A53,""),""))</f>
        <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f>IF(AND('Customer Base'!D$9=3,'Customer Base'!D$13="Fronius",'Customer Base'!D$14&gt;17.5,'Customer Base'!D$14&lt;=20),'Customer Base'!D$15,IF(AND('Customer Base'!D$7="Mini-Grid",'Customer Base'!D$9=3,'Customer Base'!F$13="Fronius",'Customer Base'!F$14&gt;17.5,'Customer Base'!F$14&lt;=20),'Customer Base'!F$15,""))</f>
        <v>2</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Fronius Symo Advanced 20.0-3-M 20kw light</v>
      </c>
      <c r="AM112" s="103">
        <v>20</v>
      </c>
      <c r="AN112" s="103" t="s">
        <v>2280</v>
      </c>
      <c r="AO112" s="103">
        <f>IF('Customer Base'!$I$15="MANUAL",IFERROR(AM112*B112,""),IF('Customer Base'!$I$15="AUTOMATE",IFERROR(AM112*A112,""),""))</f>
        <v>40</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v>4</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f>IFERROR(IF(OR(ROUNDUP(SUM(A103:A118)/6,0)=0),"",ROUNDUP(SUM(A103:A118)/6,0)),"")</f>
        <v>1</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Fronius datamanager 2.0 Wlan GalSymPrim</v>
      </c>
      <c r="AO134" s="103">
        <f>IF('Customer Base'!$I$15="MANUAL",IFERROR(AM134*B134,""),IF('Customer Base'!$I$15="AUTOMATE",IFERROR(AM134*A134,""),""))</f>
        <v>0</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20</v>
      </c>
      <c r="B207" s="270">
        <v>54</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100</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2303</v>
      </c>
      <c r="AO245" s="103" t="str">
        <f>IF('Customer Base'!$I$15="MANUAL",IFERROR(AM245*B245,""),IF('Customer Base'!$I$15="AUTOMATE",IFERROR(AM245*A245,""),""))</f>
        <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117</v>
      </c>
      <c r="B248" s="270">
        <v>224</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2834</v>
      </c>
      <c r="AO248" s="103">
        <f>IF('Customer Base'!$I$15="MANUAL",IFERROR(AM248*B248,""),IF('Customer Base'!$I$15="AUTOMATE",IFERROR(AM248*A248,""),""))</f>
        <v>70.2</v>
      </c>
      <c r="AP248" s="103">
        <v>15.95</v>
      </c>
      <c r="AQ248" s="103">
        <v>47.7</v>
      </c>
      <c r="AR248" s="103" t="s">
        <v>2298</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2296</v>
      </c>
      <c r="D249" s="327">
        <v>129.79</v>
      </c>
      <c r="E249" s="327">
        <v>105.754</v>
      </c>
      <c r="F249" s="260">
        <f t="shared" si="46"/>
        <v>106.47251845775224</v>
      </c>
      <c r="G249" s="260">
        <f>IFERROR(ROUNDUP(F249*'Customer Base'!$J$5,2),0)</f>
        <v>1703.57</v>
      </c>
      <c r="H249" s="260">
        <f t="shared" si="47"/>
        <v>86.754716981132077</v>
      </c>
      <c r="I249" s="260">
        <f>IFERROR(ROUNDUP(H249*'Customer Base'!$J$5,2),0)</f>
        <v>1388.08</v>
      </c>
      <c r="J249" s="103" t="str">
        <f t="shared" si="40"/>
        <v/>
      </c>
      <c r="L249" s="103" t="str">
        <f t="shared" si="41"/>
        <v/>
      </c>
      <c r="N249" s="103">
        <v>248</v>
      </c>
      <c r="O249" s="103" t="str">
        <f>IF('Customer Base'!$I$15="MANUAL",IF(B249&lt;&gt;"",C249,""),IF('Customer Base'!$I$15="AUTOMATE",IF(A249&lt;&gt;"",C249,""),""))</f>
        <v/>
      </c>
      <c r="AM249" s="103">
        <v>0.41499999999999998</v>
      </c>
      <c r="AN249" s="103" t="s">
        <v>2304</v>
      </c>
      <c r="AO249" s="103" t="str">
        <f>IF('Customer Base'!$I$15="MANUAL",IFERROR(AM249*B249,""),IF('Customer Base'!$I$15="AUTOMATE",IFERROR(AM249*A249,""),""))</f>
        <v/>
      </c>
      <c r="AP249" s="103">
        <v>13.87</v>
      </c>
      <c r="AQ249" s="103">
        <v>38.08</v>
      </c>
      <c r="AR249" s="103" t="s">
        <v>2297</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2744</v>
      </c>
      <c r="D251" s="327">
        <v>64.900000000000006</v>
      </c>
      <c r="E251" s="327">
        <v>62.192</v>
      </c>
      <c r="F251" s="260">
        <f t="shared" si="46"/>
        <v>53.240360951599676</v>
      </c>
      <c r="G251" s="260">
        <f>IFERROR(ROUNDUP(F251*'Customer Base'!$J$5,2),0)</f>
        <v>851.85</v>
      </c>
      <c r="H251" s="260">
        <f t="shared" si="47"/>
        <v>51.018867924528301</v>
      </c>
      <c r="I251" s="260">
        <f>IFERROR(ROUNDUP(H251*'Customer Base'!$J$5,2),0)</f>
        <v>816.31</v>
      </c>
      <c r="J251" s="103" t="str">
        <f t="shared" si="40"/>
        <v/>
      </c>
      <c r="L251" s="103" t="str">
        <f t="shared" si="41"/>
        <v/>
      </c>
      <c r="N251" s="103">
        <v>250</v>
      </c>
      <c r="O251" s="103" t="str">
        <f>IF('Customer Base'!$I$15="MANUAL",IF(B251&lt;&gt;"",C251,""),IF('Customer Base'!$I$15="AUTOMATE",IF(A251&lt;&gt;"",C251,""),""))</f>
        <v/>
      </c>
      <c r="AM251" s="103">
        <v>0.115</v>
      </c>
      <c r="AN251" s="103" t="s">
        <v>2305</v>
      </c>
      <c r="AO251" s="103" t="str">
        <f>IF('Customer Base'!$I$15="MANUAL",IFERROR(AM251*B251,""),IF('Customer Base'!$I$15="AUTOMATE",IFERROR(AM251*A251,""),""))</f>
        <v/>
      </c>
      <c r="AP251" s="103">
        <v>6.61</v>
      </c>
      <c r="AQ251" s="103">
        <v>23.32</v>
      </c>
      <c r="AR251" s="103" t="s">
        <v>2300</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1356</v>
      </c>
      <c r="D252" s="327">
        <v>118.44</v>
      </c>
      <c r="E252" s="327">
        <v>113.505</v>
      </c>
      <c r="F252" s="260">
        <f t="shared" ref="F252:F289" si="52">$D252/1.219</f>
        <v>97.161607875307624</v>
      </c>
      <c r="G252" s="260">
        <f>IFERROR(ROUNDUP(F252*'Customer Base'!$J$5,2),0)</f>
        <v>1554.59</v>
      </c>
      <c r="H252" s="260">
        <f t="shared" ref="H252:H289" si="53">$E252/1.219</f>
        <v>93.113207547169807</v>
      </c>
      <c r="I252" s="260">
        <f>IFERROR(ROUNDUP(H252*'Customer Base'!$J$5,2),0)</f>
        <v>1489.82</v>
      </c>
      <c r="J252" s="103" t="str">
        <f t="shared" si="40"/>
        <v/>
      </c>
      <c r="L252" s="103" t="str">
        <f t="shared" si="41"/>
        <v/>
      </c>
      <c r="N252" s="103">
        <v>251</v>
      </c>
      <c r="O252" s="103" t="str">
        <f>IF('Customer Base'!$I$15="MANUAL",IF(B252&lt;&gt;"",C252,""),IF('Customer Base'!$I$15="AUTOMATE",IF(A252&lt;&gt;"",C252,""),""))</f>
        <v/>
      </c>
      <c r="AM252" s="103">
        <v>0.27</v>
      </c>
      <c r="AN252" s="103" t="s">
        <v>2306</v>
      </c>
      <c r="AO252" s="103" t="str">
        <f>IF('Customer Base'!$I$15="MANUAL",IFERROR(AM252*B252,""),IF('Customer Base'!$I$15="AUTOMATE",IFERROR(AM252*A252,""),""))</f>
        <v/>
      </c>
      <c r="AP252" s="103">
        <v>9.2100000000000009</v>
      </c>
      <c r="AQ252" s="103">
        <v>38.04</v>
      </c>
      <c r="AR252" s="103" t="s">
        <v>2300</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2743</v>
      </c>
      <c r="D253" s="327">
        <v>131.54</v>
      </c>
      <c r="E253" s="327">
        <v>126.063</v>
      </c>
      <c r="F253" s="260">
        <f t="shared" si="52"/>
        <v>107.90812141099261</v>
      </c>
      <c r="G253" s="260">
        <f>IFERROR(ROUNDUP(F253*'Customer Base'!$J$5,2),0)</f>
        <v>1726.53</v>
      </c>
      <c r="H253" s="260">
        <f t="shared" si="53"/>
        <v>103.41509433962264</v>
      </c>
      <c r="I253" s="260">
        <f>IFERROR(ROUNDUP(H253*'Customer Base'!$J$5,2),0)</f>
        <v>1654.65</v>
      </c>
      <c r="J253" s="103" t="str">
        <f t="shared" si="40"/>
        <v/>
      </c>
      <c r="L253" s="103" t="str">
        <f t="shared" si="41"/>
        <v/>
      </c>
      <c r="N253" s="103">
        <v>252</v>
      </c>
      <c r="O253" s="103" t="str">
        <f>IF('Customer Base'!$I$15="MANUAL",IF(B253&lt;&gt;"",C253,""),IF('Customer Base'!$I$15="AUTOMATE",IF(A253&lt;&gt;"",C253,""),""))</f>
        <v/>
      </c>
      <c r="AM253" s="103">
        <v>0.30499999999999999</v>
      </c>
      <c r="AN253" s="103" t="s">
        <v>2307</v>
      </c>
      <c r="AO253" s="103" t="str">
        <f>IF('Customer Base'!$I$15="MANUAL",IFERROR(AM253*B253,""),IF('Customer Base'!$I$15="AUTOMATE",IFERROR(AM253*A253,""),""))</f>
        <v/>
      </c>
      <c r="AP253" s="103">
        <v>10.27</v>
      </c>
      <c r="AQ253" s="103">
        <v>39.86</v>
      </c>
      <c r="AR253" s="103" t="s">
        <v>2300</v>
      </c>
    </row>
    <row r="254" spans="1:48">
      <c r="A254" s="103" t="str">
        <f>IFERROR(IF(AND('Customer Base'!D$7&lt;&gt;"Backup",'Customer Base'!D$26=330,'Customer Base'!D$25="Victron"),ROUNDUP('Customer Base'!D$27/AM254,0),""),"")</f>
        <v/>
      </c>
      <c r="B254" s="270" t="s">
        <v>1</v>
      </c>
      <c r="C254" s="259" t="s">
        <v>2742</v>
      </c>
      <c r="D254" s="327">
        <v>129.78</v>
      </c>
      <c r="E254" s="327">
        <v>124.373</v>
      </c>
      <c r="F254" s="260">
        <f t="shared" si="52"/>
        <v>106.46431501230516</v>
      </c>
      <c r="G254" s="260">
        <f>IFERROR(ROUNDUP(F254*'Customer Base'!$J$5,2),0)</f>
        <v>1703.43</v>
      </c>
      <c r="H254" s="260">
        <f t="shared" si="53"/>
        <v>102.0287120590648</v>
      </c>
      <c r="I254" s="260">
        <f>IFERROR(ROUNDUP(H254*'Customer Base'!$J$5,2),0)</f>
        <v>1632.46</v>
      </c>
      <c r="J254" s="103" t="str">
        <f t="shared" si="40"/>
        <v/>
      </c>
      <c r="L254" s="103" t="str">
        <f t="shared" si="41"/>
        <v/>
      </c>
      <c r="N254" s="103">
        <v>253</v>
      </c>
      <c r="O254" s="103" t="str">
        <f>IF('Customer Base'!$I$15="MANUAL",IF(B254&lt;&gt;"",C254,""),IF('Customer Base'!$I$15="AUTOMATE",IF(A254&lt;&gt;"",C254,""),""))</f>
        <v/>
      </c>
      <c r="AM254" s="103">
        <v>0.33</v>
      </c>
      <c r="AN254" s="103" t="s">
        <v>2745</v>
      </c>
      <c r="AO254" s="103" t="str">
        <f>IF('Customer Base'!$I$15="MANUAL",IFERROR(AM254*B254,""),IF('Customer Base'!$I$15="AUTOMATE",IFERROR(AM254*A254,""),""))</f>
        <v/>
      </c>
      <c r="AP254" s="103">
        <v>9.57</v>
      </c>
      <c r="AQ254" s="103">
        <v>44.72</v>
      </c>
      <c r="AR254" s="103" t="s">
        <v>2300</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1886</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829.67</v>
      </c>
      <c r="H257" s="238">
        <f t="shared" si="53"/>
        <v>48.839212469237076</v>
      </c>
      <c r="I257" s="238">
        <f>IFERROR(ROUNDUP(H257*'Customer Base'!$J$5,2),0)</f>
        <v>781.43</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889</v>
      </c>
      <c r="H258" s="238">
        <f t="shared" si="53"/>
        <v>52.334372436423294</v>
      </c>
      <c r="I258" s="238">
        <f>IFERROR(ROUNDUP(H258*'Customer Base'!$J$5,2),0)</f>
        <v>837.35</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1042.96</v>
      </c>
      <c r="H259" s="238">
        <f t="shared" si="53"/>
        <v>61.397867104183746</v>
      </c>
      <c r="I259" s="238">
        <f>IFERROR(ROUNDUP(H259*'Customer Base'!$J$5,2),0)</f>
        <v>982.37</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1</v>
      </c>
      <c r="B260" s="270" t="s">
        <v>1</v>
      </c>
      <c r="C260" s="237" t="s">
        <v>1675</v>
      </c>
      <c r="D260" s="267">
        <v>90.3</v>
      </c>
      <c r="E260" s="267">
        <v>85.05</v>
      </c>
      <c r="F260" s="238">
        <f t="shared" si="52"/>
        <v>74.077112387202618</v>
      </c>
      <c r="G260" s="238">
        <f>IFERROR(ROUNDUP(F260*'Customer Base'!$J$5,2),0)</f>
        <v>1185.24</v>
      </c>
      <c r="H260" s="238">
        <f t="shared" si="53"/>
        <v>69.770303527481531</v>
      </c>
      <c r="I260" s="238">
        <f>IFERROR(ROUNDUP(H260*'Customer Base'!$J$5,2),0)</f>
        <v>1116.33</v>
      </c>
      <c r="J260" s="103" t="str">
        <f t="shared" si="40"/>
        <v/>
      </c>
      <c r="L260" s="103" t="str">
        <f t="shared" si="41"/>
        <v/>
      </c>
      <c r="N260" s="103">
        <v>260</v>
      </c>
      <c r="O260" s="103" t="str">
        <f ca="1">IF('Customer Base'!$I$15="MANUAL",IF(B260&lt;&gt;"",C260,""),IF('Customer Base'!$I$15="AUTOMATE",IF(A260&lt;&gt;"",C260,""),""))</f>
        <v>Victron SmartSolar MPPT 100/20 up to 48V</v>
      </c>
      <c r="AO260" s="103">
        <f ca="1">IF('Customer Base'!$I$15="MANUAL",IFERROR(AM260*B260,""),IF('Customer Base'!$I$15="AUTOMATE",IFERROR(AM260*A260,""),""))</f>
        <v>0</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1706.72</v>
      </c>
      <c r="H261" s="238">
        <f t="shared" si="53"/>
        <v>100.4692370795734</v>
      </c>
      <c r="I261" s="238">
        <f>IFERROR(ROUNDUP(H261*'Customer Base'!$J$5,2),0)</f>
        <v>1607.51</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2453.5600000000004</v>
      </c>
      <c r="H262" s="238">
        <f t="shared" si="53"/>
        <v>144.43117309269891</v>
      </c>
      <c r="I262" s="238">
        <f>IFERROR(ROUNDUP(H262*'Customer Base'!$J$5,2),0)</f>
        <v>2310.9</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2453.5600000000004</v>
      </c>
      <c r="H263" s="238">
        <f t="shared" si="53"/>
        <v>144.43117309269891</v>
      </c>
      <c r="I263" s="238">
        <f>IFERROR(ROUNDUP(H263*'Customer Base'!$J$5,2),0)</f>
        <v>2310.9</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2903.76</v>
      </c>
      <c r="H264" s="238">
        <f t="shared" si="53"/>
        <v>170.93027071369974</v>
      </c>
      <c r="I264" s="238">
        <f>IFERROR(ROUNDUP(H264*'Customer Base'!$J$5,2),0)</f>
        <v>2734.8900000000003</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4657.8600000000006</v>
      </c>
      <c r="H265" s="238">
        <f t="shared" si="53"/>
        <v>274.1906480721903</v>
      </c>
      <c r="I265" s="238">
        <f>IFERROR(ROUNDUP(H265*'Customer Base'!$J$5,2),0)</f>
        <v>4387.0600000000004</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2740</v>
      </c>
      <c r="D266" s="267">
        <v>354.87</v>
      </c>
      <c r="E266" s="267">
        <v>334.238</v>
      </c>
      <c r="F266" s="238">
        <f t="shared" si="52"/>
        <v>291.11566858080391</v>
      </c>
      <c r="G266" s="238">
        <f>IFERROR(ROUNDUP(F266*'Customer Base'!$J$5,2),0)</f>
        <v>4657.8600000000006</v>
      </c>
      <c r="H266" s="238">
        <f t="shared" si="53"/>
        <v>274.19031993437244</v>
      </c>
      <c r="I266" s="238">
        <f>IFERROR(ROUNDUP(H266*'Customer Base'!$J$5,2),0)</f>
        <v>4387.05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5084.5700000000006</v>
      </c>
      <c r="H267" s="238">
        <f t="shared" si="53"/>
        <v>299.30795734208368</v>
      </c>
      <c r="I267" s="238">
        <f>IFERROR(ROUNDUP(H267*'Customer Base'!$J$5,2),0)</f>
        <v>4788.93</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5498.1500000000005</v>
      </c>
      <c r="H268" s="238">
        <f t="shared" si="53"/>
        <v>324.42526661197701</v>
      </c>
      <c r="I268" s="238">
        <f>IFERROR(ROUNDUP(H268*'Customer Base'!$J$5,2),0)</f>
        <v>5190.8100000000004</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5498.1500000000005</v>
      </c>
      <c r="H269" s="238">
        <f t="shared" si="53"/>
        <v>324.42165709598032</v>
      </c>
      <c r="I269" s="238">
        <f>IFERROR(ROUNDUP(H269*'Customer Base'!$J$5,2),0)</f>
        <v>5190.75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6020.9400000000005</v>
      </c>
      <c r="H270" s="238">
        <f t="shared" si="53"/>
        <v>354.43314191960621</v>
      </c>
      <c r="I270" s="238">
        <f>IFERROR(ROUNDUP(H270*'Customer Base'!$J$5,2),0)</f>
        <v>5670.9400000000005</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6151.54</v>
      </c>
      <c r="H271" s="238">
        <f t="shared" si="53"/>
        <v>362.11452009844129</v>
      </c>
      <c r="I271" s="238">
        <f>IFERROR(ROUNDUP(H271*'Customer Base'!$J$5,2),0)</f>
        <v>5793.84</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6862.68</v>
      </c>
      <c r="H272" s="238">
        <f t="shared" si="53"/>
        <v>403.97670221493024</v>
      </c>
      <c r="I272" s="238">
        <f>IFERROR(ROUNDUP(H272*'Customer Base'!$J$5,2),0)</f>
        <v>6463.63</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6992.88</v>
      </c>
      <c r="H273" s="238">
        <f t="shared" si="53"/>
        <v>411.64479081214108</v>
      </c>
      <c r="I273" s="238">
        <f>IFERROR(ROUNDUP(H273*'Customer Base'!$J$5,2),0)</f>
        <v>6586.3200000000006</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5511.2800000000007</v>
      </c>
      <c r="H274" s="238">
        <f t="shared" si="53"/>
        <v>324.42526661197701</v>
      </c>
      <c r="I274" s="238">
        <f>IFERROR(ROUNDUP(H274*'Customer Base'!$J$5,2),0)</f>
        <v>5190.8100000000004</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2741</v>
      </c>
      <c r="D275" s="267">
        <v>419.89</v>
      </c>
      <c r="E275" s="267">
        <v>395.47399999999999</v>
      </c>
      <c r="F275" s="238">
        <f t="shared" si="52"/>
        <v>344.45447087776864</v>
      </c>
      <c r="G275" s="238">
        <f>IFERROR(ROUNDUP(F275*'Customer Base'!$J$5,2),0)</f>
        <v>5511.2800000000007</v>
      </c>
      <c r="H275" s="238">
        <f t="shared" si="53"/>
        <v>324.42493847415909</v>
      </c>
      <c r="I275" s="238">
        <f>IFERROR(ROUNDUP(H275*'Customer Base'!$J$5,2),0)</f>
        <v>5190.8</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6352.75</v>
      </c>
      <c r="H276" s="238">
        <f t="shared" si="53"/>
        <v>373.96882690730104</v>
      </c>
      <c r="I276" s="238">
        <f>IFERROR(ROUNDUP(H276*'Customer Base'!$J$5,2),0)</f>
        <v>5983.51</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6779.59</v>
      </c>
      <c r="H277" s="238">
        <f t="shared" si="53"/>
        <v>399.08613617719436</v>
      </c>
      <c r="I277" s="238">
        <f>IFERROR(ROUNDUP(H277*'Customer Base'!$J$5,2),0)</f>
        <v>6385.38</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6779.59</v>
      </c>
      <c r="H278" s="238">
        <f t="shared" si="53"/>
        <v>399.08941755537325</v>
      </c>
      <c r="I278" s="238">
        <f>IFERROR(ROUNDUP(H278*'Customer Base'!$J$5,2),0)</f>
        <v>6385.4400000000005</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7289.26</v>
      </c>
      <c r="H279" s="238">
        <f t="shared" si="53"/>
        <v>429.09401148482362</v>
      </c>
      <c r="I279" s="238">
        <f>IFERROR(ROUNDUP(H279*'Customer Base'!$J$5,2),0)</f>
        <v>6865.51</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7419.59</v>
      </c>
      <c r="H280" s="238">
        <f t="shared" si="53"/>
        <v>436.76210008203441</v>
      </c>
      <c r="I280" s="238">
        <f>IFERROR(ROUNDUP(H280*'Customer Base'!$J$5,2),0)</f>
        <v>6988.2</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3</v>
      </c>
      <c r="B281" s="270" t="s">
        <v>1</v>
      </c>
      <c r="C281" s="237" t="s">
        <v>876</v>
      </c>
      <c r="D281" s="267">
        <v>619.46</v>
      </c>
      <c r="E281" s="267">
        <v>583.44299999999998</v>
      </c>
      <c r="F281" s="238">
        <f t="shared" si="52"/>
        <v>508.17063166529942</v>
      </c>
      <c r="G281" s="238">
        <f>IFERROR(ROUNDUP(F281*'Customer Base'!$J$5,2),0)</f>
        <v>8130.74</v>
      </c>
      <c r="H281" s="238">
        <f t="shared" si="53"/>
        <v>478.62428219852336</v>
      </c>
      <c r="I281" s="238">
        <f>IFERROR(ROUNDUP(H281*'Customer Base'!$J$5,2),0)</f>
        <v>7657.99</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8260.94</v>
      </c>
      <c r="H282" s="238">
        <f t="shared" si="53"/>
        <v>486.29237079573414</v>
      </c>
      <c r="I282" s="238">
        <f>IFERROR(ROUNDUP(H282*'Customer Base'!$J$5,2),0)</f>
        <v>7780.68</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14708.59</v>
      </c>
      <c r="H283" s="238">
        <f t="shared" si="53"/>
        <v>865.84249384741588</v>
      </c>
      <c r="I283" s="238">
        <f>IFERROR(ROUNDUP(H283*'Customer Base'!$J$5,2),0)</f>
        <v>13853.48</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25755.019999999997</v>
      </c>
      <c r="H284" s="238">
        <f t="shared" si="53"/>
        <v>1516.1017227235436</v>
      </c>
      <c r="I284" s="238">
        <f>IFERROR(ROUNDUP(H284*'Customer Base'!$J$5,2),0)</f>
        <v>24257.629999999997</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426.71999999999997</v>
      </c>
      <c r="H286" s="245">
        <f t="shared" si="53"/>
        <v>25.117309269893351</v>
      </c>
      <c r="I286" s="245">
        <f>IFERROR(ROUNDUP(H286*'Customer Base'!$J$5,2),0)</f>
        <v>401.88</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308.19</v>
      </c>
      <c r="H287" s="245">
        <f t="shared" si="53"/>
        <v>18.140278917145199</v>
      </c>
      <c r="I287" s="245">
        <f>IFERROR(ROUNDUP(H287*'Customer Base'!$J$5,2),0)</f>
        <v>290.25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308.19</v>
      </c>
      <c r="H288" s="245">
        <f t="shared" si="53"/>
        <v>18.140278917145199</v>
      </c>
      <c r="I288" s="245">
        <f>IFERROR(ROUNDUP(H288*'Customer Base'!$J$5,2),0)</f>
        <v>290.25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308.19</v>
      </c>
      <c r="H289" s="245">
        <f t="shared" si="53"/>
        <v>18.140278917145199</v>
      </c>
      <c r="I289" s="245">
        <f>IFERROR(ROUNDUP(H289*'Customer Base'!$J$5,2),0)</f>
        <v>290.25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1891</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1469.67</v>
      </c>
      <c r="H292" s="249">
        <f t="shared" si="61"/>
        <v>86.515176374077114</v>
      </c>
      <c r="I292" s="249">
        <f>IFERROR(ROUNDUP(H292*'Customer Base'!$J$5,2),0)</f>
        <v>1384.25</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1469.67</v>
      </c>
      <c r="H293" s="249">
        <f t="shared" si="61"/>
        <v>86.515176374077114</v>
      </c>
      <c r="I293" s="249">
        <f>IFERROR(ROUNDUP(H293*'Customer Base'!$J$5,2),0)</f>
        <v>1384.25</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1825.24</v>
      </c>
      <c r="H294" s="249">
        <f t="shared" si="61"/>
        <v>107.44626743232158</v>
      </c>
      <c r="I294" s="249">
        <f>IFERROR(ROUNDUP(H294*'Customer Base'!$J$5,2),0)</f>
        <v>1719.15</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1825.24</v>
      </c>
      <c r="H295" s="249">
        <f t="shared" si="61"/>
        <v>107.44626743232158</v>
      </c>
      <c r="I295" s="249">
        <f>IFERROR(ROUNDUP(H295*'Customer Base'!$J$5,2),0)</f>
        <v>1719.15</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2109.67</v>
      </c>
      <c r="H296" s="249">
        <f t="shared" si="61"/>
        <v>124.19114027891715</v>
      </c>
      <c r="I296" s="249">
        <f>IFERROR(ROUNDUP(H296*'Customer Base'!$J$5,2),0)</f>
        <v>1987.06</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3650.4700000000003</v>
      </c>
      <c r="H298" s="261">
        <f t="shared" si="61"/>
        <v>214.89253486464315</v>
      </c>
      <c r="I298" s="249">
        <f>IFERROR(ROUNDUP(H298*'Customer Base'!$J$5,2),0)</f>
        <v>3438.2900000000004</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2728</v>
      </c>
      <c r="D299" s="329">
        <v>320.57</v>
      </c>
      <c r="E299" s="329">
        <v>301.93599999999998</v>
      </c>
      <c r="F299" s="261">
        <f t="shared" si="60"/>
        <v>262.97785069729287</v>
      </c>
      <c r="G299" s="249">
        <f>IFERROR(ROUNDUP(F299*'Customer Base'!$J$5,2),0)</f>
        <v>4207.6500000000005</v>
      </c>
      <c r="H299" s="261">
        <f t="shared" si="61"/>
        <v>247.69155045118947</v>
      </c>
      <c r="I299" s="249">
        <f>IFERROR(ROUNDUP(H299*'Customer Base'!$J$5,2),0)</f>
        <v>3963.07</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2729</v>
      </c>
      <c r="D300" s="329">
        <v>220.33</v>
      </c>
      <c r="E300" s="329">
        <v>207.52199999999999</v>
      </c>
      <c r="F300" s="261">
        <f t="shared" si="60"/>
        <v>180.74651353568498</v>
      </c>
      <c r="G300" s="249">
        <f>IFERROR(ROUNDUP(F300*'Customer Base'!$J$5,2),0)</f>
        <v>2891.9500000000003</v>
      </c>
      <c r="H300" s="261">
        <f t="shared" si="61"/>
        <v>170.23954060705495</v>
      </c>
      <c r="I300" s="249">
        <f>IFERROR(ROUNDUP(H300*'Customer Base'!$J$5,2),0)</f>
        <v>2723.84</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2831</v>
      </c>
      <c r="D301" s="329">
        <v>210.08</v>
      </c>
      <c r="E301" s="329">
        <v>208.32</v>
      </c>
      <c r="F301" s="261">
        <f t="shared" si="60"/>
        <v>172.33798195242002</v>
      </c>
      <c r="G301" s="249">
        <f>IFERROR(ROUNDUP(F301*'Customer Base'!$J$5,2),0)</f>
        <v>2757.4100000000003</v>
      </c>
      <c r="H301" s="261">
        <f t="shared" si="61"/>
        <v>170.89417555373254</v>
      </c>
      <c r="I301" s="249">
        <f>IFERROR(ROUNDUP(H301*'Customer Base'!$J$5,2),0)</f>
        <v>2734.3100000000004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201.35</v>
      </c>
      <c r="H302" s="261">
        <f t="shared" si="61"/>
        <v>11.85430680885972</v>
      </c>
      <c r="I302" s="249">
        <f>IFERROR(ROUNDUP(H302*'Customer Base'!$J$5,2),0)</f>
        <v>189.67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272.75</v>
      </c>
      <c r="H303" s="261">
        <f t="shared" si="61"/>
        <v>16.054142739950777</v>
      </c>
      <c r="I303" s="249">
        <f>IFERROR(ROUNDUP(H303*'Customer Base'!$J$5,2),0)</f>
        <v>256.87</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2730</v>
      </c>
      <c r="D304" s="329">
        <v>17.170000000000002</v>
      </c>
      <c r="E304" s="329">
        <v>16.167999999999999</v>
      </c>
      <c r="F304" s="261">
        <f t="shared" si="60"/>
        <v>14.085315832649714</v>
      </c>
      <c r="G304" s="249">
        <f>IFERROR(ROUNDUP(F304*'Customer Base'!$J$5,2),0)</f>
        <v>225.37</v>
      </c>
      <c r="H304" s="261">
        <f t="shared" si="61"/>
        <v>13.263330598851516</v>
      </c>
      <c r="I304" s="249">
        <f>IFERROR(ROUNDUP(H304*'Customer Base'!$J$5,2),0)</f>
        <v>212.22</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1546</v>
      </c>
      <c r="D305" s="329">
        <v>438.86</v>
      </c>
      <c r="E305" s="329">
        <v>413.34300000000002</v>
      </c>
      <c r="F305" s="261">
        <f t="shared" si="60"/>
        <v>360.01640689089419</v>
      </c>
      <c r="G305" s="249">
        <f>IFERROR(ROUNDUP(F305*'Customer Base'!$J$5,2),0)</f>
        <v>5760.27</v>
      </c>
      <c r="H305" s="261">
        <f t="shared" si="61"/>
        <v>339.0836751435603</v>
      </c>
      <c r="I305" s="249">
        <f>IFERROR(ROUNDUP(H305*'Customer Base'!$J$5,2),0)</f>
        <v>5425.34</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2731</v>
      </c>
      <c r="D306" s="329">
        <v>570.70000000000005</v>
      </c>
      <c r="E306" s="329">
        <v>537.51599999999996</v>
      </c>
      <c r="F306" s="261">
        <f t="shared" si="60"/>
        <v>468.17063166529942</v>
      </c>
      <c r="G306" s="249">
        <f>IFERROR(ROUNDUP(F306*'Customer Base'!$J$5,2),0)</f>
        <v>7490.74</v>
      </c>
      <c r="H306" s="261">
        <f t="shared" si="61"/>
        <v>440.94831829368331</v>
      </c>
      <c r="I306" s="249">
        <f>IFERROR(ROUNDUP(H306*'Customer Base'!$J$5,2),0)</f>
        <v>7055.18</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3259.46</v>
      </c>
      <c r="H307" s="261">
        <f t="shared" si="61"/>
        <v>191.87530762920423</v>
      </c>
      <c r="I307" s="249">
        <f>IFERROR(ROUNDUP(H307*'Customer Base'!$J$5,2),0)</f>
        <v>3070.01</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296.25</v>
      </c>
      <c r="H308" s="261">
        <f t="shared" si="61"/>
        <v>17.435602953240362</v>
      </c>
      <c r="I308" s="249">
        <f>IFERROR(ROUNDUP(H308*'Customer Base'!$J$5,2),0)</f>
        <v>278.96999999999997</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2732</v>
      </c>
      <c r="D309" s="329">
        <v>134.54</v>
      </c>
      <c r="E309" s="329">
        <v>126.71599999999999</v>
      </c>
      <c r="F309" s="261">
        <f t="shared" si="60"/>
        <v>110.36915504511893</v>
      </c>
      <c r="G309" s="249">
        <f>IFERROR(ROUNDUP(F309*'Customer Base'!$J$5,2),0)</f>
        <v>1765.91</v>
      </c>
      <c r="H309" s="261">
        <f t="shared" si="61"/>
        <v>103.95077932731746</v>
      </c>
      <c r="I309" s="249">
        <f>IFERROR(ROUNDUP(H309*'Customer Base'!$J$5,2),0)</f>
        <v>1663.22</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471.34</v>
      </c>
      <c r="H310" s="261">
        <f t="shared" si="61"/>
        <v>26.512715340442988</v>
      </c>
      <c r="I310" s="249">
        <f>IFERROR(ROUNDUP(H310*'Customer Base'!$J$5,2),0)</f>
        <v>424.21</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1622</v>
      </c>
      <c r="D311" s="329">
        <v>24.57</v>
      </c>
      <c r="E311" s="329">
        <v>22.113</v>
      </c>
      <c r="F311" s="261">
        <f t="shared" ref="F311:F376" si="62">$D311/1.219</f>
        <v>20.155865463494667</v>
      </c>
      <c r="G311" s="249">
        <f>IFERROR(ROUNDUP(F311*'Customer Base'!$J$5,2),0)</f>
        <v>322.5</v>
      </c>
      <c r="H311" s="261">
        <f t="shared" ref="H311:H376" si="63">$E311/1.219</f>
        <v>18.140278917145199</v>
      </c>
      <c r="I311" s="249">
        <f>IFERROR(ROUNDUP(H311*'Customer Base'!$J$5,2),0)</f>
        <v>290.25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520.96</v>
      </c>
      <c r="H312" s="261">
        <f t="shared" si="63"/>
        <v>29.303527481542243</v>
      </c>
      <c r="I312" s="249">
        <f>IFERROR(ROUNDUP(H312*'Customer Base'!$J$5,2),0)</f>
        <v>468.86</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2734</v>
      </c>
      <c r="D314" s="326">
        <v>173.38</v>
      </c>
      <c r="E314" s="326">
        <v>163.29599999999999</v>
      </c>
      <c r="F314" s="258">
        <f t="shared" si="62"/>
        <v>142.23133716160785</v>
      </c>
      <c r="G314" s="245">
        <f>IFERROR(ROUNDUP(F314*'Customer Base'!$J$5,2),0)</f>
        <v>2275.71</v>
      </c>
      <c r="H314" s="258">
        <f t="shared" si="63"/>
        <v>133.95898277276456</v>
      </c>
      <c r="I314" s="245">
        <f>IFERROR(ROUNDUP(H314*'Customer Base'!$J$5,2),0)</f>
        <v>2143.3500000000004</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746.85</v>
      </c>
      <c r="H315" s="258">
        <f t="shared" si="63"/>
        <v>43.962264150943398</v>
      </c>
      <c r="I315" s="245">
        <f>IFERROR(ROUNDUP(H315*'Customer Base'!$J$5,2),0)</f>
        <v>703.4</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1315.71</v>
      </c>
      <c r="H316" s="258">
        <f t="shared" si="63"/>
        <v>77.452009844134537</v>
      </c>
      <c r="I316" s="245">
        <f>IFERROR(ROUNDUP(H316*'Customer Base'!$J$5,2),0)</f>
        <v>1239.24</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2733</v>
      </c>
      <c r="D317" s="326">
        <v>133.63999999999999</v>
      </c>
      <c r="E317" s="326">
        <v>125.874</v>
      </c>
      <c r="F317" s="258">
        <f t="shared" si="62"/>
        <v>109.63084495488103</v>
      </c>
      <c r="G317" s="245">
        <f>IFERROR(ROUNDUP(F317*'Customer Base'!$J$5,2),0)</f>
        <v>1754.1</v>
      </c>
      <c r="H317" s="258">
        <f t="shared" si="63"/>
        <v>103.26004922067267</v>
      </c>
      <c r="I317" s="245">
        <f>IFERROR(ROUNDUP(H317*'Customer Base'!$J$5,2),0)</f>
        <v>1652.17</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1920.14</v>
      </c>
      <c r="H318" s="258">
        <f t="shared" si="63"/>
        <v>113.02789171452009</v>
      </c>
      <c r="I318" s="245">
        <f>IFERROR(ROUNDUP(H318*'Customer Base'!$J$5,2),0)</f>
        <v>1808.45</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1892</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2145.11</v>
      </c>
      <c r="H321" s="238">
        <f t="shared" si="63"/>
        <v>126.27727645611155</v>
      </c>
      <c r="I321" s="238">
        <f>IFERROR(ROUNDUP(H321*'Customer Base'!$J$5,2),0)</f>
        <v>2020.44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f>IF(AND('Customer Base'!D$19="Lithium",SUMPRODUCT(A$6:A$132,AW$6:AW$132)&gt;600,SUMPRODUCT(A$6:A$132,AW$6:AW$132)&lt;=1000),1,IF(SUMPRODUCT(A$6:A$132,AW$6:AW$132)&gt;1000,ROUNDUP(SUMPRODUCT(A$6:A$132,AW$6:AW$132)/1000,0),""))</f>
        <v>1</v>
      </c>
      <c r="B322" s="270">
        <v>2</v>
      </c>
      <c r="C322" s="237" t="s">
        <v>2753</v>
      </c>
      <c r="D322" s="267">
        <v>223.94</v>
      </c>
      <c r="E322" s="267">
        <v>210.92400000000001</v>
      </c>
      <c r="F322" s="238">
        <f t="shared" si="62"/>
        <v>183.70795734208366</v>
      </c>
      <c r="G322" s="238">
        <f>IFERROR(ROUNDUP(F322*'Customer Base'!$J$5,2),0)</f>
        <v>2939.3300000000004</v>
      </c>
      <c r="H322" s="238">
        <f t="shared" si="63"/>
        <v>173.03035274815423</v>
      </c>
      <c r="I322" s="238">
        <f>IFERROR(ROUNDUP(H322*'Customer Base'!$J$5,2),0)</f>
        <v>2768.4900000000002</v>
      </c>
      <c r="J322" s="103" t="str">
        <f t="shared" si="57"/>
        <v/>
      </c>
      <c r="L322" s="103" t="str">
        <f t="shared" si="58"/>
        <v/>
      </c>
      <c r="N322" s="103">
        <v>331</v>
      </c>
      <c r="O322" s="103" t="str">
        <f>IF('Customer Base'!$I$15="MANUAL",IF(B322&lt;&gt;"",C322,""),IF('Customer Base'!$I$15="AUTOMATE",IF(A322&lt;&gt;"",C322,""),""))</f>
        <v>Victron Lynx Distributor (M10)</v>
      </c>
      <c r="AO322" s="103">
        <f>IF('Customer Base'!$I$15="MANUAL",IFERROR(AM322*B322,""),IF('Customer Base'!$I$15="AUTOMATE",IFERROR(AM322*A322,""),""))</f>
        <v>0</v>
      </c>
      <c r="AV322" s="103">
        <f t="shared" si="59"/>
        <v>0</v>
      </c>
    </row>
    <row r="323" spans="1:48">
      <c r="A323" s="103" t="str">
        <f>IF(AND('Customer Base'!D$19="Lithium",SUMPRODUCT(A$6:A$132,AW$6:AW$132)&gt;0,SUMPRODUCT(A$6:A$132,AW$6:AW$132)&lt;=150),2,"")</f>
        <v/>
      </c>
      <c r="B323" s="270" t="s">
        <v>1</v>
      </c>
      <c r="C323" s="237" t="s">
        <v>2754</v>
      </c>
      <c r="D323" s="267">
        <v>18.95</v>
      </c>
      <c r="E323" s="267">
        <v>17.852</v>
      </c>
      <c r="F323" s="238">
        <f t="shared" si="62"/>
        <v>15.545529122231336</v>
      </c>
      <c r="G323" s="238">
        <f>IFERROR(ROUNDUP(F323*'Customer Base'!$J$5,2),0)</f>
        <v>248.73</v>
      </c>
      <c r="H323" s="238">
        <f t="shared" si="63"/>
        <v>14.644790812141098</v>
      </c>
      <c r="I323" s="238">
        <f>IFERROR(ROUNDUP(H323*'Customer Base'!$J$5,2),0)</f>
        <v>234.32</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2755</v>
      </c>
      <c r="D324" s="267">
        <v>28.896000000000001</v>
      </c>
      <c r="E324" s="267">
        <v>27.216000000000001</v>
      </c>
      <c r="F324" s="238">
        <f t="shared" si="62"/>
        <v>23.70467596390484</v>
      </c>
      <c r="G324" s="238">
        <f>IFERROR(ROUNDUP(F324*'Customer Base'!$J$5,2),0)</f>
        <v>379.28</v>
      </c>
      <c r="H324" s="238">
        <f t="shared" si="63"/>
        <v>22.326497128794092</v>
      </c>
      <c r="I324" s="238">
        <f>IFERROR(ROUNDUP(H324*'Customer Base'!$J$5,2),0)</f>
        <v>357.23</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2756</v>
      </c>
      <c r="D325" s="267">
        <v>18.95</v>
      </c>
      <c r="E325" s="267">
        <v>17.852</v>
      </c>
      <c r="F325" s="238">
        <f t="shared" si="62"/>
        <v>15.545529122231336</v>
      </c>
      <c r="G325" s="238">
        <f>IFERROR(ROUNDUP(F325*'Customer Base'!$J$5,2),0)</f>
        <v>248.73</v>
      </c>
      <c r="H325" s="238">
        <f t="shared" si="63"/>
        <v>14.644790812141098</v>
      </c>
      <c r="I325" s="238">
        <f>IFERROR(ROUNDUP(H325*'Customer Base'!$J$5,2),0)</f>
        <v>234.32</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367.52</v>
      </c>
      <c r="H326" s="238">
        <f t="shared" si="63"/>
        <v>21.635767022149299</v>
      </c>
      <c r="I326" s="238">
        <f>IFERROR(ROUNDUP(H326*'Customer Base'!$J$5,2),0)</f>
        <v>346.18</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2757</v>
      </c>
      <c r="D327" s="267">
        <v>44.24</v>
      </c>
      <c r="E327" s="267">
        <v>41.67</v>
      </c>
      <c r="F327" s="238">
        <f t="shared" si="62"/>
        <v>36.292042657916326</v>
      </c>
      <c r="G327" s="238">
        <f>IFERROR(ROUNDUP(F327*'Customer Base'!$J$5,2),0)</f>
        <v>580.67999999999995</v>
      </c>
      <c r="H327" s="238">
        <f t="shared" si="63"/>
        <v>34.183757178014766</v>
      </c>
      <c r="I327" s="238">
        <f>IFERROR(ROUNDUP(H327*'Customer Base'!$J$5,2),0)</f>
        <v>546.95000000000005</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2758</v>
      </c>
      <c r="D328" s="267">
        <v>50.57</v>
      </c>
      <c r="E328" s="267">
        <v>47.628</v>
      </c>
      <c r="F328" s="238">
        <f t="shared" si="62"/>
        <v>41.484823625922886</v>
      </c>
      <c r="G328" s="238">
        <f>IFERROR(ROUNDUP(F328*'Customer Base'!$J$5,2),0)</f>
        <v>663.76</v>
      </c>
      <c r="H328" s="238">
        <f t="shared" si="63"/>
        <v>39.071369975389658</v>
      </c>
      <c r="I328" s="238">
        <f>IFERROR(ROUNDUP(H328*'Customer Base'!$J$5,2),0)</f>
        <v>625.15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2759</v>
      </c>
      <c r="D329" s="267">
        <v>57.79</v>
      </c>
      <c r="E329" s="267">
        <v>54.432000000000002</v>
      </c>
      <c r="F329" s="238">
        <f t="shared" si="62"/>
        <v>47.40771123872026</v>
      </c>
      <c r="G329" s="238">
        <f>IFERROR(ROUNDUP(F329*'Customer Base'!$J$5,2),0)</f>
        <v>758.53</v>
      </c>
      <c r="H329" s="238">
        <f t="shared" si="63"/>
        <v>44.652994257588183</v>
      </c>
      <c r="I329" s="238">
        <f>IFERROR(ROUNDUP(H329*'Customer Base'!$J$5,2),0)</f>
        <v>714.45</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2760</v>
      </c>
      <c r="D330" s="267">
        <v>62.3</v>
      </c>
      <c r="E330" s="267">
        <v>58.676000000000002</v>
      </c>
      <c r="F330" s="238">
        <f t="shared" si="62"/>
        <v>51.107465135356847</v>
      </c>
      <c r="G330" s="238">
        <f>IFERROR(ROUNDUP(F330*'Customer Base'!$J$5,2),0)</f>
        <v>817.72</v>
      </c>
      <c r="H330" s="238">
        <f t="shared" si="63"/>
        <v>48.134536505332235</v>
      </c>
      <c r="I330" s="238">
        <f>IFERROR(ROUNDUP(H330*'Customer Base'!$J$5,2),0)</f>
        <v>770.16</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1730.47</v>
      </c>
      <c r="H331" s="238">
        <f t="shared" si="63"/>
        <v>101.86464315012304</v>
      </c>
      <c r="I331" s="238">
        <f>IFERROR(ROUNDUP(H331*'Customer Base'!$J$5,2),0)</f>
        <v>1629.84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2690.6000000000004</v>
      </c>
      <c r="H332" s="238">
        <f t="shared" si="63"/>
        <v>158.38556193601312</v>
      </c>
      <c r="I332" s="238">
        <f>IFERROR(ROUNDUP(H332*'Customer Base'!$J$5,2),0)</f>
        <v>2534.17</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462.42</v>
      </c>
      <c r="H333" s="238">
        <f t="shared" si="63"/>
        <v>27.217391304347821</v>
      </c>
      <c r="I333" s="238">
        <f>IFERROR(ROUNDUP(H333*'Customer Base'!$J$5,2),0)</f>
        <v>435.48</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t="str">
        <f ca="1">IFERROR(IF(AND('Customer Base'!D$13="Victron",'Customer Base'!D$7&lt;&gt;"Backup",'Client List'!$EE$474&lt;&gt;""),IF(IF('Client List'!IM474=2,'Client List'!IK474,0)+IF('Client List'!EE474=2,'Client List'!EC474,0)=0,"",IF('Client List'!IM474=2,'Client List'!IK474,0)+IF('Client List'!EE474=2,'Client List'!EC474,0)),""),"")</f>
        <v/>
      </c>
      <c r="B335" s="270">
        <v>1</v>
      </c>
      <c r="C335" s="237" t="s">
        <v>1043</v>
      </c>
      <c r="D335" s="267">
        <v>120.4</v>
      </c>
      <c r="E335" s="267">
        <v>113.4</v>
      </c>
      <c r="F335" s="238">
        <f t="shared" si="62"/>
        <v>98.769483182936838</v>
      </c>
      <c r="G335" s="238">
        <f>IFERROR(ROUNDUP(F335*'Customer Base'!$J$5,2),0)</f>
        <v>1580.32</v>
      </c>
      <c r="H335" s="238">
        <f t="shared" si="63"/>
        <v>93.027071369975388</v>
      </c>
      <c r="I335" s="238">
        <f>IFERROR(ROUNDUP(H335*'Customer Base'!$J$5,2),0)</f>
        <v>1488.44</v>
      </c>
      <c r="J335" s="103" t="str">
        <f t="shared" si="57"/>
        <v/>
      </c>
      <c r="L335" s="103" t="str">
        <f t="shared" si="58"/>
        <v/>
      </c>
      <c r="N335" s="103">
        <v>344</v>
      </c>
      <c r="O335" s="103" t="str">
        <f ca="1">IF('Customer Base'!$I$15="MANUAL",IF(B335&lt;&gt;"",C335,""),IF('Customer Base'!$I$15="AUTOMATE",IF(A335&lt;&gt;"",C335,""),""))</f>
        <v/>
      </c>
      <c r="AO335" s="103" t="str">
        <f ca="1">IF('Customer Base'!$I$15="MANUAL",IFERROR(AM335*B335,""),IF('Customer Base'!$I$15="AUTOMATE",IFERROR(AM335*A335,""),""))</f>
        <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B336" s="270" t="s">
        <v>1</v>
      </c>
      <c r="C336" s="237" t="s">
        <v>1044</v>
      </c>
      <c r="D336" s="267">
        <v>126.42</v>
      </c>
      <c r="E336" s="267">
        <v>119.07</v>
      </c>
      <c r="F336" s="238">
        <f t="shared" si="62"/>
        <v>103.70795734208367</v>
      </c>
      <c r="G336" s="238">
        <f>IFERROR(ROUNDUP(F336*'Customer Base'!$J$5,2),0)</f>
        <v>1659.33</v>
      </c>
      <c r="H336" s="238">
        <f t="shared" si="63"/>
        <v>97.678424938474151</v>
      </c>
      <c r="I336" s="238">
        <f>IFERROR(ROUNDUP(H336*'Customer Base'!$J$5,2),0)</f>
        <v>1562.86</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2144.71</v>
      </c>
      <c r="H337" s="238">
        <f t="shared" si="63"/>
        <v>126.25102543068088</v>
      </c>
      <c r="I337" s="238">
        <f>IFERROR(ROUNDUP(H337*'Customer Base'!$J$5,2),0)</f>
        <v>2020.02</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2709.11</v>
      </c>
      <c r="H338" s="238">
        <f t="shared" si="63"/>
        <v>159.47497949138636</v>
      </c>
      <c r="I338" s="238">
        <f>IFERROR(ROUNDUP(H338*'Customer Base'!$J$5,2),0)</f>
        <v>2551.6000000000004</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3160.63</v>
      </c>
      <c r="H339" s="238">
        <f t="shared" si="63"/>
        <v>186.05414273995078</v>
      </c>
      <c r="I339" s="238">
        <f>IFERROR(ROUNDUP(H339*'Customer Base'!$J$5,2),0)</f>
        <v>2976.8700000000003</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3138.05</v>
      </c>
      <c r="H340" s="238">
        <f t="shared" si="63"/>
        <v>184.72518457752255</v>
      </c>
      <c r="I340" s="238">
        <f>IFERROR(ROUNDUP(H340*'Customer Base'!$J$5,2),0)</f>
        <v>2955.61</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3070.32</v>
      </c>
      <c r="H341" s="238">
        <f t="shared" si="63"/>
        <v>180.73831009023789</v>
      </c>
      <c r="I341" s="238">
        <f>IFERROR(ROUNDUP(H341*'Customer Base'!$J$5,2),0)</f>
        <v>2891.82</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6050.34</v>
      </c>
      <c r="H342" s="238">
        <f t="shared" si="63"/>
        <v>356.16078753076289</v>
      </c>
      <c r="I342" s="238">
        <f>IFERROR(ROUNDUP(H342*'Customer Base'!$J$5,2),0)</f>
        <v>5698.58</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4515.18</v>
      </c>
      <c r="H344" s="238">
        <f t="shared" si="63"/>
        <v>265.79163248564396</v>
      </c>
      <c r="I344" s="238">
        <f>IFERROR(ROUNDUP(H344*'Customer Base'!$J$5,2),0)</f>
        <v>4252.67</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4650.6400000000003</v>
      </c>
      <c r="H345" s="238">
        <f t="shared" si="63"/>
        <v>273.76538146021329</v>
      </c>
      <c r="I345" s="238">
        <f>IFERROR(ROUNDUP(H345*'Customer Base'!$J$5,2),0)</f>
        <v>4380.25</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5169.88</v>
      </c>
      <c r="H346" s="238">
        <f t="shared" si="63"/>
        <v>304.33141919606231</v>
      </c>
      <c r="I346" s="238">
        <f>IFERROR(ROUNDUP(H346*'Customer Base'!$J$5,2),0)</f>
        <v>4869.3100000000004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6230.95</v>
      </c>
      <c r="H347" s="238">
        <f t="shared" si="63"/>
        <v>366.79245283018867</v>
      </c>
      <c r="I347" s="238">
        <f>IFERROR(ROUNDUP(H347*'Customer Base'!$J$5,2),0)</f>
        <v>5868.68</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25578.48</v>
      </c>
      <c r="H348" s="238">
        <f t="shared" si="63"/>
        <v>1505.7095980311731</v>
      </c>
      <c r="I348" s="238">
        <f>IFERROR(ROUNDUP(H348*'Customer Base'!$J$5,2),0)</f>
        <v>24091.359999999997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17654.34</v>
      </c>
      <c r="H349" s="238">
        <f t="shared" si="63"/>
        <v>1039.2452830188679</v>
      </c>
      <c r="I349" s="238">
        <f>IFERROR(ROUNDUP(H349*'Customer Base'!$J$5,2),0)</f>
        <v>16627.929999999997</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18060.71</v>
      </c>
      <c r="H350" s="238">
        <f t="shared" si="63"/>
        <v>1063.1665299425758</v>
      </c>
      <c r="I350" s="238">
        <f>IFERROR(ROUNDUP(H350*'Customer Base'!$J$5,2),0)</f>
        <v>17010.669999999998</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24539.989999999998</v>
      </c>
      <c r="H351" s="238">
        <f t="shared" si="63"/>
        <v>1444.577522559475</v>
      </c>
      <c r="I351" s="238">
        <f>IFERROR(ROUNDUP(H351*'Customer Base'!$J$5,2),0)</f>
        <v>23113.25</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24449.69</v>
      </c>
      <c r="H352" s="238">
        <f t="shared" si="63"/>
        <v>1439.261689909762</v>
      </c>
      <c r="I352" s="238">
        <f>IFERROR(ROUNDUP(H352*'Customer Base'!$J$5,2),0)</f>
        <v>23028.19</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26368.639999999999</v>
      </c>
      <c r="H353" s="238">
        <f t="shared" si="63"/>
        <v>1552.2231337161606</v>
      </c>
      <c r="I353" s="238">
        <f>IFERROR(ROUNDUP(H353*'Customer Base'!$J$5,2),0)</f>
        <v>24835.579999999998</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903.04</v>
      </c>
      <c r="H354" s="238">
        <f t="shared" si="63"/>
        <v>53.15832649712879</v>
      </c>
      <c r="I354" s="238">
        <f>IFERROR(ROUNDUP(H354*'Customer Base'!$J$5,2),0)</f>
        <v>850.54</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948.18999999999994</v>
      </c>
      <c r="H355" s="238">
        <f t="shared" si="63"/>
        <v>55.816242821985234</v>
      </c>
      <c r="I355" s="238">
        <f>IFERROR(ROUNDUP(H355*'Customer Base'!$J$5,2),0)</f>
        <v>893.06</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t="str">
        <f>IF('Customer Base'!D$9=1,1,"")</f>
        <v/>
      </c>
      <c r="B357" s="270" t="s">
        <v>1</v>
      </c>
      <c r="C357" s="237" t="s">
        <v>1029</v>
      </c>
      <c r="D357" s="267">
        <v>48.85</v>
      </c>
      <c r="E357" s="267">
        <v>46.008000000000003</v>
      </c>
      <c r="F357" s="238">
        <f t="shared" si="62"/>
        <v>40.073831009023792</v>
      </c>
      <c r="G357" s="238">
        <f>IFERROR(ROUNDUP(F357*'Customer Base'!$J$5,2),0)</f>
        <v>641.18999999999994</v>
      </c>
      <c r="H357" s="238">
        <f t="shared" si="63"/>
        <v>37.742411812961443</v>
      </c>
      <c r="I357" s="238">
        <f>IFERROR(ROUNDUP(H357*'Customer Base'!$J$5,2),0)</f>
        <v>603.88</v>
      </c>
      <c r="J357" s="103" t="str">
        <f t="shared" si="64"/>
        <v/>
      </c>
      <c r="L357" s="103" t="str">
        <f t="shared" si="65"/>
        <v/>
      </c>
      <c r="N357" s="103">
        <v>366</v>
      </c>
      <c r="O357" s="103" t="str">
        <f>IF('Customer Base'!$I$15="MANUAL",IF(B357&lt;&gt;"",C357,""),IF('Customer Base'!$I$15="AUTOMATE",IF(A357&lt;&gt;"",C357,""),""))</f>
        <v/>
      </c>
      <c r="AO357" s="103" t="str">
        <f>IF('Customer Base'!$I$15="MANUAL",IFERROR(AM357*B357,""),IF('Customer Base'!$I$15="AUTOMATE",IFERROR(AM357*A357,""),""))</f>
        <v/>
      </c>
      <c r="AV357" s="103">
        <f t="shared" si="66"/>
        <v>0</v>
      </c>
    </row>
    <row r="358" spans="1:48">
      <c r="A358" s="103">
        <f>IF('Customer Base'!D$9=3,1,"")</f>
        <v>1</v>
      </c>
      <c r="B358" s="270">
        <v>1</v>
      </c>
      <c r="C358" s="237" t="s">
        <v>1030</v>
      </c>
      <c r="D358" s="267">
        <v>92.03</v>
      </c>
      <c r="E358" s="267">
        <v>86.686000000000007</v>
      </c>
      <c r="F358" s="238">
        <f t="shared" si="62"/>
        <v>75.496308449548806</v>
      </c>
      <c r="G358" s="238">
        <f>IFERROR(ROUNDUP(F358*'Customer Base'!$J$5,2),0)</f>
        <v>1207.95</v>
      </c>
      <c r="H358" s="238">
        <f t="shared" si="63"/>
        <v>71.112387202625101</v>
      </c>
      <c r="I358" s="238">
        <f>IFERROR(ROUNDUP(H358*'Customer Base'!$J$5,2),0)</f>
        <v>1137.8</v>
      </c>
      <c r="J358" s="103" t="str">
        <f t="shared" si="64"/>
        <v/>
      </c>
      <c r="L358" s="103" t="str">
        <f t="shared" si="65"/>
        <v/>
      </c>
      <c r="N358" s="103">
        <v>367</v>
      </c>
      <c r="O358" s="103" t="str">
        <f>IF('Customer Base'!$I$15="MANUAL",IF(B358&lt;&gt;"",C358,""),IF('Customer Base'!$I$15="AUTOMATE",IF(A358&lt;&gt;"",C358,""),""))</f>
        <v>Citel AC Surge Protection Device DAC50VGS-31-275/G VAC 3-Phase</v>
      </c>
      <c r="AO358" s="103">
        <f>IF('Customer Base'!$I$15="MANUAL",IFERROR(AM358*B358,""),IF('Customer Base'!$I$15="AUTOMATE",IFERROR(AM358*A358,""),""))</f>
        <v>0</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2727</v>
      </c>
      <c r="D360" s="267">
        <v>63.86</v>
      </c>
      <c r="E360" s="267">
        <v>60.151000000000003</v>
      </c>
      <c r="F360" s="238">
        <f t="shared" si="62"/>
        <v>52.387202625102539</v>
      </c>
      <c r="G360" s="238">
        <f>IFERROR(ROUNDUP(F360*'Customer Base'!$J$5,2),0)</f>
        <v>838.2</v>
      </c>
      <c r="H360" s="238">
        <f t="shared" si="63"/>
        <v>49.344544708777683</v>
      </c>
      <c r="I360" s="238">
        <f>IFERROR(ROUNDUP(H360*'Customer Base'!$J$5,2),0)</f>
        <v>789.52</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2</v>
      </c>
      <c r="B361" s="270">
        <v>4</v>
      </c>
      <c r="C361" s="237" t="s">
        <v>946</v>
      </c>
      <c r="D361" s="267">
        <v>104.51</v>
      </c>
      <c r="E361" s="267">
        <v>98.430999999999997</v>
      </c>
      <c r="F361" s="238">
        <f t="shared" si="62"/>
        <v>85.734208367514356</v>
      </c>
      <c r="G361" s="238">
        <f>IFERROR(ROUNDUP(F361*'Customer Base'!$J$5,2),0)</f>
        <v>1371.75</v>
      </c>
      <c r="H361" s="238">
        <f t="shared" si="63"/>
        <v>80.747333880229689</v>
      </c>
      <c r="I361" s="238">
        <f>IFERROR(ROUNDUP(H361*'Customer Base'!$J$5,2),0)</f>
        <v>1291.96</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1487.26</v>
      </c>
      <c r="H362" s="238">
        <f t="shared" si="63"/>
        <v>87.552091878588996</v>
      </c>
      <c r="I362" s="238">
        <f>IFERROR(ROUNDUP(H362*'Customer Base'!$J$5,2),0)</f>
        <v>1400.84</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2726</v>
      </c>
      <c r="D363" s="267">
        <v>37.58</v>
      </c>
      <c r="E363" s="267">
        <v>35.396999999999998</v>
      </c>
      <c r="F363" s="238">
        <f t="shared" si="62"/>
        <v>30.828547990155862</v>
      </c>
      <c r="G363" s="238">
        <f>IFERROR(ROUNDUP(F363*'Customer Base'!$J$5,2),0)</f>
        <v>493.26</v>
      </c>
      <c r="H363" s="238">
        <f t="shared" si="63"/>
        <v>29.037735849056599</v>
      </c>
      <c r="I363" s="238">
        <f>IFERROR(ROUNDUP(H363*'Customer Base'!$J$5,2),0)</f>
        <v>464.61</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1894</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370</v>
      </c>
      <c r="B366" s="270">
        <v>856</v>
      </c>
      <c r="C366" s="253" t="s">
        <v>1134</v>
      </c>
      <c r="D366" s="325">
        <v>1.02</v>
      </c>
      <c r="E366" s="325">
        <v>0.93500000000000005</v>
      </c>
      <c r="F366" s="255">
        <f t="shared" si="62"/>
        <v>0.83675143560295318</v>
      </c>
      <c r="G366" s="255">
        <f>IFERROR(ROUNDUP(F366*'Customer Base'!$J$5,2),0)</f>
        <v>13.39</v>
      </c>
      <c r="H366" s="255">
        <f t="shared" si="63"/>
        <v>0.76702214930270718</v>
      </c>
      <c r="I366" s="255">
        <f>IFERROR(ROUNDUP(H366*'Customer Base'!$J$5,2),0)</f>
        <v>12.28</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17.860000000000003</v>
      </c>
      <c r="H367" s="255">
        <f t="shared" si="63"/>
        <v>1.0278917145200983</v>
      </c>
      <c r="I367" s="255">
        <f>IFERROR(ROUNDUP(H367*'Customer Base'!$J$5,2),0)</f>
        <v>16.450000000000003</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240</v>
      </c>
      <c r="B368" s="270">
        <v>66</v>
      </c>
      <c r="C368" s="253" t="s">
        <v>1136</v>
      </c>
      <c r="D368" s="325">
        <v>2.35</v>
      </c>
      <c r="E368" s="325">
        <v>2.1589999999999998</v>
      </c>
      <c r="F368" s="255">
        <f t="shared" si="62"/>
        <v>1.9278096800656275</v>
      </c>
      <c r="G368" s="255">
        <f>IFERROR(ROUNDUP(F368*'Customer Base'!$J$5,2),0)</f>
        <v>30.85</v>
      </c>
      <c r="H368" s="255">
        <f t="shared" si="63"/>
        <v>1.7711238720262508</v>
      </c>
      <c r="I368" s="255">
        <f>IFERROR(ROUNDUP(H368*'Customer Base'!$J$5,2),0)</f>
        <v>28.34</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100</v>
      </c>
      <c r="B369" s="270">
        <v>270</v>
      </c>
      <c r="C369" s="253" t="s">
        <v>1142</v>
      </c>
      <c r="D369" s="325">
        <v>4.53</v>
      </c>
      <c r="E369" s="325">
        <v>4.165</v>
      </c>
      <c r="F369" s="255">
        <f t="shared" si="62"/>
        <v>3.7161607875307627</v>
      </c>
      <c r="G369" s="255">
        <f>IFERROR(ROUNDUP(F369*'Customer Base'!$J$5,2),0)</f>
        <v>59.46</v>
      </c>
      <c r="H369" s="255">
        <f t="shared" si="63"/>
        <v>3.416735028712059</v>
      </c>
      <c r="I369" s="255">
        <f>IFERROR(ROUNDUP(H369*'Customer Base'!$J$5,2),0)</f>
        <v>54.669999999999995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20</v>
      </c>
      <c r="B370" s="270">
        <v>5</v>
      </c>
      <c r="C370" s="253" t="s">
        <v>1143</v>
      </c>
      <c r="D370" s="325">
        <v>8.25</v>
      </c>
      <c r="E370" s="325">
        <v>7.5819999999999999</v>
      </c>
      <c r="F370" s="255">
        <f t="shared" si="62"/>
        <v>6.7678424938474153</v>
      </c>
      <c r="G370" s="255">
        <f>IFERROR(ROUNDUP(F370*'Customer Base'!$J$5,2),0)</f>
        <v>108.29</v>
      </c>
      <c r="H370" s="255">
        <f t="shared" si="63"/>
        <v>6.2198523379819521</v>
      </c>
      <c r="I370" s="255">
        <f>IFERROR(ROUNDUP(H370*'Customer Base'!$J$5,2),0)</f>
        <v>99.52000000000001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167.35999999999999</v>
      </c>
      <c r="H371" s="255">
        <f t="shared" si="63"/>
        <v>9.6086956521739122</v>
      </c>
      <c r="I371" s="255">
        <f>IFERROR(ROUNDUP(H371*'Customer Base'!$J$5,2),0)</f>
        <v>153.73999999999998</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f>IF('CABLE SIZING TOOL'!I$45=50,5*'Customer Base'!D$15,"")</f>
        <v>30</v>
      </c>
      <c r="B372" s="270" t="s">
        <v>1</v>
      </c>
      <c r="C372" s="253" t="s">
        <v>1145</v>
      </c>
      <c r="D372" s="325">
        <v>23.85</v>
      </c>
      <c r="E372" s="325">
        <v>21.913</v>
      </c>
      <c r="F372" s="255">
        <f t="shared" si="62"/>
        <v>19.565217391304348</v>
      </c>
      <c r="G372" s="255">
        <f>IFERROR(ROUNDUP(F372*'Customer Base'!$J$5,2),0)</f>
        <v>313.05</v>
      </c>
      <c r="H372" s="255">
        <f t="shared" si="63"/>
        <v>17.976210008203445</v>
      </c>
      <c r="I372" s="255">
        <f>IFERROR(ROUNDUP(H372*'Customer Base'!$J$5,2),0)</f>
        <v>287.62</v>
      </c>
      <c r="J372" s="103" t="str">
        <f t="shared" si="64"/>
        <v/>
      </c>
      <c r="L372" s="103" t="str">
        <f t="shared" si="65"/>
        <v/>
      </c>
      <c r="N372" s="103">
        <v>381</v>
      </c>
      <c r="O372" s="103" t="str">
        <f>IF('Customer Base'!$I$15="MANUAL",IF(B372&lt;&gt;"",C372,""),IF('Customer Base'!$I$15="AUTOMATE",IF(A372&lt;&gt;"",C372,""),""))</f>
        <v>Hikra Sol DC Solar cable 1x50mm2 1500V H1Z2Z2</v>
      </c>
      <c r="AO372" s="103">
        <f>IF('Customer Base'!$I$15="MANUAL",IFERROR(AM372*B372,""),IF('Customer Base'!$I$15="AUTOMATE",IFERROR(AM372*A372,""),""))</f>
        <v>0</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402.17</v>
      </c>
      <c r="H373" s="255">
        <f t="shared" si="63"/>
        <v>23.09433962264151</v>
      </c>
      <c r="I373" s="255">
        <f>IFERROR(ROUNDUP(H373*'Customer Base'!$J$5,2),0)</f>
        <v>369.51</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B374" s="270">
        <v>45</v>
      </c>
      <c r="C374" s="253" t="s">
        <v>1147</v>
      </c>
      <c r="D374" s="325">
        <v>41.27</v>
      </c>
      <c r="E374" s="325">
        <v>37.927</v>
      </c>
      <c r="F374" s="255">
        <f t="shared" si="62"/>
        <v>33.855619360131257</v>
      </c>
      <c r="G374" s="255">
        <f>IFERROR(ROUNDUP(F374*'Customer Base'!$J$5,2),0)</f>
        <v>541.68999999999994</v>
      </c>
      <c r="H374" s="255">
        <f t="shared" si="63"/>
        <v>31.113207547169807</v>
      </c>
      <c r="I374" s="255">
        <f>IFERROR(ROUNDUP(H374*'Customer Base'!$J$5,2),0)</f>
        <v>497.82</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137.94999999999999</v>
      </c>
      <c r="H376" s="255">
        <f t="shared" si="63"/>
        <v>7.9212469237079572</v>
      </c>
      <c r="I376" s="255">
        <f>IFERROR(ROUNDUP(H376*'Customer Base'!$J$5,2),0)</f>
        <v>126.74000000000001</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206.47</v>
      </c>
      <c r="H377" s="255">
        <f t="shared" ref="H377:H399" si="68">$E377/1.219</f>
        <v>11.853978671041837</v>
      </c>
      <c r="I377" s="255">
        <f>IFERROR(ROUNDUP(H377*'Customer Base'!$J$5,2),0)</f>
        <v>189.67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314.49</v>
      </c>
      <c r="H378" s="255">
        <f t="shared" si="68"/>
        <v>18.059885151763741</v>
      </c>
      <c r="I378" s="255">
        <f>IFERROR(ROUNDUP(H378*'Customer Base'!$J$5,2),0)</f>
        <v>288.95999999999998</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60</v>
      </c>
      <c r="B379" s="270" t="s">
        <v>1</v>
      </c>
      <c r="C379" s="253" t="s">
        <v>1137</v>
      </c>
      <c r="D379" s="325">
        <v>25.44</v>
      </c>
      <c r="E379" s="325">
        <v>23.375</v>
      </c>
      <c r="F379" s="255">
        <f t="shared" si="67"/>
        <v>20.869565217391305</v>
      </c>
      <c r="G379" s="255">
        <f>IFERROR(ROUNDUP(F379*'Customer Base'!$J$5,2),0)</f>
        <v>333.92</v>
      </c>
      <c r="H379" s="255">
        <f t="shared" si="68"/>
        <v>19.175553732567678</v>
      </c>
      <c r="I379" s="255">
        <f>IFERROR(ROUNDUP(H379*'Customer Base'!$J$5,2),0)</f>
        <v>306.81</v>
      </c>
      <c r="J379" s="103" t="str">
        <f t="shared" si="64"/>
        <v/>
      </c>
      <c r="L379" s="103" t="str">
        <f t="shared" si="65"/>
        <v/>
      </c>
      <c r="N379" s="103">
        <v>388</v>
      </c>
      <c r="O379" s="103" t="str">
        <f>IF('Customer Base'!$I$15="MANUAL",IF(B379&lt;&gt;"",C379,""),IF('Customer Base'!$I$15="AUTOMATE",IF(A379&lt;&gt;"",C379,""),""))</f>
        <v>Top Cable AC solar cable 5x16mm2 RV-K 0.6/1KV</v>
      </c>
      <c r="AO379" s="103">
        <f>IF('Customer Base'!$I$15="MANUAL",IFERROR(AM379*B379,""),IF('Customer Base'!$I$15="AUTOMATE",IFERROR(AM379*A379,""),""))</f>
        <v>0</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0" s="270">
        <v>90</v>
      </c>
      <c r="C380" s="253" t="s">
        <v>1138</v>
      </c>
      <c r="D380" s="325">
        <v>28.68</v>
      </c>
      <c r="E380" s="325">
        <v>27.13</v>
      </c>
      <c r="F380" s="255">
        <f t="shared" si="67"/>
        <v>23.527481542247742</v>
      </c>
      <c r="G380" s="255">
        <f>IFERROR(ROUNDUP(F380*'Customer Base'!$J$5,2),0)</f>
        <v>376.44</v>
      </c>
      <c r="H380" s="255">
        <f t="shared" si="68"/>
        <v>22.255947497949137</v>
      </c>
      <c r="I380" s="255">
        <f>IFERROR(ROUNDUP(H380*'Customer Base'!$J$5,2),0)</f>
        <v>356.09999999999997</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525.03</v>
      </c>
      <c r="H381" s="255">
        <f t="shared" si="68"/>
        <v>32.813781788351108</v>
      </c>
      <c r="I381" s="255">
        <f>IFERROR(ROUNDUP(H381*'Customer Base'!$J$5,2),0)</f>
        <v>525.03</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525.03</v>
      </c>
      <c r="H382" s="255">
        <f t="shared" si="68"/>
        <v>32.813781788351108</v>
      </c>
      <c r="I382" s="255">
        <f>IFERROR(ROUNDUP(H382*'Customer Base'!$J$5,2),0)</f>
        <v>525.03</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525.03</v>
      </c>
      <c r="H383" s="255">
        <f t="shared" si="68"/>
        <v>32.813781788351108</v>
      </c>
      <c r="I383" s="255">
        <f>IFERROR(ROUNDUP(H383*'Customer Base'!$J$5,2),0)</f>
        <v>525.03</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25</v>
      </c>
      <c r="B384" s="270" t="s">
        <v>1</v>
      </c>
      <c r="C384" s="253" t="s">
        <v>1843</v>
      </c>
      <c r="D384" s="325">
        <v>42</v>
      </c>
      <c r="E384" s="325">
        <v>42</v>
      </c>
      <c r="F384" s="255">
        <f t="shared" si="67"/>
        <v>34.454470877768664</v>
      </c>
      <c r="G384" s="255">
        <f>IFERROR(ROUNDUP(F384*'Customer Base'!$J$5,2),0)</f>
        <v>551.28</v>
      </c>
      <c r="H384" s="255">
        <f t="shared" si="68"/>
        <v>34.454470877768664</v>
      </c>
      <c r="I384" s="255">
        <f>IFERROR(ROUNDUP(H384*'Customer Base'!$J$5,2),0)</f>
        <v>551.28</v>
      </c>
      <c r="J384" s="103" t="str">
        <f t="shared" si="64"/>
        <v/>
      </c>
      <c r="L384" s="103" t="str">
        <f t="shared" si="65"/>
        <v/>
      </c>
      <c r="N384" s="103">
        <v>393</v>
      </c>
      <c r="O384" s="103" t="str">
        <f>IF('Customer Base'!$I$15="MANUAL",IF(B384&lt;&gt;"",C384,""),IF('Customer Base'!$I$15="AUTOMATE",IF(A384&lt;&gt;"",C384,""),""))</f>
        <v>Top Cable AC solar cable 1x70mm2 RV-K 0.6/1KV</v>
      </c>
      <c r="AO384" s="103">
        <f>IF('Customer Base'!$I$15="MANUAL",IFERROR(AM384*B384,""),IF('Customer Base'!$I$15="AUTOMATE",IFERROR(AM384*A384,""),""))</f>
        <v>0</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639.87</v>
      </c>
      <c r="H385" s="255">
        <f t="shared" si="68"/>
        <v>39.991796554552913</v>
      </c>
      <c r="I385" s="255">
        <f>IFERROR(ROUNDUP(H385*'Customer Base'!$J$5,2),0)</f>
        <v>639.87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1276</v>
      </c>
      <c r="D386" s="325">
        <v>65.45</v>
      </c>
      <c r="E386" s="325">
        <v>65.45</v>
      </c>
      <c r="F386" s="255">
        <f t="shared" si="67"/>
        <v>53.691550451189499</v>
      </c>
      <c r="G386" s="255">
        <f>IFERROR(ROUNDUP(F386*'Customer Base'!$J$5,2),0)</f>
        <v>859.06999999999994</v>
      </c>
      <c r="H386" s="255">
        <f t="shared" si="68"/>
        <v>53.691550451189499</v>
      </c>
      <c r="I386" s="255">
        <f>IFERROR(ROUNDUP(H386*'Customer Base'!$J$5,2),0)</f>
        <v>859.06999999999994</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1796</v>
      </c>
      <c r="D387" s="325">
        <v>85</v>
      </c>
      <c r="E387" s="325">
        <v>85</v>
      </c>
      <c r="F387" s="255">
        <f t="shared" si="67"/>
        <v>69.729286300246102</v>
      </c>
      <c r="G387" s="255">
        <f>IFERROR(ROUNDUP(F387*'Customer Base'!$J$5,2),0)</f>
        <v>1115.67</v>
      </c>
      <c r="H387" s="255">
        <f t="shared" si="68"/>
        <v>69.729286300246102</v>
      </c>
      <c r="I387" s="255">
        <f>IFERROR(ROUNDUP(H387*'Customer Base'!$J$5,2),0)</f>
        <v>1115.67</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2602</v>
      </c>
      <c r="D388" s="325">
        <v>100</v>
      </c>
      <c r="E388" s="325">
        <v>100</v>
      </c>
      <c r="F388" s="255">
        <f t="shared" si="67"/>
        <v>82.034454470877762</v>
      </c>
      <c r="G388" s="255">
        <f>IFERROR(ROUNDUP(F388*'Customer Base'!$J$5,2),0)</f>
        <v>1312.56</v>
      </c>
      <c r="H388" s="255">
        <f t="shared" si="68"/>
        <v>82.034454470877762</v>
      </c>
      <c r="I388" s="255">
        <f>IFERROR(ROUNDUP(H388*'Customer Base'!$J$5,2),0)</f>
        <v>1312.56</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1633</v>
      </c>
      <c r="D389" s="325">
        <v>125</v>
      </c>
      <c r="E389" s="325">
        <v>125</v>
      </c>
      <c r="F389" s="255">
        <f t="shared" si="67"/>
        <v>102.54306808859721</v>
      </c>
      <c r="G389" s="255">
        <f>IFERROR(ROUNDUP(F389*'Customer Base'!$J$5,2),0)</f>
        <v>1640.69</v>
      </c>
      <c r="H389" s="255">
        <f t="shared" si="68"/>
        <v>102.54306808859721</v>
      </c>
      <c r="I389" s="255">
        <f>IFERROR(ROUNDUP(H389*'Customer Base'!$J$5,2),0)</f>
        <v>1640.69</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1837.58</v>
      </c>
      <c r="H390" s="255">
        <f t="shared" si="68"/>
        <v>114.84823625922887</v>
      </c>
      <c r="I390" s="255">
        <f>IFERROR(ROUNDUP(H390*'Customer Base'!$J$5,2),0)</f>
        <v>1837.58</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2603</v>
      </c>
      <c r="D391" s="325">
        <v>160</v>
      </c>
      <c r="E391" s="325">
        <v>160</v>
      </c>
      <c r="F391" s="255">
        <f t="shared" si="67"/>
        <v>131.25512715340443</v>
      </c>
      <c r="G391" s="255">
        <f>IFERROR(ROUNDUP(F391*'Customer Base'!$J$5,2),0)</f>
        <v>2100.09</v>
      </c>
      <c r="H391" s="255">
        <f t="shared" si="68"/>
        <v>131.25512715340443</v>
      </c>
      <c r="I391" s="255">
        <f>IFERROR(ROUNDUP(H391*'Customer Base'!$J$5,2),0)</f>
        <v>2100.09</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2604</v>
      </c>
      <c r="D392" s="325">
        <v>180</v>
      </c>
      <c r="E392" s="325">
        <v>180</v>
      </c>
      <c r="F392" s="255">
        <f t="shared" si="67"/>
        <v>147.66201804757998</v>
      </c>
      <c r="G392" s="255">
        <f>IFERROR(ROUNDUP(F392*'Customer Base'!$J$5,2),0)</f>
        <v>2362.6000000000004</v>
      </c>
      <c r="H392" s="255">
        <f t="shared" si="68"/>
        <v>147.66201804757998</v>
      </c>
      <c r="I392" s="255">
        <f>IFERROR(ROUNDUP(H392*'Customer Base'!$J$5,2),0)</f>
        <v>2362.6000000000004</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26.26</v>
      </c>
      <c r="H394" s="255">
        <f t="shared" si="68"/>
        <v>1.6406890894175552</v>
      </c>
      <c r="I394" s="255">
        <f>IFERROR(ROUNDUP(H394*'Customer Base'!$J$5,2),0)</f>
        <v>26.26</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1858</v>
      </c>
      <c r="D395" s="325">
        <v>2.2000000000000002</v>
      </c>
      <c r="E395" s="325">
        <v>2.2000000000000002</v>
      </c>
      <c r="F395" s="255">
        <f t="shared" si="67"/>
        <v>1.8047579983593109</v>
      </c>
      <c r="G395" s="255">
        <f>IFERROR(ROUNDUP(F395*'Customer Base'!$J$5,2),0)</f>
        <v>28.880000000000003</v>
      </c>
      <c r="H395" s="255">
        <f t="shared" si="68"/>
        <v>1.8047579983593109</v>
      </c>
      <c r="I395" s="255">
        <f>IFERROR(ROUNDUP(H395*'Customer Base'!$J$5,2),0)</f>
        <v>28.880000000000003</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145</v>
      </c>
      <c r="B396" s="270">
        <v>255</v>
      </c>
      <c r="C396" s="253" t="s">
        <v>984</v>
      </c>
      <c r="D396" s="325">
        <v>2.2000000000000002</v>
      </c>
      <c r="E396" s="325">
        <v>2.2000000000000002</v>
      </c>
      <c r="F396" s="255">
        <f t="shared" si="67"/>
        <v>1.8047579983593109</v>
      </c>
      <c r="G396" s="255">
        <f>IFERROR(ROUNDUP(F396*'Customer Base'!$J$5,2),0)</f>
        <v>28.880000000000003</v>
      </c>
      <c r="H396" s="255">
        <f t="shared" si="68"/>
        <v>1.8047579983593109</v>
      </c>
      <c r="I396" s="255">
        <f>IFERROR(ROUNDUP(H396*'Customer Base'!$J$5,2),0)</f>
        <v>28.880000000000003</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1655</v>
      </c>
      <c r="D397" s="325">
        <v>4.4000000000000004</v>
      </c>
      <c r="E397" s="325">
        <v>4.4000000000000004</v>
      </c>
      <c r="F397" s="255">
        <f t="shared" si="67"/>
        <v>3.6095159967186219</v>
      </c>
      <c r="G397" s="255">
        <f>IFERROR(ROUNDUP(F397*'Customer Base'!$J$5,2),0)</f>
        <v>57.76</v>
      </c>
      <c r="H397" s="255">
        <f t="shared" si="68"/>
        <v>3.6095159967186219</v>
      </c>
      <c r="I397" s="255">
        <f>IFERROR(ROUNDUP(H397*'Customer Base'!$J$5,2),0)</f>
        <v>57.76</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1255</v>
      </c>
      <c r="D398" s="325">
        <v>6.62</v>
      </c>
      <c r="E398" s="325">
        <v>6.62</v>
      </c>
      <c r="F398" s="255">
        <f t="shared" si="67"/>
        <v>5.4306808859721079</v>
      </c>
      <c r="G398" s="255">
        <f>IFERROR(ROUNDUP(F398*'Customer Base'!$J$5,2),0)</f>
        <v>86.9</v>
      </c>
      <c r="H398" s="255">
        <f t="shared" si="68"/>
        <v>5.4306808859721079</v>
      </c>
      <c r="I398" s="255">
        <f>IFERROR(ROUNDUP(H398*'Customer Base'!$J$5,2),0)</f>
        <v>86.9</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1225</v>
      </c>
      <c r="D400" s="325">
        <f>F400*1.219</f>
        <v>135.309</v>
      </c>
      <c r="E400" s="325">
        <f>H400*1.219</f>
        <v>117.024</v>
      </c>
      <c r="F400" s="255">
        <f>1%*IF('Customer Base'!I15="AUTOMATE",ROUNDUP(SUMPRODUCT($A$242:$A$254,F$242:F$254),-2),ROUNDUP(SUMPRODUCT($B$242:$B$254,F$242:F$254),-2))</f>
        <v>111</v>
      </c>
      <c r="G400" s="255">
        <f>IFERROR(ROUNDUP(F400*'Customer Base'!$J$5,2),0)</f>
        <v>1776</v>
      </c>
      <c r="H400" s="255">
        <f>1%*IF('Customer Base'!I15="AUTOMATE",ROUNDUP(SUMPRODUCT($A$242:$A$254,H$242:H$254),-2),ROUNDUP(SUMPRODUCT($B$242:$B$254,H$242:H$254),-2))</f>
        <v>96</v>
      </c>
      <c r="I400" s="255">
        <f>IFERROR(ROUNDUP(H400*'Customer Base'!$J$5,2),0)</f>
        <v>1536</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19.690000000000001</v>
      </c>
      <c r="H402" s="255">
        <f t="shared" si="71"/>
        <v>1.2305168170631664</v>
      </c>
      <c r="I402" s="255">
        <f>IFERROR(ROUNDUP(H402*'Customer Base'!$J$5,2),0)</f>
        <v>19.690000000000001</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1224</v>
      </c>
      <c r="D403" s="325">
        <v>2.5</v>
      </c>
      <c r="E403" s="325">
        <v>2.5</v>
      </c>
      <c r="F403" s="255">
        <f t="shared" si="70"/>
        <v>2.0508613617719442</v>
      </c>
      <c r="G403" s="255">
        <f>IFERROR(ROUNDUP(F403*'Customer Base'!$J$5,2),0)</f>
        <v>32.82</v>
      </c>
      <c r="H403" s="255">
        <f t="shared" si="71"/>
        <v>2.0508613617719442</v>
      </c>
      <c r="I403" s="255">
        <f>IFERROR(ROUNDUP(H403*'Customer Base'!$J$5,2),0)</f>
        <v>32.82</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1893</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8</v>
      </c>
      <c r="B406" s="270">
        <v>13</v>
      </c>
      <c r="C406" s="243" t="s">
        <v>917</v>
      </c>
      <c r="D406" s="331">
        <v>12.64</v>
      </c>
      <c r="E406" s="331">
        <v>11.907</v>
      </c>
      <c r="F406" s="264">
        <f t="shared" ref="F406:F451" si="74">$D406/1.219</f>
        <v>10.36915504511895</v>
      </c>
      <c r="G406" s="238">
        <f>IFERROR(ROUNDUP(F406*'Customer Base'!$J$5,2),0)</f>
        <v>165.91</v>
      </c>
      <c r="H406" s="264">
        <f t="shared" ref="H406:H451" si="75">$E406/1.219</f>
        <v>9.7678424938474144</v>
      </c>
      <c r="I406" s="238">
        <f>IFERROR(ROUNDUP(H406*'Customer Base'!$J$5,2),0)</f>
        <v>156.29</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213.29</v>
      </c>
      <c r="H407" s="264">
        <f t="shared" si="75"/>
        <v>12.558654634946675</v>
      </c>
      <c r="I407" s="238">
        <f>IFERROR(ROUNDUP(H407*'Customer Base'!$J$5,2),0)</f>
        <v>200.94</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1293</v>
      </c>
      <c r="D408" s="331">
        <v>151.9</v>
      </c>
      <c r="E408" s="331">
        <v>151.9</v>
      </c>
      <c r="F408" s="264">
        <f t="shared" si="74"/>
        <v>124.61033634126332</v>
      </c>
      <c r="G408" s="238">
        <f>IFERROR(ROUNDUP(F408*'Customer Base'!$J$5,2),0)</f>
        <v>1993.77</v>
      </c>
      <c r="H408" s="264">
        <f t="shared" si="75"/>
        <v>124.61033634126332</v>
      </c>
      <c r="I408" s="238">
        <f>IFERROR(ROUNDUP(H408*'Customer Base'!$J$5,2),0)</f>
        <v>1993.77</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177.85999999999999</v>
      </c>
      <c r="H410" s="264">
        <f t="shared" si="75"/>
        <v>10.472518457752255</v>
      </c>
      <c r="I410" s="238">
        <f>IFERROR(ROUNDUP(H410*'Customer Base'!$J$5,2),0)</f>
        <v>167.57</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4</v>
      </c>
      <c r="B411" s="270">
        <v>1</v>
      </c>
      <c r="C411" s="243" t="s">
        <v>920</v>
      </c>
      <c r="D411" s="331">
        <v>13.55</v>
      </c>
      <c r="E411" s="331">
        <v>12.766</v>
      </c>
      <c r="F411" s="264">
        <f t="shared" si="74"/>
        <v>11.115668580803938</v>
      </c>
      <c r="G411" s="238">
        <f>IFERROR(ROUNDUP(F411*'Customer Base'!$J$5,2),0)</f>
        <v>177.85999999999999</v>
      </c>
      <c r="H411" s="264">
        <f t="shared" si="75"/>
        <v>10.472518457752255</v>
      </c>
      <c r="I411" s="238">
        <f>IFERROR(ROUNDUP(H411*'Customer Base'!$J$5,2),0)</f>
        <v>167.57</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201.35</v>
      </c>
      <c r="H412" s="264">
        <f t="shared" si="75"/>
        <v>11.853978671041837</v>
      </c>
      <c r="I412" s="238">
        <f>IFERROR(ROUNDUP(H412*'Customer Base'!$J$5,2),0)</f>
        <v>189.67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225.37</v>
      </c>
      <c r="H413" s="264">
        <f t="shared" si="75"/>
        <v>13.263330598851516</v>
      </c>
      <c r="I413" s="238">
        <f>IFERROR(ROUNDUP(H413*'Customer Base'!$J$5,2),0)</f>
        <v>212.22</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272.62</v>
      </c>
      <c r="H414" s="264">
        <f t="shared" si="75"/>
        <v>16.054142739950777</v>
      </c>
      <c r="I414" s="238">
        <f>IFERROR(ROUNDUP(H414*'Customer Base'!$J$5,2),0)</f>
        <v>256.87</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2738</v>
      </c>
      <c r="D415" s="331">
        <v>29.79</v>
      </c>
      <c r="E415" s="331">
        <v>28.058</v>
      </c>
      <c r="F415" s="264">
        <f t="shared" si="74"/>
        <v>24.438063986874486</v>
      </c>
      <c r="G415" s="238">
        <f>IFERROR(ROUNDUP(F415*'Customer Base'!$J$5,2),0)</f>
        <v>391.01</v>
      </c>
      <c r="H415" s="264">
        <f t="shared" si="75"/>
        <v>23.017227235438881</v>
      </c>
      <c r="I415" s="238">
        <f>IFERROR(ROUNDUP(H415*'Customer Base'!$J$5,2),0)</f>
        <v>368.28</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2739</v>
      </c>
      <c r="D416" s="331">
        <v>28.896000000000001</v>
      </c>
      <c r="E416" s="331">
        <v>27.216000000000001</v>
      </c>
      <c r="F416" s="264">
        <f t="shared" si="74"/>
        <v>23.70467596390484</v>
      </c>
      <c r="G416" s="238">
        <f>IFERROR(ROUNDUP(F416*'Customer Base'!$J$5,2),0)</f>
        <v>379.28</v>
      </c>
      <c r="H416" s="264">
        <f t="shared" si="75"/>
        <v>22.326497128794092</v>
      </c>
      <c r="I416" s="238">
        <f>IFERROR(ROUNDUP(H416*'Customer Base'!$J$5,2),0)</f>
        <v>357.23</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912.49</v>
      </c>
      <c r="H417" s="264">
        <f t="shared" si="75"/>
        <v>53.716160787530761</v>
      </c>
      <c r="I417" s="238">
        <f>IFERROR(ROUNDUP(H417*'Customer Base'!$J$5,2),0)</f>
        <v>859.46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2737</v>
      </c>
      <c r="D418" s="331">
        <v>60.51</v>
      </c>
      <c r="E418" s="331">
        <v>56.991999999999997</v>
      </c>
      <c r="F418" s="264">
        <f t="shared" si="74"/>
        <v>49.639048400328136</v>
      </c>
      <c r="G418" s="238">
        <f>IFERROR(ROUNDUP(F418*'Customer Base'!$J$5,2),0)</f>
        <v>794.23</v>
      </c>
      <c r="H418" s="264">
        <f t="shared" si="75"/>
        <v>46.75307629204265</v>
      </c>
      <c r="I418" s="238">
        <f>IFERROR(ROUNDUP(H418*'Customer Base'!$J$5,2),0)</f>
        <v>748.05</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2736</v>
      </c>
      <c r="D419" s="331">
        <v>517.41</v>
      </c>
      <c r="E419" s="331">
        <v>487.32799999999997</v>
      </c>
      <c r="F419" s="264">
        <f t="shared" si="74"/>
        <v>424.45447087776859</v>
      </c>
      <c r="G419" s="238">
        <f>IFERROR(ROUNDUP(F419*'Customer Base'!$J$5,2),0)</f>
        <v>6791.2800000000007</v>
      </c>
      <c r="H419" s="264">
        <f t="shared" si="75"/>
        <v>399.77686628383918</v>
      </c>
      <c r="I419" s="238">
        <f>IFERROR(ROUNDUP(H419*'Customer Base'!$J$5,2),0)</f>
        <v>6396.43</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2735</v>
      </c>
      <c r="D420" s="331">
        <v>55.07</v>
      </c>
      <c r="E420" s="331">
        <v>51.872</v>
      </c>
      <c r="F420" s="264">
        <f t="shared" si="74"/>
        <v>45.176374077112385</v>
      </c>
      <c r="G420" s="238">
        <f>IFERROR(ROUNDUP(F420*'Customer Base'!$J$5,2),0)</f>
        <v>722.83</v>
      </c>
      <c r="H420" s="264">
        <f t="shared" si="75"/>
        <v>42.55291222313371</v>
      </c>
      <c r="I420" s="238">
        <f>IFERROR(ROUNDUP(H420*'Customer Base'!$J$5,2),0)</f>
        <v>680.85</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379.33</v>
      </c>
      <c r="H421" s="264">
        <f t="shared" si="75"/>
        <v>22.326497128794092</v>
      </c>
      <c r="I421" s="238">
        <f>IFERROR(ROUNDUP(H421*'Customer Base'!$J$5,2),0)</f>
        <v>357.23</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355.58</v>
      </c>
      <c r="H422" s="264">
        <f t="shared" si="75"/>
        <v>20.931091058244462</v>
      </c>
      <c r="I422" s="238">
        <f>IFERROR(ROUNDUP(H422*'Customer Base'!$J$5,2),0)</f>
        <v>334.9</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367.52</v>
      </c>
      <c r="H423" s="264">
        <f t="shared" si="75"/>
        <v>21.635767022149299</v>
      </c>
      <c r="I423" s="238">
        <f>IFERROR(ROUNDUP(H423*'Customer Base'!$J$5,2),0)</f>
        <v>346.18</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414.9</v>
      </c>
      <c r="H424" s="264">
        <f t="shared" si="75"/>
        <v>24.426579163248562</v>
      </c>
      <c r="I424" s="238">
        <f>IFERROR(ROUNDUP(H424*'Customer Base'!$J$5,2),0)</f>
        <v>390.83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130.47</v>
      </c>
      <c r="H425" s="264">
        <f t="shared" si="75"/>
        <v>7.6817063166529946</v>
      </c>
      <c r="I425" s="238">
        <f>IFERROR(ROUNDUP(H425*'Customer Base'!$J$5,2),0)</f>
        <v>122.91000000000001</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189.67</v>
      </c>
      <c r="H427" s="264">
        <f t="shared" si="75"/>
        <v>11.163248564397046</v>
      </c>
      <c r="I427" s="238">
        <f>IFERROR(ROUNDUP(H427*'Customer Base'!$J$5,2),0)</f>
        <v>178.62</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229.44</v>
      </c>
      <c r="H428" s="264">
        <f t="shared" si="75"/>
        <v>11.163248564397046</v>
      </c>
      <c r="I428" s="238">
        <f>IFERROR(ROUNDUP(H428*'Customer Base'!$J$5,2),0)</f>
        <v>178.62</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229.44</v>
      </c>
      <c r="H429" s="264">
        <f t="shared" si="75"/>
        <v>11.163248564397046</v>
      </c>
      <c r="I429" s="238">
        <f>IFERROR(ROUNDUP(H429*'Customer Base'!$J$5,2),0)</f>
        <v>178.62</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189.67</v>
      </c>
      <c r="H430" s="264">
        <f t="shared" si="75"/>
        <v>11.163248564397046</v>
      </c>
      <c r="I430" s="238">
        <f>IFERROR(ROUNDUP(H430*'Customer Base'!$J$5,2),0)</f>
        <v>178.62</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296.25</v>
      </c>
      <c r="H432" s="245">
        <f t="shared" si="75"/>
        <v>17.435602953240362</v>
      </c>
      <c r="I432" s="245">
        <f>IFERROR(ROUNDUP(H432*'Customer Base'!$J$5,2),0)</f>
        <v>278.96999999999997</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130.47</v>
      </c>
      <c r="H433" s="245">
        <f t="shared" si="75"/>
        <v>7.6817063166529946</v>
      </c>
      <c r="I433" s="245">
        <f>IFERROR(ROUNDUP(H433*'Customer Base'!$J$5,2),0)</f>
        <v>122.91000000000001</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2761</v>
      </c>
      <c r="D434" s="328">
        <v>9.94</v>
      </c>
      <c r="E434" s="328">
        <v>9.3640000000000008</v>
      </c>
      <c r="F434" s="245">
        <f t="shared" si="74"/>
        <v>8.1542247744052485</v>
      </c>
      <c r="G434" s="245">
        <f>IFERROR(ROUNDUP(F434*'Customer Base'!$J$5,2),0)</f>
        <v>130.47</v>
      </c>
      <c r="H434" s="245">
        <f t="shared" si="75"/>
        <v>7.6817063166529946</v>
      </c>
      <c r="I434" s="245">
        <f>IFERROR(ROUNDUP(H434*'Customer Base'!$J$5,2),0)</f>
        <v>122.91000000000001</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118.53</v>
      </c>
      <c r="H435" s="245">
        <f t="shared" si="75"/>
        <v>6.9770303527481543</v>
      </c>
      <c r="I435" s="245">
        <f>IFERROR(ROUNDUP(H435*'Customer Base'!$J$5,2),0)</f>
        <v>111.64</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153.97</v>
      </c>
      <c r="H436" s="245">
        <f t="shared" si="75"/>
        <v>9.0631665299425759</v>
      </c>
      <c r="I436" s="245">
        <f>IFERROR(ROUNDUP(H436*'Customer Base'!$J$5,2),0)</f>
        <v>145.01999999999998</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367.52</v>
      </c>
      <c r="H437" s="245">
        <f t="shared" si="75"/>
        <v>21.635767022149299</v>
      </c>
      <c r="I437" s="245">
        <f>IFERROR(ROUNDUP(H437*'Customer Base'!$J$5,2),0)</f>
        <v>346.18</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474.09999999999997</v>
      </c>
      <c r="H438" s="245">
        <f t="shared" si="75"/>
        <v>27.908121410992617</v>
      </c>
      <c r="I438" s="245">
        <f>IFERROR(ROUNDUP(H438*'Customer Base'!$J$5,2),0)</f>
        <v>446.53</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2747</v>
      </c>
      <c r="D439" s="328">
        <v>38.840000000000003</v>
      </c>
      <c r="E439" s="328">
        <v>36.58</v>
      </c>
      <c r="F439" s="245">
        <f t="shared" si="74"/>
        <v>31.862182116488928</v>
      </c>
      <c r="G439" s="245">
        <f>IFERROR(ROUNDUP(F439*'Customer Base'!$J$5,2),0)</f>
        <v>509.8</v>
      </c>
      <c r="H439" s="245">
        <f t="shared" si="75"/>
        <v>30.008203445447084</v>
      </c>
      <c r="I439" s="245">
        <f>IFERROR(ROUNDUP(H439*'Customer Base'!$J$5,2),0)</f>
        <v>480.14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2748</v>
      </c>
      <c r="D440" s="328">
        <v>45.15</v>
      </c>
      <c r="E440" s="328">
        <v>42.524999999999999</v>
      </c>
      <c r="F440" s="245">
        <f t="shared" si="74"/>
        <v>37.038556193601309</v>
      </c>
      <c r="G440" s="245">
        <f>IFERROR(ROUNDUP(F440*'Customer Base'!$J$5,2),0)</f>
        <v>592.62</v>
      </c>
      <c r="H440" s="245">
        <f t="shared" si="75"/>
        <v>34.885151763740765</v>
      </c>
      <c r="I440" s="245">
        <f>IFERROR(ROUNDUP(H440*'Customer Base'!$J$5,2),0)</f>
        <v>558.16999999999996</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201.35</v>
      </c>
      <c r="H441" s="245">
        <f t="shared" si="75"/>
        <v>11.853978671041837</v>
      </c>
      <c r="I441" s="245">
        <f>IFERROR(ROUNDUP(H441*'Customer Base'!$J$5,2),0)</f>
        <v>189.67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201.35</v>
      </c>
      <c r="H442" s="245">
        <f t="shared" si="75"/>
        <v>11.853978671041837</v>
      </c>
      <c r="I442" s="245">
        <f>IFERROR(ROUNDUP(H442*'Customer Base'!$J$5,2),0)</f>
        <v>189.67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308.19</v>
      </c>
      <c r="H443" s="245">
        <f t="shared" si="75"/>
        <v>18.140278917145199</v>
      </c>
      <c r="I443" s="245">
        <f>IFERROR(ROUNDUP(H443*'Customer Base'!$J$5,2),0)</f>
        <v>290.25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331.82</v>
      </c>
      <c r="H444" s="245">
        <f t="shared" si="75"/>
        <v>19.535684987694829</v>
      </c>
      <c r="I444" s="245">
        <f>IFERROR(ROUNDUP(H444*'Customer Base'!$J$5,2),0)</f>
        <v>312.58</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391.01</v>
      </c>
      <c r="H445" s="245">
        <f t="shared" si="75"/>
        <v>23.017227235438881</v>
      </c>
      <c r="I445" s="245">
        <f>IFERROR(ROUNDUP(H445*'Customer Base'!$J$5,2),0)</f>
        <v>368.28</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391.01</v>
      </c>
      <c r="H446" s="245">
        <f t="shared" si="75"/>
        <v>23.017227235438881</v>
      </c>
      <c r="I446" s="245">
        <f>IFERROR(ROUNDUP(H446*'Customer Base'!$J$5,2),0)</f>
        <v>368.28</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391.01</v>
      </c>
      <c r="H447" s="245">
        <f t="shared" si="75"/>
        <v>23.017227235438881</v>
      </c>
      <c r="I447" s="245">
        <f>IFERROR(ROUNDUP(H447*'Customer Base'!$J$5,2),0)</f>
        <v>368.28</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2751</v>
      </c>
      <c r="D448" s="328">
        <v>36.119999999999997</v>
      </c>
      <c r="E448" s="328">
        <v>34.020000000000003</v>
      </c>
      <c r="F448" s="245">
        <f t="shared" si="74"/>
        <v>29.630844954881045</v>
      </c>
      <c r="G448" s="245">
        <f>IFERROR(ROUNDUP(F448*'Customer Base'!$J$5,2),0)</f>
        <v>474.09999999999997</v>
      </c>
      <c r="H448" s="245">
        <f t="shared" si="75"/>
        <v>27.908121410992617</v>
      </c>
      <c r="I448" s="245">
        <f>IFERROR(ROUNDUP(H448*'Customer Base'!$J$5,2),0)</f>
        <v>446.53</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2752</v>
      </c>
      <c r="D449" s="328">
        <v>36.119999999999997</v>
      </c>
      <c r="E449" s="328">
        <v>34.020000000000003</v>
      </c>
      <c r="F449" s="245">
        <f t="shared" si="74"/>
        <v>29.630844954881045</v>
      </c>
      <c r="G449" s="245">
        <f>IFERROR(ROUNDUP(F449*'Customer Base'!$J$5,2),0)</f>
        <v>474.09999999999997</v>
      </c>
      <c r="H449" s="245">
        <f t="shared" si="75"/>
        <v>27.908121410992617</v>
      </c>
      <c r="I449" s="245">
        <f>IFERROR(ROUNDUP(H449*'Customer Base'!$J$5,2),0)</f>
        <v>446.53</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130.47</v>
      </c>
      <c r="H450" s="245">
        <f t="shared" si="75"/>
        <v>7.6817063166529946</v>
      </c>
      <c r="I450" s="245">
        <f>IFERROR(ROUNDUP(H450*'Customer Base'!$J$5,2),0)</f>
        <v>122.91000000000001</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2750</v>
      </c>
      <c r="D451" s="328">
        <v>31.61</v>
      </c>
      <c r="E451" s="328">
        <v>29.776</v>
      </c>
      <c r="F451" s="245">
        <f t="shared" si="74"/>
        <v>25.931091058244462</v>
      </c>
      <c r="G451" s="245">
        <f>IFERROR(ROUNDUP(F451*'Customer Base'!$J$5,2),0)</f>
        <v>414.9</v>
      </c>
      <c r="H451" s="245">
        <f t="shared" si="75"/>
        <v>24.426579163248562</v>
      </c>
      <c r="I451" s="245">
        <f>IFERROR(ROUNDUP(H451*'Customer Base'!$J$5,2),0)</f>
        <v>390.83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2749</v>
      </c>
      <c r="D452" s="328">
        <v>31.61</v>
      </c>
      <c r="E452" s="328">
        <v>29.776</v>
      </c>
      <c r="F452" s="245">
        <f t="shared" ref="F452:F476" si="77">$D452/1.219</f>
        <v>25.931091058244462</v>
      </c>
      <c r="G452" s="245">
        <f>IFERROR(ROUNDUP(F452*'Customer Base'!$J$5,2),0)</f>
        <v>414.9</v>
      </c>
      <c r="H452" s="245">
        <f t="shared" ref="H452:H477" si="78">$E452/1.219</f>
        <v>24.426579163248562</v>
      </c>
      <c r="I452" s="245">
        <f>IFERROR(ROUNDUP(H452*'Customer Base'!$J$5,2),0)</f>
        <v>390.83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130.73999999999998</v>
      </c>
      <c r="H453" s="245">
        <f t="shared" si="78"/>
        <v>7.6817063166529946</v>
      </c>
      <c r="I453" s="245">
        <f>IFERROR(ROUNDUP(H453*'Customer Base'!$J$5,2),0)</f>
        <v>122.91000000000001</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1895</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677.28</v>
      </c>
      <c r="H456" s="249">
        <f t="shared" si="78"/>
        <v>39.868744872846591</v>
      </c>
      <c r="I456" s="249">
        <f>IFERROR(ROUNDUP(H456*'Customer Base'!$J$5,2),0)</f>
        <v>637.9</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925.62</v>
      </c>
      <c r="H457" s="249">
        <f t="shared" si="78"/>
        <v>54.487284659557012</v>
      </c>
      <c r="I457" s="249">
        <f>IFERROR(ROUNDUP(H457*'Customer Base'!$J$5,2),0)</f>
        <v>871.8</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1580.32</v>
      </c>
      <c r="H458" s="249">
        <f t="shared" si="78"/>
        <v>93.027071369975388</v>
      </c>
      <c r="I458" s="249">
        <f>IFERROR(ROUNDUP(H458*'Customer Base'!$J$5,2),0)</f>
        <v>1488.44</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B459" s="270" t="s">
        <v>1</v>
      </c>
      <c r="C459" s="250" t="s">
        <v>1242</v>
      </c>
      <c r="D459" s="321">
        <v>200</v>
      </c>
      <c r="E459" s="321">
        <v>200</v>
      </c>
      <c r="F459" s="249">
        <f t="shared" si="77"/>
        <v>164.06890894175552</v>
      </c>
      <c r="G459" s="249">
        <f>IFERROR(ROUNDUP(F459*'Customer Base'!$J$5,2),0)</f>
        <v>2625.11</v>
      </c>
      <c r="H459" s="249">
        <f t="shared" si="78"/>
        <v>164.06890894175552</v>
      </c>
      <c r="I459" s="249">
        <f>IFERROR(ROUNDUP(H459*'Customer Base'!$J$5,2),0)</f>
        <v>2625.11</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B460" s="270">
        <v>1</v>
      </c>
      <c r="C460" s="250" t="s">
        <v>1899</v>
      </c>
      <c r="D460" s="321">
        <v>1000</v>
      </c>
      <c r="E460" s="321">
        <v>1000</v>
      </c>
      <c r="F460" s="249">
        <f t="shared" si="77"/>
        <v>820.34454470877768</v>
      </c>
      <c r="G460" s="249">
        <f>IFERROR(ROUNDUP(F460*'Customer Base'!$J$5,2),0)</f>
        <v>13125.52</v>
      </c>
      <c r="H460" s="249">
        <f t="shared" si="78"/>
        <v>820.34454470877768</v>
      </c>
      <c r="I460" s="249">
        <f>IFERROR(ROUNDUP(H460*'Customer Base'!$J$5,2),0)</f>
        <v>13125.52</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1803</v>
      </c>
      <c r="D461" s="321">
        <v>2000</v>
      </c>
      <c r="E461" s="321">
        <v>2000</v>
      </c>
      <c r="F461" s="249">
        <f t="shared" si="77"/>
        <v>1640.6890894175554</v>
      </c>
      <c r="G461" s="249">
        <f>IFERROR(ROUNDUP(F461*'Customer Base'!$J$5,2),0)</f>
        <v>26251.03</v>
      </c>
      <c r="H461" s="249">
        <f t="shared" si="78"/>
        <v>1640.6890894175554</v>
      </c>
      <c r="I461" s="249">
        <f>IFERROR(ROUNDUP(H461*'Customer Base'!$J$5,2),0)</f>
        <v>26251.03</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1243</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1376</v>
      </c>
      <c r="D464" s="321">
        <v>35</v>
      </c>
      <c r="E464" s="321">
        <v>35</v>
      </c>
      <c r="F464" s="249">
        <f t="shared" si="77"/>
        <v>28.712059064807217</v>
      </c>
      <c r="G464" s="249">
        <f>IFERROR(ROUNDUP(F464*'Customer Base'!$J$5,2),0)</f>
        <v>459.4</v>
      </c>
      <c r="H464" s="249">
        <f t="shared" si="78"/>
        <v>28.712059064807217</v>
      </c>
      <c r="I464" s="249">
        <f>IFERROR(ROUNDUP(H464*'Customer Base'!$J$5,2),0)</f>
        <v>459.4</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1377</v>
      </c>
      <c r="D465" s="321">
        <v>35</v>
      </c>
      <c r="E465" s="321">
        <v>35</v>
      </c>
      <c r="F465" s="249">
        <f t="shared" si="77"/>
        <v>28.712059064807217</v>
      </c>
      <c r="G465" s="249">
        <f>IFERROR(ROUNDUP(F465*'Customer Base'!$J$5,2),0)</f>
        <v>459.4</v>
      </c>
      <c r="H465" s="249">
        <f t="shared" si="78"/>
        <v>28.712059064807217</v>
      </c>
      <c r="I465" s="249">
        <f>IFERROR(ROUNDUP(H465*'Customer Base'!$J$5,2),0)</f>
        <v>459.4</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1378</v>
      </c>
      <c r="D466" s="321">
        <v>49</v>
      </c>
      <c r="E466" s="321">
        <v>49</v>
      </c>
      <c r="F466" s="249">
        <f t="shared" si="77"/>
        <v>40.196882690730106</v>
      </c>
      <c r="G466" s="249">
        <f>IFERROR(ROUNDUP(F466*'Customer Base'!$J$5,2),0)</f>
        <v>643.16</v>
      </c>
      <c r="H466" s="249">
        <f t="shared" si="78"/>
        <v>40.196882690730106</v>
      </c>
      <c r="I466" s="249">
        <f>IFERROR(ROUNDUP(H466*'Customer Base'!$J$5,2),0)</f>
        <v>643.16</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1379</v>
      </c>
      <c r="D467" s="321">
        <v>49</v>
      </c>
      <c r="E467" s="321">
        <v>49</v>
      </c>
      <c r="F467" s="249">
        <f t="shared" si="77"/>
        <v>40.196882690730106</v>
      </c>
      <c r="G467" s="249">
        <f>IFERROR(ROUNDUP(F467*'Customer Base'!$J$5,2),0)</f>
        <v>643.16</v>
      </c>
      <c r="H467" s="249">
        <f t="shared" si="78"/>
        <v>40.196882690730106</v>
      </c>
      <c r="I467" s="249">
        <f>IFERROR(ROUNDUP(H467*'Customer Base'!$J$5,2),0)</f>
        <v>643.16</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2600</v>
      </c>
      <c r="D468" s="321">
        <v>49</v>
      </c>
      <c r="E468" s="321">
        <v>49</v>
      </c>
      <c r="F468" s="249">
        <f t="shared" si="77"/>
        <v>40.196882690730106</v>
      </c>
      <c r="G468" s="249">
        <f>IFERROR(ROUNDUP(F468*'Customer Base'!$J$5,2),0)</f>
        <v>643.16</v>
      </c>
      <c r="H468" s="249">
        <f t="shared" si="78"/>
        <v>40.196882690730106</v>
      </c>
      <c r="I468" s="249">
        <f>IFERROR(ROUNDUP(H468*'Customer Base'!$J$5,2),0)</f>
        <v>643.16</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1380</v>
      </c>
      <c r="D469" s="321">
        <v>49</v>
      </c>
      <c r="E469" s="321">
        <v>49</v>
      </c>
      <c r="F469" s="249">
        <f t="shared" si="77"/>
        <v>40.196882690730106</v>
      </c>
      <c r="G469" s="249">
        <f>IFERROR(ROUNDUP(F469*'Customer Base'!$J$5,2),0)</f>
        <v>643.16</v>
      </c>
      <c r="H469" s="249">
        <f t="shared" si="78"/>
        <v>40.196882690730106</v>
      </c>
      <c r="I469" s="249">
        <f>IFERROR(ROUNDUP(H469*'Customer Base'!$J$5,2),0)</f>
        <v>643.16</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1801</v>
      </c>
      <c r="D470" s="321">
        <v>49</v>
      </c>
      <c r="E470" s="321">
        <v>49</v>
      </c>
      <c r="F470" s="249">
        <f t="shared" si="77"/>
        <v>40.196882690730106</v>
      </c>
      <c r="G470" s="249">
        <f>IFERROR(ROUNDUP(F470*'Customer Base'!$J$5,2),0)</f>
        <v>643.16</v>
      </c>
      <c r="H470" s="249">
        <f t="shared" si="78"/>
        <v>40.196882690730106</v>
      </c>
      <c r="I470" s="249">
        <f>IFERROR(ROUNDUP(H470*'Customer Base'!$J$5,2),0)</f>
        <v>643.16</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1381</v>
      </c>
      <c r="D471" s="321">
        <v>49</v>
      </c>
      <c r="E471" s="321">
        <v>49</v>
      </c>
      <c r="F471" s="249">
        <f t="shared" si="77"/>
        <v>40.196882690730106</v>
      </c>
      <c r="G471" s="249">
        <f>IFERROR(ROUNDUP(F471*'Customer Base'!$J$5,2),0)</f>
        <v>643.16</v>
      </c>
      <c r="H471" s="249">
        <f t="shared" si="78"/>
        <v>40.196882690730106</v>
      </c>
      <c r="I471" s="249">
        <f>IFERROR(ROUNDUP(H471*'Customer Base'!$J$5,2),0)</f>
        <v>643.16</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2613</v>
      </c>
      <c r="D472" s="321">
        <v>49</v>
      </c>
      <c r="E472" s="321">
        <v>49</v>
      </c>
      <c r="F472" s="249">
        <f t="shared" si="77"/>
        <v>40.196882690730106</v>
      </c>
      <c r="G472" s="249">
        <f>IFERROR(ROUNDUP(F472*'Customer Base'!$J$5,2),0)</f>
        <v>643.16</v>
      </c>
      <c r="H472" s="249">
        <f t="shared" si="78"/>
        <v>40.196882690730106</v>
      </c>
      <c r="I472" s="249">
        <f>IFERROR(ROUNDUP(H472*'Customer Base'!$J$5,2),0)</f>
        <v>643.16</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1494</v>
      </c>
      <c r="D473" s="321">
        <v>69</v>
      </c>
      <c r="E473" s="321">
        <v>69</v>
      </c>
      <c r="F473" s="249">
        <f t="shared" si="77"/>
        <v>56.603773584905653</v>
      </c>
      <c r="G473" s="249">
        <f>IFERROR(ROUNDUP(F473*'Customer Base'!$J$5,2),0)</f>
        <v>905.67</v>
      </c>
      <c r="H473" s="249">
        <f t="shared" si="78"/>
        <v>56.603773584905653</v>
      </c>
      <c r="I473" s="249">
        <f>IFERROR(ROUNDUP(H473*'Customer Base'!$J$5,2),0)</f>
        <v>905.67</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1382</v>
      </c>
      <c r="D474" s="321">
        <v>69</v>
      </c>
      <c r="E474" s="321">
        <v>69</v>
      </c>
      <c r="F474" s="249">
        <f t="shared" si="77"/>
        <v>56.603773584905653</v>
      </c>
      <c r="G474" s="249">
        <f>IFERROR(ROUNDUP(F474*'Customer Base'!$J$5,2),0)</f>
        <v>905.67</v>
      </c>
      <c r="H474" s="249">
        <f t="shared" si="78"/>
        <v>56.603773584905653</v>
      </c>
      <c r="I474" s="249">
        <f>IFERROR(ROUNDUP(H474*'Customer Base'!$J$5,2),0)</f>
        <v>905.67</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2601</v>
      </c>
      <c r="D475" s="321">
        <v>89</v>
      </c>
      <c r="E475" s="321">
        <v>89</v>
      </c>
      <c r="F475" s="249">
        <f t="shared" si="77"/>
        <v>73.010664479081214</v>
      </c>
      <c r="G475" s="249">
        <f>IFERROR(ROUNDUP(F475*'Customer Base'!$J$5,2),0)</f>
        <v>1168.18</v>
      </c>
      <c r="H475" s="249">
        <f t="shared" si="78"/>
        <v>73.010664479081214</v>
      </c>
      <c r="I475" s="249">
        <f>IFERROR(ROUNDUP(H475*'Customer Base'!$J$5,2),0)</f>
        <v>1168.18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1383</v>
      </c>
      <c r="D477" s="321">
        <v>50</v>
      </c>
      <c r="E477" s="321">
        <v>50</v>
      </c>
      <c r="F477" s="249">
        <f t="shared" ref="F477:F502" si="81">$D477/1.219</f>
        <v>41.017227235438881</v>
      </c>
      <c r="G477" s="249">
        <f>IFERROR(ROUNDUP(F477*'Customer Base'!$J$5,2),0)</f>
        <v>656.28</v>
      </c>
      <c r="H477" s="249">
        <f t="shared" si="78"/>
        <v>41.017227235438881</v>
      </c>
      <c r="I477" s="249">
        <f>IFERROR(ROUNDUP(H477*'Customer Base'!$J$5,2),0)</f>
        <v>656.28</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1384</v>
      </c>
      <c r="D478" s="321">
        <v>50</v>
      </c>
      <c r="E478" s="321">
        <v>50</v>
      </c>
      <c r="F478" s="249">
        <f t="shared" si="81"/>
        <v>41.017227235438881</v>
      </c>
      <c r="G478" s="249">
        <f>IFERROR(ROUNDUP(F478*'Customer Base'!$J$5,2),0)</f>
        <v>656.28</v>
      </c>
      <c r="H478" s="249">
        <f t="shared" ref="H478:H502" si="82">$E478/1.219</f>
        <v>41.017227235438881</v>
      </c>
      <c r="I478" s="249">
        <f>IFERROR(ROUNDUP(H478*'Customer Base'!$J$5,2),0)</f>
        <v>656.28</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2599</v>
      </c>
      <c r="D479" s="321">
        <v>50</v>
      </c>
      <c r="E479" s="321">
        <v>50</v>
      </c>
      <c r="F479" s="249">
        <f t="shared" si="81"/>
        <v>41.017227235438881</v>
      </c>
      <c r="G479" s="249">
        <f>IFERROR(ROUNDUP(F479*'Customer Base'!$J$5,2),0)</f>
        <v>656.28</v>
      </c>
      <c r="H479" s="249">
        <f t="shared" si="82"/>
        <v>41.017227235438881</v>
      </c>
      <c r="I479" s="249">
        <f>IFERROR(ROUNDUP(H479*'Customer Base'!$J$5,2),0)</f>
        <v>656.28</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1385</v>
      </c>
      <c r="D480" s="321">
        <v>50</v>
      </c>
      <c r="E480" s="321">
        <v>50</v>
      </c>
      <c r="F480" s="249">
        <f t="shared" si="81"/>
        <v>41.017227235438881</v>
      </c>
      <c r="G480" s="249">
        <f>IFERROR(ROUNDUP(F480*'Customer Base'!$J$5,2),0)</f>
        <v>656.28</v>
      </c>
      <c r="H480" s="249">
        <f t="shared" si="82"/>
        <v>41.017227235438881</v>
      </c>
      <c r="I480" s="249">
        <f>IFERROR(ROUNDUP(H480*'Customer Base'!$J$5,2),0)</f>
        <v>656.28</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1802</v>
      </c>
      <c r="D481" s="321">
        <v>50</v>
      </c>
      <c r="E481" s="321">
        <v>50</v>
      </c>
      <c r="F481" s="249">
        <f t="shared" si="81"/>
        <v>41.017227235438881</v>
      </c>
      <c r="G481" s="249">
        <f>IFERROR(ROUNDUP(F481*'Customer Base'!$J$5,2),0)</f>
        <v>656.28</v>
      </c>
      <c r="H481" s="249">
        <f t="shared" si="82"/>
        <v>41.017227235438881</v>
      </c>
      <c r="I481" s="249">
        <f>IFERROR(ROUNDUP(H481*'Customer Base'!$J$5,2),0)</f>
        <v>656.28</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1386</v>
      </c>
      <c r="D482" s="321">
        <v>50</v>
      </c>
      <c r="E482" s="321">
        <v>50</v>
      </c>
      <c r="F482" s="249">
        <f t="shared" si="81"/>
        <v>41.017227235438881</v>
      </c>
      <c r="G482" s="249">
        <f>IFERROR(ROUNDUP(F482*'Customer Base'!$J$5,2),0)</f>
        <v>656.28</v>
      </c>
      <c r="H482" s="249">
        <f t="shared" si="82"/>
        <v>41.017227235438881</v>
      </c>
      <c r="I482" s="249">
        <f>IFERROR(ROUNDUP(H482*'Customer Base'!$J$5,2),0)</f>
        <v>656.28</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2612</v>
      </c>
      <c r="D483" s="321">
        <v>50</v>
      </c>
      <c r="E483" s="321">
        <v>50</v>
      </c>
      <c r="F483" s="249">
        <f t="shared" si="81"/>
        <v>41.017227235438881</v>
      </c>
      <c r="G483" s="249">
        <f>IFERROR(ROUNDUP(F483*'Customer Base'!$J$5,2),0)</f>
        <v>656.28</v>
      </c>
      <c r="H483" s="249">
        <f t="shared" si="82"/>
        <v>41.017227235438881</v>
      </c>
      <c r="I483" s="249">
        <f>IFERROR(ROUNDUP(H483*'Customer Base'!$J$5,2),0)</f>
        <v>656.28</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f>IF(AND(OR(AND('Customer Base'!E13="Phoenix",'Customer Base'!D13="Victron"),'Customer Base'!D$7="Grid-Tied"),'Customer Base'!D$9=3,'CABLE SIZING TOOL'!J$27&gt;125,'CABLE SIZING TOOL'!J$27&lt;=160),1,IF(AND('Customer Base'!D$9=3,'CABLE SIZING TOOL'!J$27&gt;125,'CABLE SIZING TOOL'!J$27&lt;=160),2,""))</f>
        <v>2</v>
      </c>
      <c r="B484" s="270" t="s">
        <v>1</v>
      </c>
      <c r="C484" s="250" t="s">
        <v>1495</v>
      </c>
      <c r="D484" s="321">
        <v>70</v>
      </c>
      <c r="E484" s="321">
        <v>70</v>
      </c>
      <c r="F484" s="249">
        <f t="shared" si="81"/>
        <v>57.424118129614435</v>
      </c>
      <c r="G484" s="249">
        <f>IFERROR(ROUNDUP(F484*'Customer Base'!$J$5,2),0)</f>
        <v>918.79</v>
      </c>
      <c r="H484" s="249">
        <f t="shared" si="82"/>
        <v>57.424118129614435</v>
      </c>
      <c r="I484" s="249">
        <f>IFERROR(ROUNDUP(H484*'Customer Base'!$J$5,2),0)</f>
        <v>918.79</v>
      </c>
      <c r="J484" s="103" t="str">
        <f t="shared" si="79"/>
        <v/>
      </c>
      <c r="L484" s="103" t="str">
        <f t="shared" si="80"/>
        <v/>
      </c>
      <c r="N484" s="103">
        <v>493</v>
      </c>
      <c r="O484" s="103" t="str">
        <f>IF('Customer Base'!$I$15="MANUAL",IF(B484&lt;&gt;"",C484,""),IF('Customer Base'!$I$15="AUTOMATE",IF(A484&lt;&gt;"",C484,""),""))</f>
        <v>160A 4-Pole AC Circuit Breaker</v>
      </c>
      <c r="AO484" s="103">
        <f>IF('Customer Base'!$I$15="MANUAL",IFERROR(AM484*B484,""),IF('Customer Base'!$I$15="AUTOMATE",IFERROR(AM484*A484,""),""))</f>
        <v>0</v>
      </c>
    </row>
    <row r="485" spans="1:48">
      <c r="C485" s="250" t="s">
        <v>1387</v>
      </c>
      <c r="D485" s="321">
        <v>70</v>
      </c>
      <c r="E485" s="321">
        <v>70</v>
      </c>
      <c r="F485" s="249">
        <f t="shared" si="81"/>
        <v>57.424118129614435</v>
      </c>
      <c r="G485" s="249">
        <f>IFERROR(ROUNDUP(F485*'Customer Base'!$J$5,2),0)</f>
        <v>918.79</v>
      </c>
      <c r="H485" s="249">
        <f t="shared" si="82"/>
        <v>57.424118129614435</v>
      </c>
      <c r="I485" s="249">
        <f>IFERROR(ROUNDUP(H485*'Customer Base'!$J$5,2),0)</f>
        <v>918.79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1310</v>
      </c>
      <c r="D487" s="321">
        <v>107.15</v>
      </c>
      <c r="E487" s="321">
        <v>107.15</v>
      </c>
      <c r="F487" s="249">
        <f t="shared" si="81"/>
        <v>87.899917965545526</v>
      </c>
      <c r="G487" s="249">
        <f>IFERROR(ROUNDUP(F487*'Customer Base'!$J$5,2),0)</f>
        <v>1406.4</v>
      </c>
      <c r="H487" s="249">
        <f t="shared" si="82"/>
        <v>87.899917965545526</v>
      </c>
      <c r="I487" s="249">
        <f>IFERROR(ROUNDUP(H487*'Customer Base'!$J$5,2),0)</f>
        <v>1406.4</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1496</v>
      </c>
      <c r="D488" s="321">
        <v>107.15</v>
      </c>
      <c r="E488" s="321">
        <v>107.15</v>
      </c>
      <c r="F488" s="249">
        <f t="shared" si="81"/>
        <v>87.899917965545526</v>
      </c>
      <c r="G488" s="249">
        <f>IFERROR(ROUNDUP(F488*'Customer Base'!$J$5,2),0)</f>
        <v>1406.4</v>
      </c>
      <c r="H488" s="249">
        <f t="shared" si="82"/>
        <v>87.899917965545526</v>
      </c>
      <c r="I488" s="249">
        <f>IFERROR(ROUNDUP(H488*'Customer Base'!$J$5,2),0)</f>
        <v>1406.4</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2478</v>
      </c>
      <c r="D489" s="321">
        <v>107.15</v>
      </c>
      <c r="E489" s="321">
        <v>107.15</v>
      </c>
      <c r="F489" s="249">
        <f t="shared" si="81"/>
        <v>87.899917965545526</v>
      </c>
      <c r="G489" s="249">
        <f>IFERROR(ROUNDUP(F489*'Customer Base'!$J$5,2),0)</f>
        <v>1406.4</v>
      </c>
      <c r="H489" s="249">
        <f t="shared" si="82"/>
        <v>87.899917965545526</v>
      </c>
      <c r="I489" s="249">
        <f>IFERROR(ROUNDUP(H489*'Customer Base'!$J$5,2),0)</f>
        <v>1406.4</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2479</v>
      </c>
      <c r="D490" s="321">
        <v>107.15</v>
      </c>
      <c r="E490" s="321">
        <v>107.15</v>
      </c>
      <c r="F490" s="249">
        <f t="shared" si="81"/>
        <v>87.899917965545526</v>
      </c>
      <c r="G490" s="249">
        <f>IFERROR(ROUNDUP(F490*'Customer Base'!$J$5,2),0)</f>
        <v>1406.4</v>
      </c>
      <c r="H490" s="249">
        <f t="shared" si="82"/>
        <v>87.899917965545526</v>
      </c>
      <c r="I490" s="249">
        <f>IFERROR(ROUNDUP(H490*'Customer Base'!$J$5,2),0)</f>
        <v>1406.4</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1604</v>
      </c>
      <c r="D491" s="321">
        <v>107.15</v>
      </c>
      <c r="E491" s="321">
        <v>107.15</v>
      </c>
      <c r="F491" s="249">
        <f t="shared" si="81"/>
        <v>87.899917965545526</v>
      </c>
      <c r="G491" s="249">
        <f>IFERROR(ROUNDUP(F491*'Customer Base'!$J$5,2),0)</f>
        <v>1406.4</v>
      </c>
      <c r="H491" s="249">
        <f t="shared" si="82"/>
        <v>87.899917965545526</v>
      </c>
      <c r="I491" s="249">
        <f>IFERROR(ROUNDUP(H491*'Customer Base'!$J$5,2),0)</f>
        <v>1406.4</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2639</v>
      </c>
      <c r="D492" s="321">
        <v>107.15</v>
      </c>
      <c r="E492" s="321">
        <v>107.15</v>
      </c>
      <c r="F492" s="249">
        <f t="shared" si="81"/>
        <v>87.899917965545526</v>
      </c>
      <c r="G492" s="249">
        <f>IFERROR(ROUNDUP(F492*'Customer Base'!$J$5,2),0)</f>
        <v>1406.4</v>
      </c>
      <c r="H492" s="249">
        <f t="shared" si="82"/>
        <v>87.899917965545526</v>
      </c>
      <c r="I492" s="249">
        <f>IFERROR(ROUNDUP(H492*'Customer Base'!$J$5,2),0)</f>
        <v>1406.4</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20</v>
      </c>
      <c r="B494" s="270">
        <v>20</v>
      </c>
      <c r="C494" s="250" t="s">
        <v>944</v>
      </c>
      <c r="D494" s="321">
        <v>9.0299999999999994</v>
      </c>
      <c r="E494" s="321">
        <v>8.5050000000000008</v>
      </c>
      <c r="F494" s="249">
        <f>$D494/1.219</f>
        <v>7.4077112387202613</v>
      </c>
      <c r="G494" s="249">
        <f>IFERROR(ROUNDUP(F494*'Customer Base'!$J$5,2),0)</f>
        <v>118.53</v>
      </c>
      <c r="H494" s="249">
        <f>$E494/1.219</f>
        <v>6.9770303527481543</v>
      </c>
      <c r="I494" s="249">
        <f>IFERROR(ROUNDUP(H494*'Customer Base'!$J$5,2),0)</f>
        <v>111.64</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343.63</v>
      </c>
      <c r="H495" s="249">
        <f>$E495/1.219</f>
        <v>20.226415094339622</v>
      </c>
      <c r="I495" s="249">
        <f>IFERROR(ROUNDUP(H495*'Customer Base'!$J$5,2),0)</f>
        <v>323.63</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1937</v>
      </c>
      <c r="D496" s="321">
        <v>3.1</v>
      </c>
      <c r="E496" s="321">
        <v>2.9159999999999999</v>
      </c>
      <c r="F496" s="249">
        <f t="shared" ref="F496:F497" si="83">$D496/1.219</f>
        <v>2.5430680885972108</v>
      </c>
      <c r="G496" s="249">
        <f>IFERROR(ROUNDUP(F496*'Customer Base'!$J$5,2),0)</f>
        <v>40.69</v>
      </c>
      <c r="H496" s="249">
        <f t="shared" ref="H496:H497" si="84">$E496/1.219</f>
        <v>2.3921246923707957</v>
      </c>
      <c r="I496" s="249">
        <f>IFERROR(ROUNDUP(H496*'Customer Base'!$J$5,2),0)</f>
        <v>38.28</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1938</v>
      </c>
      <c r="D497" s="321">
        <v>3.13</v>
      </c>
      <c r="E497" s="321">
        <v>2.948</v>
      </c>
      <c r="F497" s="249">
        <f t="shared" si="83"/>
        <v>2.5676784249384741</v>
      </c>
      <c r="G497" s="249">
        <f>IFERROR(ROUNDUP(F497*'Customer Base'!$J$5,2),0)</f>
        <v>41.089999999999996</v>
      </c>
      <c r="H497" s="249">
        <f t="shared" si="84"/>
        <v>2.4183757178014762</v>
      </c>
      <c r="I497" s="249">
        <f>IFERROR(ROUNDUP(H497*'Customer Base'!$J$5,2),0)</f>
        <v>38.699999999999996</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B499" s="270">
        <v>2</v>
      </c>
      <c r="C499" s="343" t="s">
        <v>969</v>
      </c>
      <c r="D499" s="321">
        <v>16.949152542370001</v>
      </c>
      <c r="E499" s="321">
        <v>16.949152542370001</v>
      </c>
      <c r="F499" s="321">
        <f t="shared" si="81"/>
        <v>13.904144825570139</v>
      </c>
      <c r="G499" s="321">
        <f>IFERROR(ROUNDUP(F499*'Customer Base'!$J$5,2),0)</f>
        <v>222.47</v>
      </c>
      <c r="H499" s="321">
        <f t="shared" si="82"/>
        <v>13.904144825570139</v>
      </c>
      <c r="I499" s="321">
        <f>IFERROR(ROUNDUP(H499*'Customer Base'!$J$5,2),0)</f>
        <v>222.47</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1978.94</v>
      </c>
      <c r="H500" s="321">
        <f t="shared" si="82"/>
        <v>123.68334700574241</v>
      </c>
      <c r="I500" s="321">
        <f>IFERROR(ROUNDUP(H500*'Customer Base'!$J$5,2),0)</f>
        <v>1978.94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B502" s="270">
        <v>1</v>
      </c>
      <c r="C502" s="250" t="s">
        <v>1849</v>
      </c>
      <c r="D502" s="321">
        <v>120</v>
      </c>
      <c r="E502" s="321">
        <v>120</v>
      </c>
      <c r="F502" s="249">
        <f t="shared" si="81"/>
        <v>98.441345365053309</v>
      </c>
      <c r="G502" s="249">
        <f>IFERROR(ROUNDUP(F502*'Customer Base'!$J$5,2),0)</f>
        <v>1575.07</v>
      </c>
      <c r="H502" s="249">
        <f t="shared" si="82"/>
        <v>98.441345365053309</v>
      </c>
      <c r="I502" s="249">
        <f>IFERROR(ROUNDUP(H502*'Customer Base'!$J$5,2),0)</f>
        <v>1575.07</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1890</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29.5</v>
      </c>
      <c r="B505" s="270">
        <v>56</v>
      </c>
      <c r="C505" s="237" t="s">
        <v>1848</v>
      </c>
      <c r="D505" s="267">
        <v>86</v>
      </c>
      <c r="E505" s="267">
        <v>81</v>
      </c>
      <c r="F505" s="238">
        <f>$D505/1.219</f>
        <v>70.549630844954876</v>
      </c>
      <c r="G505" s="238">
        <f>IFERROR(ROUNDUP(F505*'Customer Base'!$J$5,2),0)</f>
        <v>1128.8</v>
      </c>
      <c r="H505" s="238">
        <f>$E505/1.219</f>
        <v>66.44790812141099</v>
      </c>
      <c r="I505" s="238">
        <f>IFERROR(ROUNDUP(H505*'Customer Base'!$J$5,2),0)</f>
        <v>1063.17</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2746</v>
      </c>
      <c r="D506" s="267">
        <v>473</v>
      </c>
      <c r="E506" s="267">
        <v>445.5</v>
      </c>
      <c r="F506" s="238">
        <f>$D506/1.219</f>
        <v>388.02296964725184</v>
      </c>
      <c r="G506" s="238">
        <f>IFERROR(ROUNDUP(F506*'Customer Base'!$J$5,2),0)</f>
        <v>6208.37</v>
      </c>
      <c r="H506" s="238">
        <f>$E506/1.219</f>
        <v>365.46349466776041</v>
      </c>
      <c r="I506" s="238">
        <f>IFERROR(ROUNDUP(H506*'Customer Base'!$J$5,2),0)</f>
        <v>5847.42</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1704</v>
      </c>
      <c r="D507" s="267">
        <v>490.2</v>
      </c>
      <c r="E507" s="267">
        <v>461.7</v>
      </c>
      <c r="F507" s="238">
        <f t="shared" ref="F507" si="86">$D507/1.219</f>
        <v>402.13289581624281</v>
      </c>
      <c r="G507" s="238">
        <f>IFERROR(ROUNDUP(F507*'Customer Base'!$J$5,2),0)</f>
        <v>6434.13</v>
      </c>
      <c r="H507" s="238">
        <f t="shared" ref="H507" si="87">$E507/1.219</f>
        <v>378.75307629204264</v>
      </c>
      <c r="I507" s="238">
        <f>IFERROR(ROUNDUP(H507*'Customer Base'!$J$5,2),0)</f>
        <v>6060.05</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1268</v>
      </c>
      <c r="D509" s="238">
        <f>IF(F509="",IF(G509&lt;&gt;"",ROUNDUP(G509*1.219/'Customer Base'!$J$5,1),""),ROUNDUP(F509*1.219,1))</f>
        <v>1198.0999999999999</v>
      </c>
      <c r="E509" s="238">
        <f>IF(H509="",IF(I509&lt;&gt;"",ROUNDUP(I509*1.219/'Customer Base'!$J$5,1),""),ROUNDUP(H509*1.219,1))</f>
        <v>1198.0999999999999</v>
      </c>
      <c r="F509" s="238">
        <f>'Customer Base'!$J$9*14</f>
        <v>982.80000000000007</v>
      </c>
      <c r="G509" s="238">
        <f>IFERROR(ROUNDUP(F509*'Customer Base'!$J$5,2),0)</f>
        <v>15724.8</v>
      </c>
      <c r="H509" s="238">
        <f>'Customer Base'!$J$9*14</f>
        <v>982.80000000000007</v>
      </c>
      <c r="I509" s="238">
        <f>IFERROR(ROUNDUP(H509*'Customer Base'!$J$5,2),0)</f>
        <v>15724.8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1355</v>
      </c>
      <c r="D510" s="238">
        <f>IF(F510="",IF(G510&lt;&gt;"",ROUNDUP(G510*1.219/'Customer Base'!$J$5,1),""),ROUNDUP(F510*1.219,1))</f>
        <v>1198.0999999999999</v>
      </c>
      <c r="E510" s="238">
        <f>IF(H510="",IF(I510&lt;&gt;"",ROUNDUP(I510*1.219/'Customer Base'!$J$5,1),""),ROUNDUP(H510*1.219,1))</f>
        <v>1198.0999999999999</v>
      </c>
      <c r="F510" s="238">
        <f>'Customer Base'!$J$9*14</f>
        <v>982.80000000000007</v>
      </c>
      <c r="G510" s="238">
        <f>IFERROR(ROUNDUP(F510*'Customer Base'!$J$5,2),0)</f>
        <v>15724.8</v>
      </c>
      <c r="H510" s="238">
        <f>'Customer Base'!$J$9*14</f>
        <v>982.80000000000007</v>
      </c>
      <c r="I510" s="238">
        <f>IFERROR(ROUNDUP(H510*'Customer Base'!$J$5,2),0)</f>
        <v>15724.8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1898</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1748</v>
      </c>
      <c r="D513" s="325">
        <v>309.60000000000002</v>
      </c>
      <c r="E513" s="325">
        <v>291.60000000000002</v>
      </c>
      <c r="F513" s="255">
        <f>$D513/1.219</f>
        <v>253.97867104183757</v>
      </c>
      <c r="G513" s="255">
        <f>IFERROR(ROUNDUP(F513*'Customer Base'!$J$5,2),0)</f>
        <v>4063.6600000000003</v>
      </c>
      <c r="H513" s="255">
        <f>$E513/1.219</f>
        <v>239.21246923707957</v>
      </c>
      <c r="I513" s="255">
        <f>IFERROR(ROUNDUP(H513*'Customer Base'!$J$5,2),0)</f>
        <v>3827.4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1749</v>
      </c>
      <c r="D514" s="325">
        <v>361.2</v>
      </c>
      <c r="E514" s="325">
        <v>340.2</v>
      </c>
      <c r="F514" s="255">
        <f t="shared" ref="F514:F526" si="88">$D514/1.219</f>
        <v>296.30844954881047</v>
      </c>
      <c r="G514" s="255">
        <f>IFERROR(ROUNDUP(F514*'Customer Base'!$J$5,2),0)</f>
        <v>4740.9400000000005</v>
      </c>
      <c r="H514" s="255">
        <f t="shared" ref="H514:H526" si="89">$E514/1.219</f>
        <v>279.08121410992612</v>
      </c>
      <c r="I514" s="255">
        <f>IFERROR(ROUNDUP(H514*'Customer Base'!$J$5,2),0)</f>
        <v>4465.3</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1750</v>
      </c>
      <c r="D515" s="325">
        <v>395.6</v>
      </c>
      <c r="E515" s="325">
        <v>372.6</v>
      </c>
      <c r="F515" s="255">
        <f t="shared" si="88"/>
        <v>324.52830188679246</v>
      </c>
      <c r="G515" s="255">
        <f>IFERROR(ROUNDUP(F515*'Customer Base'!$J$5,2),0)</f>
        <v>5192.46</v>
      </c>
      <c r="H515" s="255">
        <f t="shared" si="89"/>
        <v>305.66037735849056</v>
      </c>
      <c r="I515" s="255">
        <f>IFERROR(ROUNDUP(H515*'Customer Base'!$J$5,2),0)</f>
        <v>4890.5700000000006</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1751</v>
      </c>
      <c r="D516" s="325">
        <v>636.4</v>
      </c>
      <c r="E516" s="325">
        <v>599.4</v>
      </c>
      <c r="F516" s="255">
        <f t="shared" si="88"/>
        <v>522.06726825266605</v>
      </c>
      <c r="G516" s="255">
        <f>IFERROR(ROUNDUP(F516*'Customer Base'!$J$5,2),0)</f>
        <v>8353.08</v>
      </c>
      <c r="H516" s="255">
        <f t="shared" si="89"/>
        <v>491.71452009844131</v>
      </c>
      <c r="I516" s="255">
        <f>IFERROR(ROUNDUP(H516*'Customer Base'!$J$5,2),0)</f>
        <v>7867.4400000000005</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1752</v>
      </c>
      <c r="D517" s="325">
        <v>481.6</v>
      </c>
      <c r="E517" s="325">
        <v>453.6</v>
      </c>
      <c r="F517" s="255">
        <f t="shared" si="88"/>
        <v>395.07793273174735</v>
      </c>
      <c r="G517" s="255">
        <f>IFERROR(ROUNDUP(F517*'Customer Base'!$J$5,2),0)</f>
        <v>6321.25</v>
      </c>
      <c r="H517" s="255">
        <f t="shared" si="89"/>
        <v>372.10828547990155</v>
      </c>
      <c r="I517" s="255">
        <f>IFERROR(ROUNDUP(H517*'Customer Base'!$J$5,2),0)</f>
        <v>5953.74</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1753</v>
      </c>
      <c r="D518" s="325">
        <v>834.2</v>
      </c>
      <c r="E518" s="325">
        <v>785.7</v>
      </c>
      <c r="F518" s="255">
        <f t="shared" si="88"/>
        <v>684.33141919606237</v>
      </c>
      <c r="G518" s="255">
        <f>IFERROR(ROUNDUP(F518*'Customer Base'!$J$5,2),0)</f>
        <v>10949.31</v>
      </c>
      <c r="H518" s="255">
        <f t="shared" si="89"/>
        <v>644.54470877768665</v>
      </c>
      <c r="I518" s="255">
        <f>IFERROR(ROUNDUP(H518*'Customer Base'!$J$5,2),0)</f>
        <v>10312.719999999999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1754</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1743</v>
      </c>
      <c r="D522" s="325">
        <v>344</v>
      </c>
      <c r="E522" s="325">
        <v>324</v>
      </c>
      <c r="F522" s="255">
        <f t="shared" si="88"/>
        <v>282.19852337981951</v>
      </c>
      <c r="G522" s="255">
        <f>IFERROR(ROUNDUP(F522*'Customer Base'!$J$5,2),0)</f>
        <v>4515.18</v>
      </c>
      <c r="H522" s="255">
        <f t="shared" si="89"/>
        <v>265.79163248564396</v>
      </c>
      <c r="I522" s="255">
        <f>IFERROR(ROUNDUP(H522*'Customer Base'!$J$5,2),0)</f>
        <v>4252.67</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1744</v>
      </c>
      <c r="D523" s="325">
        <v>481.6</v>
      </c>
      <c r="E523" s="325">
        <v>453.6</v>
      </c>
      <c r="F523" s="255">
        <f t="shared" si="88"/>
        <v>395.07793273174735</v>
      </c>
      <c r="G523" s="255">
        <f>IFERROR(ROUNDUP(F523*'Customer Base'!$J$5,2),0)</f>
        <v>6321.25</v>
      </c>
      <c r="H523" s="255">
        <f t="shared" si="89"/>
        <v>372.10828547990155</v>
      </c>
      <c r="I523" s="255">
        <f>IFERROR(ROUNDUP(H523*'Customer Base'!$J$5,2),0)</f>
        <v>5953.74</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1745</v>
      </c>
      <c r="D524" s="325">
        <v>524.6</v>
      </c>
      <c r="E524" s="325">
        <v>494.1</v>
      </c>
      <c r="F524" s="255">
        <f t="shared" si="88"/>
        <v>430.35274815422474</v>
      </c>
      <c r="G524" s="255">
        <f>IFERROR(ROUNDUP(F524*'Customer Base'!$J$5,2),0)</f>
        <v>6885.6500000000005</v>
      </c>
      <c r="H524" s="255">
        <f t="shared" si="89"/>
        <v>405.33223954060702</v>
      </c>
      <c r="I524" s="255">
        <f>IFERROR(ROUNDUP(H524*'Customer Base'!$J$5,2),0)</f>
        <v>6485.3200000000006</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1746</v>
      </c>
      <c r="D525" s="325">
        <v>645</v>
      </c>
      <c r="E525" s="325">
        <v>607.5</v>
      </c>
      <c r="F525" s="255">
        <f t="shared" si="88"/>
        <v>529.12223133716157</v>
      </c>
      <c r="G525" s="255">
        <f>IFERROR(ROUNDUP(F525*'Customer Base'!$J$5,2),0)</f>
        <v>8465.9600000000009</v>
      </c>
      <c r="H525" s="255">
        <f t="shared" si="89"/>
        <v>498.35931091058239</v>
      </c>
      <c r="I525" s="255">
        <f>IFERROR(ROUNDUP(H525*'Customer Base'!$J$5,2),0)</f>
        <v>7973.75</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1747</v>
      </c>
      <c r="D526" s="325">
        <v>722.4</v>
      </c>
      <c r="E526" s="325">
        <v>680.4</v>
      </c>
      <c r="F526" s="255">
        <f t="shared" si="88"/>
        <v>592.61689909762094</v>
      </c>
      <c r="G526" s="255">
        <f>IFERROR(ROUNDUP(F526*'Customer Base'!$J$5,2),0)</f>
        <v>9481.880000000001</v>
      </c>
      <c r="H526" s="255">
        <f t="shared" si="89"/>
        <v>558.16242821985225</v>
      </c>
      <c r="I526" s="255">
        <f>IFERROR(ROUNDUP(H526*'Customer Base'!$J$5,2),0)</f>
        <v>8930.6</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1889</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1316</v>
      </c>
      <c r="D529" s="332">
        <v>127.118644</v>
      </c>
      <c r="E529" s="332">
        <v>127.118644</v>
      </c>
      <c r="F529" s="266">
        <f t="shared" ref="F529:F538" si="90">$D529/1.219</f>
        <v>104.28108613617719</v>
      </c>
      <c r="G529" s="266">
        <f>IFERROR(ROUNDUP(F529*'Customer Base'!$J$5,2),0)</f>
        <v>1668.5</v>
      </c>
      <c r="H529" s="266">
        <f t="shared" ref="H529:H538" si="91">$E529/1.219</f>
        <v>104.28108613617719</v>
      </c>
      <c r="I529" s="266">
        <f>IFERROR(ROUNDUP(H529*'Customer Base'!$J$5,2),0)</f>
        <v>1668.5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1317</v>
      </c>
      <c r="D530" s="332">
        <v>161.01694915249999</v>
      </c>
      <c r="E530" s="332">
        <v>161.01694915249999</v>
      </c>
      <c r="F530" s="266">
        <f t="shared" si="90"/>
        <v>132.08937584290399</v>
      </c>
      <c r="G530" s="266">
        <f>IFERROR(ROUNDUP(F530*'Customer Base'!$J$5,2),0)</f>
        <v>2113.44</v>
      </c>
      <c r="H530" s="266">
        <f t="shared" si="91"/>
        <v>132.08937584290399</v>
      </c>
      <c r="I530" s="266">
        <f>IFERROR(ROUNDUP(H530*'Customer Base'!$J$5,2),0)</f>
        <v>2113.44</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1318</v>
      </c>
      <c r="D531" s="332">
        <v>254.23728813549999</v>
      </c>
      <c r="E531" s="332">
        <v>254.23728813549999</v>
      </c>
      <c r="F531" s="266">
        <f t="shared" si="90"/>
        <v>208.56217238351107</v>
      </c>
      <c r="G531" s="266">
        <f>IFERROR(ROUNDUP(F531*'Customer Base'!$J$5,2),0)</f>
        <v>3337</v>
      </c>
      <c r="H531" s="266">
        <f t="shared" si="91"/>
        <v>208.56217238351107</v>
      </c>
      <c r="I531" s="266">
        <f>IFERROR(ROUNDUP(H531*'Customer Base'!$J$5,2),0)</f>
        <v>3337</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1319</v>
      </c>
      <c r="D532" s="332">
        <v>305.08474576269998</v>
      </c>
      <c r="E532" s="332">
        <v>305.08474576269998</v>
      </c>
      <c r="F532" s="266">
        <f t="shared" si="90"/>
        <v>250.27460686029528</v>
      </c>
      <c r="G532" s="266">
        <f>IFERROR(ROUNDUP(F532*'Customer Base'!$J$5,2),0)</f>
        <v>4004.4</v>
      </c>
      <c r="H532" s="266">
        <f t="shared" si="91"/>
        <v>250.27460686029528</v>
      </c>
      <c r="I532" s="266">
        <f>IFERROR(ROUNDUP(H532*'Customer Base'!$J$5,2),0)</f>
        <v>4004.4</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2327</v>
      </c>
      <c r="D534" s="332">
        <v>60.95</v>
      </c>
      <c r="E534" s="332">
        <v>60.95</v>
      </c>
      <c r="F534" s="266">
        <f t="shared" si="90"/>
        <v>50</v>
      </c>
      <c r="G534" s="266">
        <f>IFERROR(ROUNDUP(F534*'Customer Base'!$J$5,2),0)</f>
        <v>800</v>
      </c>
      <c r="H534" s="266">
        <f t="shared" si="91"/>
        <v>50</v>
      </c>
      <c r="I534" s="266">
        <f>IFERROR(ROUNDUP(H534*'Customer Base'!$J$5,2),0)</f>
        <v>800</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1312</v>
      </c>
      <c r="D535" s="332">
        <v>161.02000000000001</v>
      </c>
      <c r="E535" s="332">
        <v>161.02000000000001</v>
      </c>
      <c r="F535" s="266">
        <f t="shared" si="90"/>
        <v>132.09187858900739</v>
      </c>
      <c r="G535" s="266">
        <f>IFERROR(ROUNDUP(F535*'Customer Base'!$J$5,2),0)</f>
        <v>2113.48</v>
      </c>
      <c r="H535" s="266">
        <f t="shared" si="91"/>
        <v>132.09187858900739</v>
      </c>
      <c r="I535" s="266">
        <f>IFERROR(ROUNDUP(H535*'Customer Base'!$J$5,2),0)</f>
        <v>2113.48</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1313</v>
      </c>
      <c r="D536" s="332">
        <v>254.24</v>
      </c>
      <c r="E536" s="332">
        <v>254.24</v>
      </c>
      <c r="F536" s="266">
        <f t="shared" si="90"/>
        <v>208.56439704675964</v>
      </c>
      <c r="G536" s="266">
        <f>IFERROR(ROUNDUP(F536*'Customer Base'!$J$5,2),0)</f>
        <v>3337.0400000000004</v>
      </c>
      <c r="H536" s="266">
        <f t="shared" si="91"/>
        <v>208.56439704675964</v>
      </c>
      <c r="I536" s="266">
        <f>IFERROR(ROUNDUP(H536*'Customer Base'!$J$5,2),0)</f>
        <v>3337.0400000000004</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1314</v>
      </c>
      <c r="D537" s="332">
        <v>305.08</v>
      </c>
      <c r="E537" s="332">
        <v>305.08</v>
      </c>
      <c r="F537" s="266">
        <f t="shared" si="90"/>
        <v>250.27071369975386</v>
      </c>
      <c r="G537" s="266">
        <f>IFERROR(ROUNDUP(F537*'Customer Base'!$J$5,2),0)</f>
        <v>4004.34</v>
      </c>
      <c r="H537" s="266">
        <f t="shared" si="91"/>
        <v>250.27071369975386</v>
      </c>
      <c r="I537" s="266">
        <f>IFERROR(ROUNDUP(H537*'Customer Base'!$J$5,2),0)</f>
        <v>4004.34</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1315</v>
      </c>
      <c r="D538" s="332">
        <v>415.28</v>
      </c>
      <c r="E538" s="332">
        <v>415.28</v>
      </c>
      <c r="F538" s="266">
        <f t="shared" si="90"/>
        <v>340.67268252666116</v>
      </c>
      <c r="G538" s="266">
        <f>IFERROR(ROUNDUP(F538*'Customer Base'!$J$5,2),0)</f>
        <v>5450.77</v>
      </c>
      <c r="H538" s="266">
        <f t="shared" si="91"/>
        <v>340.67268252666116</v>
      </c>
      <c r="I538" s="266">
        <f>IFERROR(ROUNDUP(H538*'Customer Base'!$J$5,2),0)</f>
        <v>5450.77</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525</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6890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1888</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1615</v>
      </c>
      <c r="D544" s="330">
        <f>ROUNDUP('Customer Base'!J9*4,-2)</f>
        <v>300</v>
      </c>
      <c r="E544" s="330">
        <f>ROUNDUP('Customer Base'!J9*4,-2)</f>
        <v>300</v>
      </c>
      <c r="F544" s="263">
        <f t="shared" si="95"/>
        <v>246.10336341263329</v>
      </c>
      <c r="G544" s="263">
        <f>IFERROR(ROUNDUP(F544*'Customer Base'!$J$5,2),0)</f>
        <v>3937.6600000000003</v>
      </c>
      <c r="H544" s="263">
        <f t="shared" si="96"/>
        <v>246.10336341263329</v>
      </c>
      <c r="I544" s="263">
        <f>IFERROR(ROUNDUP(H544*'Customer Base'!$J$5,2),0)</f>
        <v>3937.6600000000003</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262.52</v>
      </c>
      <c r="H546" s="263">
        <f>$E546/1.219</f>
        <v>16.406890894175554</v>
      </c>
      <c r="I546" s="263">
        <f>IFERROR(ROUNDUP(H546*'Customer Base'!$J$5,2),0)</f>
        <v>262.52</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1221</v>
      </c>
      <c r="D547" s="330">
        <v>43.75</v>
      </c>
      <c r="E547" s="330">
        <v>43.75</v>
      </c>
      <c r="F547" s="263">
        <f>$D547/1.219</f>
        <v>35.890073831009019</v>
      </c>
      <c r="G547" s="263">
        <f>IFERROR(ROUNDUP(F547*'Customer Base'!$J$5,2),0)</f>
        <v>574.25</v>
      </c>
      <c r="H547" s="263">
        <f>$E547/1.219</f>
        <v>35.890073831009019</v>
      </c>
      <c r="I547" s="263">
        <f>IFERROR(ROUNDUP(H547*'Customer Base'!$J$5,2),0)</f>
        <v>574.25</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1887</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1525</v>
      </c>
      <c r="D550" s="333">
        <f>F550*1.219</f>
        <v>3822.6586624200008</v>
      </c>
      <c r="E550" s="333">
        <f>H550*1.219</f>
        <v>3394.6399082700004</v>
      </c>
      <c r="F550" s="249">
        <f>(IF(ISNA(VLOOKUP(INVOICE!$C$13,Items!$K$6:$L$56,2,0)),0,ROUNDUP(VLOOKUP(INVOICE!$C$13,Items!$K$6:$L$56,2,0),0))+(0.25%*ROUNDUP(SUMPRODUCT($B$242:$B$254,F$242:F$254),-1)*'Customer Base'!J9/10))*(IF('Customer Base'!J9&lt;10,1,'Customer Base'!J9/10))</f>
        <v>3135.8971800000004</v>
      </c>
      <c r="G550" s="249">
        <f>IFERROR(ROUNDUP(F550*'Customer Base'!$J$5,0),0)</f>
        <v>50175</v>
      </c>
      <c r="H550" s="249">
        <f>(IF(ISNA(VLOOKUP(INVOICE!$C$13,Items!$K$6:$L$56,2,0)),0,ROUNDUP(VLOOKUP(INVOICE!$C$13,Items!$K$6:$L$56,2,0),0))+(0.25%*ROUNDUP(SUMPRODUCT($B$242:$B$254,H$242:H$254),-1)*'Customer Base'!J9/10))*(IF('Customer Base'!J9&lt;10,1,'Customer Base'!J9/10))</f>
        <v>2784.7743300000002</v>
      </c>
      <c r="I550" s="249">
        <f>IFERROR(ROUNDUP(H550*'Customer Base'!$J$5,0),0)</f>
        <v>44557</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1301</v>
      </c>
      <c r="D551" s="333">
        <f>F551*1.219</f>
        <v>544.53827100000001</v>
      </c>
      <c r="E551" s="333">
        <f>H551*1.219</f>
        <v>483.56693850000005</v>
      </c>
      <c r="F551" s="249">
        <f>IF(ISNA(VLOOKUP(INVOICE!$C$13,Items!$K$6:$L$56,2,0)),0,ROUNDUP(VLOOKUP(INVOICE!$C$13,Items!$K$6:$L$56,2,0),0))+0.25%*ROUNDUP(SUMPRODUCT($B$242:$B$254,F$242:F$254),-1)*'Customer Base'!J9/10</f>
        <v>446.709</v>
      </c>
      <c r="G551" s="249">
        <f>IFERROR(ROUNDUP(F551*'Customer Base'!$J$5,0),0)</f>
        <v>7148</v>
      </c>
      <c r="H551" s="249">
        <f>IF(ISNA(VLOOKUP(INVOICE!$C$13,Items!$K$6:$L$56,2,0)),0,ROUNDUP(VLOOKUP(INVOICE!$C$13,Items!$K$6:$L$56,2,0),0))+0.25%*ROUNDUP(SUMPRODUCT($B$242:$B$254,H$242:H$254),-1)*'Customer Base'!J9/10</f>
        <v>396.69150000000002</v>
      </c>
      <c r="I551" s="249">
        <f>IFERROR(ROUNDUP(H551*'Customer Base'!$J$5,0),0)</f>
        <v>6348</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3822.6586624200008</v>
      </c>
      <c r="E553" s="333">
        <f>H553*1.219</f>
        <v>3394.6399082700004</v>
      </c>
      <c r="F553" s="268">
        <f>F550+F552</f>
        <v>3135.8971800000004</v>
      </c>
      <c r="G553" s="249">
        <f>IFERROR(ROUNDUP(F553*'Customer Base'!$J$5,2),0)</f>
        <v>50174.36</v>
      </c>
      <c r="H553" s="268">
        <f>H550+H552</f>
        <v>2784.7743300000002</v>
      </c>
      <c r="I553" s="249">
        <f>IFERROR(ROUNDUP(H553*'Customer Base'!$J$5,2),0)</f>
        <v>44556.39</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1594</v>
      </c>
      <c r="D554" s="321">
        <f>'Customer Base'!J9/35</f>
        <v>2.0057142857142858</v>
      </c>
      <c r="E554" s="321">
        <f>'Customer Base'!J9/35</f>
        <v>2.0057142857142858</v>
      </c>
      <c r="F554" s="249">
        <f t="shared" ref="F554" si="98">$D554/1.219</f>
        <v>1.6453767725301769</v>
      </c>
      <c r="G554" s="249">
        <f>IFERROR(ROUNDUP(F554*'Customer Base'!$J$5,2),0)</f>
        <v>26.330000000000002</v>
      </c>
      <c r="H554" s="249">
        <f t="shared" ref="H554" si="99">$E554/1.219</f>
        <v>1.6453767725301769</v>
      </c>
      <c r="I554" s="249">
        <f>IFERROR(ROUNDUP(H554*'Customer Base'!$J$5,2),0)</f>
        <v>26.330000000000002</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1676</v>
      </c>
      <c r="D556" s="321">
        <f ca="1">IF(F556="",IF(G556&lt;&gt;"",ROUNDUP(G556*1.219/'Customer Base'!$J$5,1),""),ROUNDUP(F556*1.219,1))</f>
        <v>1562.6999999999998</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20510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1526</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1738</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3" priority="8" stopIfTrue="1" operator="equal">
      <formula>0</formula>
    </cfRule>
    <cfRule type="cellIs" dxfId="62" priority="12" operator="greaterThan">
      <formula>0</formula>
    </cfRule>
  </conditionalFormatting>
  <conditionalFormatting sqref="G1 N1:O4 Q15:AL20 H561:J1048576">
    <cfRule type="cellIs" dxfId="61" priority="21" operator="equal">
      <formula>0</formula>
    </cfRule>
  </conditionalFormatting>
  <conditionalFormatting sqref="H555:I560">
    <cfRule type="cellIs" dxfId="60" priority="3" operator="equal">
      <formula>0</formula>
    </cfRule>
  </conditionalFormatting>
  <conditionalFormatting sqref="P6:V7 AC6:AL14 N6:N686 Q8:V14 P8:P22 Q15:AK23 P24:AK35 AC26:AL34 P28:P42 Q35:AL43">
    <cfRule type="cellIs" dxfId="59"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8" priority="11" operator="equal">
      <formula>0</formula>
    </cfRule>
  </conditionalFormatting>
  <conditionalFormatting sqref="BA6:BC53">
    <cfRule type="cellIs" dxfId="57"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H2" activePane="bottomRight" state="frozen"/>
      <selection activeCell="O51" sqref="O51"/>
      <selection pane="topRight" activeCell="O51" sqref="O51"/>
      <selection pane="bottomLeft" activeCell="O51" sqref="O51"/>
      <selection pane="bottomRight" activeCell="N2" sqref="N2"/>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Base'!D7&lt;&gt;"Mini-Grid",SUM(Items!A242:A254),ROUND(SUM(Items!A242:A254)-('Customer Base'!K11*('Customer Base'!F14*'Customer Base'!F15)/('Customer Base'!D26/1000)),0))</f>
        <v>37</v>
      </c>
      <c r="O1" s="209">
        <f>IF(MOD($N$1,ROW())=0,ROW(),"")</f>
        <v>1</v>
      </c>
      <c r="P1" s="209">
        <f>IFERROR(LARGE(O$1:O$200, ROW()), "")</f>
        <v>37</v>
      </c>
      <c r="Q1" s="209" t="str" cm="1">
        <f t="array" ref="Q1">SUBSTITUTE(TRIM(_xlfn.CONCAT(P1:P100 &amp; " ")), " ", ", ")</f>
        <v>37, 1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1</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t="str">
        <f t="shared" si="1"/>
        <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t="str">
        <f t="shared" si="0"/>
        <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f t="shared" si="0"/>
        <v>37</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17">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17">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3</v>
      </c>
      <c r="ED474" s="209">
        <f ca="1">MIN(ED475:ED491)</f>
        <v>1</v>
      </c>
      <c r="EE474" s="311">
        <f ca="1">IF(EE489=1,2,IF(EE483=1,2,IF(EE477=1,2,IF(EE490=1,3,IF(EE484=1,3,IF(EE478=1,3,IF(EE491=1,4,IF(EE485=1,4,IF(EE479=1,4,0)))))))))</f>
        <v>3</v>
      </c>
      <c r="EF474" s="311">
        <f ca="1">IF(EE474=0,1,EE474)*IF(EG474=250,MIN(AA501,AE498),IF(EG474=150,MIN(AA501,AE497),IF(EG474=100,MIN(AA501,AE496),SUM(Items!A242:A254))))*'Customer Base'!$D26*0.8</f>
        <v>5760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480</v>
      </c>
      <c r="IO474" s="209">
        <f ca="1">IF(IM489=1,250,IF(IM483=1,150,IF(IM477=1,100,IF(IM490=1,250,IF(IM484=1,150,IF(IM478=1,100,IF(IM491=1,250,IF(IM485=1,150,IF(IM479=1,100,IF(AND(IK474=0,ED474&lt;&gt;0),100,0))))))))))</f>
        <v>100</v>
      </c>
      <c r="IP474" s="209">
        <f ca="1">IF(AND(IO474=100,'Customer Base'!D8=12,'Client List'!IN474&gt;Items!AQ262),150,IF(AND(IO474=100,'Customer Base'!D8=24,IN474&gt;Items!AR262),150,IF(AND(IO474=100,'Customer Base'!D8=48,IN474&gt;Items!AS260),150,IO474)))</f>
        <v>100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1.3999999999999986</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1</v>
      </c>
      <c r="AG477" s="209">
        <f ca="1">IF($AE496*$AA477*'Customer Base'!$D$26*0.8&gt;5800,"",IF($AE496*$AA477&gt;$AA501,"",IF(($AA$477*AG$476*$AE$496)&lt;=$AA$501,((MOD($AA$501,($AA$477*AG$476*$AE$496)))),"")))</f>
        <v>5</v>
      </c>
      <c r="AH477" s="209">
        <f ca="1">IF($AE496*$AA477*'Customer Base'!$D$26*0.8&gt;5800,"",IF($AE496*$AA477&gt;$AA501,"",IF(($AA$477*AH$476*$AE$496)&lt;=$AA$501,((MOD($AA$501,($AA$477*AH$476*$AE$496)))),"")))</f>
        <v>1</v>
      </c>
      <c r="AI477" s="209">
        <f ca="1">IF($AE496*$AA477*'Customer Base'!$D$26*0.8&gt;5800,"",IF($AE496*$AA477&gt;$AA501,"",IF(($AA$477*AI$476*$AE$496)&lt;=$AA$501,((MOD($AA$501,($AA$477*AI$476*$AE$496)))),"")))</f>
        <v>5</v>
      </c>
      <c r="AJ477" s="209">
        <f ca="1">IF($AE496*$AA477*'Customer Base'!$D$26*0.8&gt;5800,"",IF($AE496*$AA477&gt;$AA501,"",IF(($AA$477*AJ$476*$AE$496)&lt;=$AA$501,((MOD($AA$501,($AA$477*AJ$476*$AE$496)))),"")))</f>
        <v>17</v>
      </c>
      <c r="AK477" s="209">
        <f ca="1">IF($AE496*$AA477*'Customer Base'!$D$26*0.8&gt;5800,"",IF($AE496*$AA477&gt;$AA501,"",IF(($AA$477*AK$476*$AE$496)&lt;=$AA$501,((MOD($AA$501,($AA$477*AK$476*$AE$496)))),"")))</f>
        <v>13</v>
      </c>
      <c r="AL477" s="209">
        <f ca="1">IF($AE496*$AA477*'Customer Base'!$D$26*0.8&gt;5800,"",IF($AE496*$AA477&gt;$AA501,"",IF(($AA$477*AL$476*$AE$496)&lt;=$AA$501,((MOD($AA$501,($AA$477*AL$476*$AE$496)))),"")))</f>
        <v>9</v>
      </c>
      <c r="AM477" s="209">
        <f ca="1">IF($AE496*$AA477*'Customer Base'!$D$26*0.8&gt;5800,"",IF($AE496*$AA477&gt;$AA501,"",IF(($AA$477*AM$476*$AE$496)&lt;=$AA$501,((MOD($AA$501,($AA$477*AM$476*$AE$496)))),"")))</f>
        <v>5</v>
      </c>
      <c r="AN477" s="209">
        <f ca="1">IF($AE496*$AA477*'Customer Base'!$D$26*0.8&gt;5800,"",IF($AE496*$AA477&gt;$AA501,"",IF(($AA$477*AN$476*$AE$496)&lt;=$AA$501,((MOD($AA$501,($AA$477*AN$476*$AE$496)))),"")))</f>
        <v>1</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9</v>
      </c>
      <c r="ED477" s="311" t="str" cm="1">
        <f t="array" aca="1" ref="ED477" ca="1">IF(EC$474=EC477,LOOKUP(2,1/(AF477:EA477&lt;&gt;""),AF477:EA477),"")</f>
        <v/>
      </c>
      <c r="EE477" s="311" t="str">
        <f ca="1">IF(ED477=ED$474,1,"")</f>
        <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1328</v>
      </c>
      <c r="C478" s="207" t="s">
        <v>80</v>
      </c>
      <c r="D478" s="207" t="s">
        <v>216</v>
      </c>
      <c r="E478" s="210" t="s">
        <v>1329</v>
      </c>
      <c r="F478" s="102" t="str">
        <f t="shared" si="21"/>
        <v>E</v>
      </c>
      <c r="AA478" s="209">
        <v>3</v>
      </c>
      <c r="AB478" s="311" t="s">
        <v>2683</v>
      </c>
      <c r="AC478" s="209">
        <f ca="1">IFERROR(MOD(AD$493,AA478),"")</f>
        <v>2.3999999999999986</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1</v>
      </c>
      <c r="AH478" s="209">
        <f ca="1">IF($AE496*$AA478*'Customer Base'!$D$26*0.8&gt;5800,"",IF($AE496*$AA478&gt;$AA501,"",IF(($AA$478*AH$476*$AE$496)&lt;=$AA$501,((MOD($AA$501,($AA$478*AH$476*$AE$496)))),"")))</f>
        <v>1</v>
      </c>
      <c r="AI478" s="209">
        <f ca="1">IF($AE496*$AA478*'Customer Base'!$D$26*0.8&gt;5800,"",IF($AE496*$AA478&gt;$AA501,"",IF(($AA$478*AI$476*$AE$496)&lt;=$AA$501,((MOD($AA$501,($AA$478*AI$476*$AE$496)))),"")))</f>
        <v>13</v>
      </c>
      <c r="AJ478" s="209">
        <f ca="1">IF($AE496*$AA478*'Customer Base'!$D$26*0.8&gt;5800,"",IF($AE496*$AA478&gt;$AA501,"",IF(($AA$478*AJ$476*$AE$496)&lt;=$AA$501,((MOD($AA$501,($AA$478*AJ$476*$AE$496)))),"")))</f>
        <v>7</v>
      </c>
      <c r="AK478" s="209">
        <f ca="1">IF($AE496*$AA478*'Customer Base'!$D$26*0.8&gt;5800,"",IF($AE496*$AA478&gt;$AA501,"",IF(($AA$478*AK$476*$AE$496)&lt;=$AA$501,((MOD($AA$501,($AA$478*AK$476*$AE$496)))),"")))</f>
        <v>1</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6</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1330</v>
      </c>
      <c r="C479" s="207" t="s">
        <v>1331</v>
      </c>
      <c r="D479" s="207" t="s">
        <v>216</v>
      </c>
      <c r="E479" s="210" t="s">
        <v>1332</v>
      </c>
      <c r="F479" s="102" t="str">
        <f t="shared" si="21"/>
        <v>R</v>
      </c>
      <c r="AA479" s="209">
        <v>4</v>
      </c>
      <c r="AB479" s="311" t="s">
        <v>2684</v>
      </c>
      <c r="AC479" s="209">
        <f ca="1">IFERROR(MOD(AD$493,AA479),"")</f>
        <v>3.3999999999999986</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5</v>
      </c>
      <c r="AG479" s="209">
        <f ca="1">IF($AE496*$AA479*'Customer Base'!$D$26*0.8&gt;5800,"",IF($AE496*$AA479&gt;$AA501,"",IF(($AA$479*AG$476*$AE$496)&lt;=$AA$501,((MOD($AA$501,($AA$479*AG$476*$AE$496)))),"")))</f>
        <v>5</v>
      </c>
      <c r="AH479" s="209">
        <f ca="1">IF($AE496*$AA479*'Customer Base'!$D$26*0.8&gt;5800,"",IF($AE496*$AA479&gt;$AA501,"",IF(($AA$479*AH$476*$AE$496)&lt;=$AA$501,((MOD($AA$501,($AA$479*AH$476*$AE$496)))),"")))</f>
        <v>13</v>
      </c>
      <c r="AI479" s="209">
        <f ca="1">IF($AE496*$AA479*'Customer Base'!$D$26*0.8&gt;5800,"",IF($AE496*$AA479&gt;$AA501,"",IF(($AA$479*AI$476*$AE$496)&lt;=$AA$501,((MOD($AA$501,($AA$479*AI$476*$AE$496)))),"")))</f>
        <v>5</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4</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1.3999999999999986</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1</v>
      </c>
      <c r="AG483" s="209">
        <f ca="1">IF($AE497*$AA483*'Customer Base'!$D$26*0.8&gt;5800,"",IF($AE497*$AA483&gt;$AA501,"",IF(($AA$483*AG$482*$AE$497)&lt;=$AA$501,((MOD($AA$501,($AA$483*AG$482*$AE$497)))),"")))</f>
        <v>1</v>
      </c>
      <c r="AH483" s="209">
        <f ca="1">IF($AE497*$AA483*'Customer Base'!$D$26*0.8&gt;5800,"",IF($AE497*$AA483&gt;$AA501,"",IF(($AA$483*AH$482*$AE$497)&lt;=$AA$501,((MOD($AA$501,($AA$483*AH$482*$AE$497)))),"")))</f>
        <v>1</v>
      </c>
      <c r="AI483" s="209">
        <f ca="1">IF($AE497*$AA483*'Customer Base'!$D$26*0.8&gt;5800,"",IF($AE497*$AA483&gt;$AA501,"",IF(($AA$483*AI$482*$AE$497)&lt;=$AA$501,((MOD($AA$501,($AA$483*AI$482*$AE$497)))),"")))</f>
        <v>13</v>
      </c>
      <c r="AJ483" s="209">
        <f ca="1">IF($AE497*$AA483*'Customer Base'!$D$26*0.8&gt;5800,"",IF($AE497*$AA483&gt;$AA501,"",IF(($AA$483*AJ$482*$AE$497)&lt;=$AA$501,((MOD($AA$501,($AA$483*AJ$482*$AE$497)))),"")))</f>
        <v>7</v>
      </c>
      <c r="AK483" s="209">
        <f ca="1">IF($AE497*$AA483*'Customer Base'!$D$26*0.8&gt;5800,"",IF($AE497*$AA483&gt;$AA501,"",IF(($AA$483*AK$482*$AE$497)&lt;=$AA$501,((MOD($AA$501,($AA$483*AK$482*$AE$497)))),"")))</f>
        <v>1</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6</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1342</v>
      </c>
      <c r="C484" s="207" t="s">
        <v>1343</v>
      </c>
      <c r="D484" s="207" t="s">
        <v>954</v>
      </c>
      <c r="F484" s="102" t="str">
        <f t="shared" si="21"/>
        <v>E</v>
      </c>
      <c r="AA484" s="209">
        <v>3</v>
      </c>
      <c r="AB484" s="311" t="s">
        <v>2683</v>
      </c>
      <c r="AC484" s="209">
        <f ca="1">IFERROR(MOD(AD$493,AA484),"")</f>
        <v>2.3999999999999986</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1</v>
      </c>
      <c r="AG484" s="209">
        <f ca="1">IF($AE497*$AA484*'Customer Base'!$D$26*0.8&gt;5800,"",IF($AE497*$AA484&gt;$AA501,"",IF(($AA$484*AG$482*$AE$497)&lt;=$AA$501,((MOD($AA$501,($AA$484*AG$482*$AE$497)))),"")))</f>
        <v>1</v>
      </c>
      <c r="AH484" s="209">
        <f ca="1">IF($AE497*$AA484*'Customer Base'!$D$26*0.8&gt;5800,"",IF($AE497*$AA484&gt;$AA501,"",IF(($AA$484*AH$482*$AE$497)&lt;=$AA$501,((MOD($AA$501,($AA$484*AH$482*$AE$497)))),"")))</f>
        <v>10</v>
      </c>
      <c r="AI484" s="209">
        <f ca="1">IF($AE497*$AA484*'Customer Base'!$D$26*0.8&gt;5800,"",IF($AE497*$AA484&gt;$AA501,"",IF(($AA$484*AI$482*$AE$497)&lt;=$AA$501,((MOD($AA$501,($AA$484*AI$482*$AE$497)))),"")))</f>
        <v>1</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4</v>
      </c>
      <c r="ED484" s="311" t="str" cm="1">
        <f t="array" aca="1" ref="ED484" ca="1">IF(EC$474=EC484,LOOKUP(2,1/(AF484:EA484&lt;&gt;""),AF484:EA484),"")</f>
        <v/>
      </c>
      <c r="EE484" s="311" t="str">
        <f ca="1">IF(ED484=ED$474,1,"")</f>
        <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3.3999999999999986</v>
      </c>
      <c r="AD485" s="209" t="str">
        <f ca="1">IF(OR(AD489=1,AD489=""),"",IF(AC485=0,AA485,IF(AND(AC485&lt;&gt;0,AC484&lt;&gt;0,AC483&lt;&gt;0),AA485,IF(AND(AC485&lt;&gt;0,AC484&lt;&gt;0,AC483=0),AA485,""))))</f>
        <v/>
      </c>
      <c r="AE485" s="209" t="str">
        <f ca="1">IFERROR(ROUNDDOWN(AD$493/AD485,0),"")</f>
        <v/>
      </c>
      <c r="AF485" s="209">
        <f ca="1">IF($AE497*$AA485*'Customer Base'!$D$26*0.8&gt;5800,"",IF($AE497*$AA485&gt;$AA501,"",IF(($AA$485*AF$482*$AE$497)&lt;=$AA$501,((MOD($AA$501,($AA$485*AF$482*$AE$497)))),"")))</f>
        <v>1</v>
      </c>
      <c r="AG485" s="209">
        <f ca="1">IF($AE497*$AA485*'Customer Base'!$D$26*0.8&gt;5800,"",IF($AE497*$AA485&gt;$AA501,"",IF(($AA$485*AG$482*$AE$497)&lt;=$AA$501,((MOD($AA$501,($AA$485*AG$482*$AE$497)))),"")))</f>
        <v>13</v>
      </c>
      <c r="AH485" s="209">
        <f ca="1">IF($AE497*$AA485*'Customer Base'!$D$26*0.8&gt;5800,"",IF($AE497*$AA485&gt;$AA501,"",IF(($AA$485*AH$482*$AE$497)&lt;=$AA$501,((MOD($AA$501,($AA$485*AH$482*$AE$497)))),"")))</f>
        <v>1</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3</v>
      </c>
      <c r="ED485" s="311" cm="1">
        <f t="array" aca="1" ref="ED485" ca="1">IF(EC$474=EC485,LOOKUP(2,1/(AF485:EA485&lt;&gt;""),AF485:EA485),"")</f>
        <v>1</v>
      </c>
      <c r="EE485" s="311">
        <f ca="1">IF(ED485=ED$474,1,"")</f>
        <v>1</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1.3999999999999986</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5</v>
      </c>
      <c r="AG489" s="209">
        <f ca="1">IF($AE498*$AA489*'Customer Base'!$D$26*0.8&gt;5800,"",IF($AE498*$AA489&gt;$AA501,"",IF(($AA$489*AG$488*$AE$498)&lt;=$AA$501,((MOD($AA$501,($AA$489*AG$488*$AE$498)))),"")))</f>
        <v>5</v>
      </c>
      <c r="AH489" s="209">
        <f ca="1">IF($AE498*$AA489*'Customer Base'!$D$26*0.8&gt;5800,"",IF($AE498*$AA489&gt;$AA501,"",IF(($AA$489*AH$488*$AE$498)&lt;=$AA$501,((MOD($AA$501,($AA$489*AH$488*$AE$498)))),"")))</f>
        <v>13</v>
      </c>
      <c r="AI489" s="209">
        <f ca="1">IF($AE498*$AA489*'Customer Base'!$D$26*0.8&gt;5800,"",IF($AE498*$AA489&gt;$AA501,"",IF(($AA$489*AI$488*$AE$498)&lt;=$AA$501,((MOD($AA$501,($AA$489*AI$488*$AE$498)))),"")))</f>
        <v>5</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4</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2.3999999999999986</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1</v>
      </c>
      <c r="AG490" s="209">
        <f ca="1">IF($AE498*$AA490*'Customer Base'!$D$26*0.8&gt;5800,"",IF($AE498*$AA490&gt;$AA501,"",IF(($AA$490*AG$488*$AE$498)&lt;=$AA$501,((MOD($AA$501,($AA$490*AG$488*$AE$498)))),"")))</f>
        <v>13</v>
      </c>
      <c r="AH490" s="209">
        <f ca="1">IF($AE498*$AA490*'Customer Base'!$D$26*0.8&gt;5800,"",IF($AE498*$AA490&gt;$AA501,"",IF(($AA$490*AH$488*$AE$498)&lt;=$AA$501,((MOD($AA$501,($AA$490*AH$488*$AE$498)))),"")))</f>
        <v>1</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1</v>
      </c>
      <c r="EE490" s="311">
        <f ca="1">IF(ED490=ED$474,1,"")</f>
        <v>1</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3.3999999999999986</v>
      </c>
      <c r="AD491" s="209">
        <f ca="1">IF(OR(AD493=1,AD493=""),"",IF(AC491=0,AA491,IF(AND(AC491&lt;&gt;0,AC490&lt;&gt;0,AC489&lt;&gt;0),AA491,IF(AND(AC491&lt;&gt;0,AC490&lt;&gt;0,AC489=0),AA491,""))))</f>
        <v>4</v>
      </c>
      <c r="AE491" s="209">
        <f ca="1">IFERROR(ROUNDDOWN(AD$493/AD491,0),"")</f>
        <v>5</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5</v>
      </c>
      <c r="AD493" s="209">
        <f ca="1">IFERROR(SUM(Items!A242:A254)/AC493,"")</f>
        <v>23.4</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1</v>
      </c>
      <c r="AE497" s="209">
        <f ca="1">ROUNDDOWN(AA497/AB$500,0)</f>
        <v>3</v>
      </c>
    </row>
    <row r="498" spans="2:34" ht="17">
      <c r="B498" s="206" t="s">
        <v>1367</v>
      </c>
      <c r="C498" s="207" t="s">
        <v>1368</v>
      </c>
      <c r="D498" s="207" t="s">
        <v>216</v>
      </c>
      <c r="E498" s="210" t="s">
        <v>1369</v>
      </c>
      <c r="F498" s="102" t="str">
        <f t="shared" si="21"/>
        <v>IQ</v>
      </c>
      <c r="AA498" s="209">
        <v>250</v>
      </c>
      <c r="AB498" s="209" t="s">
        <v>2679</v>
      </c>
      <c r="AC498" s="209" t="str">
        <f ca="1">IFERROR(VLOOKUP(X503,W$501:AB$516,5,FALSE),"")</f>
        <v/>
      </c>
      <c r="AE498" s="209">
        <f ca="1">IF(AND(MOD(AA501,AG498)&lt;&gt;0,AG498-AE497&gt;1),AG498-1,IF(AND(N1*'Customer Base'!D26*0.8&gt;5800,AG498-AE497&gt;1),AG498-1,AG498))</f>
        <v>4</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t="str">
        <f ca="1">IFERROR(VLOOKUP(X504,W$501:AB$516,5,FALSE),"")</f>
        <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Base'!D7&lt;&gt;"Backup",SUMPRODUCT(Items!A242:A254,Items!AQ242:AQ254)/SUM(Items!A242:A254),""))</f>
        <v>47.7</v>
      </c>
    </row>
    <row r="501" spans="2:34" ht="17">
      <c r="B501" s="206" t="s">
        <v>1374</v>
      </c>
      <c r="C501" s="207" t="s">
        <v>1375</v>
      </c>
      <c r="D501" s="207" t="s">
        <v>1375</v>
      </c>
      <c r="E501" s="210" t="s">
        <v>1572</v>
      </c>
      <c r="F501" s="102" t="str">
        <f t="shared" si="21"/>
        <v>NATC</v>
      </c>
      <c r="W501" s="209" t="str">
        <f ca="1">IF(AND($AB501&gt;=AB500,$AB501&lt;150),1,IF(AND($AB501&gt;=150,$AB501&lt;250),2,IF(AND($AB501&gt;=250,$AB501&lt;450),3,"")))</f>
        <v/>
      </c>
      <c r="X501" s="209" t="s">
        <v>2670</v>
      </c>
      <c r="Y501" s="209" t="str" cm="1">
        <f t="array" ref="Y501">SUBSTITUTE(TRIM(_xlfn.CONCAT(P1:P100 &amp; " ")), " ", ", ")</f>
        <v>37, 1</v>
      </c>
      <c r="Z501" s="309" t="str" cm="1">
        <f t="array" aca="1" ref="Z501" ca="1">IFERROR(LEFT(Y501, MATCH(FALSE, ISNUMBER(MID(Y501, ROW(INDIRECT("1:"&amp;LEN(Y501)+1)), 1) *1), 0) -1),"")</f>
        <v>37</v>
      </c>
      <c r="AA501" s="209">
        <f ca="1">IFERROR(VALUE(Z501),"")</f>
        <v>37</v>
      </c>
      <c r="AB501" s="209">
        <f ca="1">IFERROR(AA501*SUMPRODUCT(Items!A$242:A$254,Items!AQ$242:AQ$254)/SUM(Items!A$242:A$254),"")</f>
        <v>1764.9</v>
      </c>
      <c r="AH501" s="309"/>
    </row>
    <row r="502" spans="2:34" ht="17">
      <c r="B502" s="206" t="s">
        <v>1390</v>
      </c>
      <c r="C502" s="207" t="s">
        <v>855</v>
      </c>
      <c r="D502" s="207" t="s">
        <v>955</v>
      </c>
      <c r="E502" s="210" t="s">
        <v>1391</v>
      </c>
      <c r="F502" s="102" t="str">
        <f t="shared" si="21"/>
        <v>LC</v>
      </c>
      <c r="W502" s="209">
        <f ca="1">IF(AND($AB502&gt;=AB500,$AB502&lt;150),1,IF(AND($AB502&gt;=150,$AB502&lt;250),2,IF(AND($AB502&gt;=250,$AB502&lt;450),3,"")))</f>
        <v>1</v>
      </c>
      <c r="X502" s="209">
        <v>1</v>
      </c>
      <c r="Y502" s="209" t="str" cm="1">
        <f t="array" ref="Y502">SUBSTITUTE(TRIM(_xlfn.CONCAT(P2:P101 &amp; " ")), " ", ", ")</f>
        <v>1</v>
      </c>
      <c r="Z502" s="309" t="str" cm="1">
        <f t="array" aca="1" ref="Z502" ca="1">IFERROR(LEFT(Y502, MATCH(FALSE, ISNUMBER(MID(Y502, ROW(INDIRECT("1:"&amp;LEN(Y502)+1)), 1) *1), 0) -1),"")</f>
        <v>1</v>
      </c>
      <c r="AA502" s="209">
        <f ca="1">IFERROR(VALUE(Z502),"")</f>
        <v>1</v>
      </c>
      <c r="AB502" s="209">
        <f ca="1">IFERROR(AA502*SUMPRODUCT(Items!A$242:A$254,Items!AQ$242:AQ$254)/SUM(Items!A$242:A$254),"")</f>
        <v>47.7</v>
      </c>
      <c r="AH502" s="309"/>
    </row>
    <row r="503" spans="2:34" ht="17">
      <c r="B503" s="206" t="s">
        <v>1392</v>
      </c>
      <c r="C503" s="207" t="s">
        <v>1393</v>
      </c>
      <c r="D503" s="207" t="s">
        <v>216</v>
      </c>
      <c r="E503" s="210" t="s">
        <v>1394</v>
      </c>
      <c r="F503" s="102" t="str">
        <f t="shared" si="21"/>
        <v>DGW</v>
      </c>
      <c r="W503" s="209" t="str">
        <f ca="1">IF(AND($AB503&gt;=AB500,$AB503&lt;150),1,IF(AND($AB503&gt;=150,$AB503&lt;250),2,IF(AND($AB503&gt;=250,$AB503&lt;450),3,"")))</f>
        <v/>
      </c>
      <c r="X503" s="209">
        <v>2</v>
      </c>
      <c r="Y503" s="209" t="str" cm="1">
        <f t="array" ref="Y503">SUBSTITUTE(TRIM(_xlfn.CONCAT(P3:P102 &amp; " ")), " ", ", ")</f>
        <v/>
      </c>
      <c r="Z503" s="309" t="str" cm="1">
        <f t="array" aca="1" ref="Z503" ca="1">IFERROR(LEFT(Y503, MATCH(FALSE, ISNUMBER(MID(Y503, ROW(INDIRECT("1:"&amp;LEN(Y503)+1)), 1) *1), 0) -1),"")</f>
        <v/>
      </c>
      <c r="AA503" s="209" t="str">
        <f t="shared" ref="AA503:AA516" ca="1" si="22">IFERROR(VALUE(Z503),"")</f>
        <v/>
      </c>
      <c r="AB503" s="209" t="str">
        <f ca="1">IFERROR(AA503*SUMPRODUCT(Items!A$242:A$254,Items!AQ$242:AQ$254)/SUM(Items!A$242:A$254),"")</f>
        <v/>
      </c>
      <c r="AH503" s="309"/>
    </row>
    <row r="504" spans="2:34" ht="17">
      <c r="B504" s="206" t="s">
        <v>1395</v>
      </c>
      <c r="C504" s="207" t="s">
        <v>1396</v>
      </c>
      <c r="D504" s="207" t="s">
        <v>216</v>
      </c>
      <c r="E504" s="210" t="s">
        <v>1397</v>
      </c>
      <c r="F504" s="102" t="str">
        <f t="shared" si="21"/>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22"/>
        <v/>
      </c>
      <c r="AB504" s="209" t="str">
        <f ca="1">IFERROR(AA504*SUMPRODUCT(Items!A$242:A$254,Items!AQ$242:AQ$254)/SUM(Items!A$242:A$254),"")</f>
        <v/>
      </c>
      <c r="AH504" s="309"/>
    </row>
    <row r="505" spans="2:34" ht="17">
      <c r="B505" s="206" t="s">
        <v>1398</v>
      </c>
      <c r="C505" s="207" t="s">
        <v>216</v>
      </c>
      <c r="D505" s="207" t="s">
        <v>216</v>
      </c>
      <c r="E505" s="210" t="s">
        <v>1399</v>
      </c>
      <c r="F505" s="102" t="str">
        <f t="shared" si="21"/>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22"/>
        <v/>
      </c>
      <c r="AB505" s="209" t="str">
        <f ca="1">IFERROR(AA505*SUMPRODUCT(Items!A$242:A$254,Items!AQ$242:AQ$254)/SUM(Items!A$242:A$254),"")</f>
        <v/>
      </c>
      <c r="AH505" s="309"/>
    </row>
    <row r="506" spans="2:34" ht="17">
      <c r="B506" s="206" t="s">
        <v>1400</v>
      </c>
      <c r="C506" s="207" t="s">
        <v>38</v>
      </c>
      <c r="D506" s="207" t="s">
        <v>216</v>
      </c>
      <c r="E506" s="210" t="s">
        <v>1401</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IFERROR(AA506*SUMPRODUCT(Items!A$242:A$254,Items!AQ$242:AQ$254)/SUM(Items!A$242:A$254),"")</f>
        <v/>
      </c>
      <c r="AH506" s="309"/>
    </row>
    <row r="507" spans="2:34" ht="17">
      <c r="B507" s="206" t="s">
        <v>1402</v>
      </c>
      <c r="C507" s="207" t="s">
        <v>216</v>
      </c>
      <c r="D507" s="207" t="s">
        <v>216</v>
      </c>
      <c r="E507" s="210" t="s">
        <v>1403</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1404</v>
      </c>
      <c r="C508" s="207" t="s">
        <v>856</v>
      </c>
      <c r="D508" s="207" t="s">
        <v>1345</v>
      </c>
      <c r="E508" s="210" t="s">
        <v>1405</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6" priority="9" operator="equal">
      <formula>0</formula>
    </cfRule>
  </conditionalFormatting>
  <conditionalFormatting sqref="A437:E520">
    <cfRule type="cellIs" dxfId="55" priority="3" operator="equal">
      <formula>0</formula>
    </cfRule>
  </conditionalFormatting>
  <conditionalFormatting sqref="A524:E567 A568 A569:E658 A659:D659">
    <cfRule type="cellIs" dxfId="54" priority="11" operator="equal">
      <formula>0</formula>
    </cfRule>
  </conditionalFormatting>
  <conditionalFormatting sqref="A660:E1522">
    <cfRule type="cellIs" dxfId="53"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2" priority="12" operator="equal">
      <formula>0</formula>
    </cfRule>
  </conditionalFormatting>
  <conditionalFormatting sqref="B422:E422">
    <cfRule type="cellIs" dxfId="51" priority="10" operator="equal">
      <formula>0</formula>
    </cfRule>
  </conditionalFormatting>
  <conditionalFormatting sqref="B436:E437">
    <cfRule type="cellIs" dxfId="50" priority="8" operator="equal">
      <formula>0</formula>
    </cfRule>
  </conditionalFormatting>
  <conditionalFormatting sqref="T1:V1 U2:XFD211">
    <cfRule type="cellIs" dxfId="49"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zoomScaleNormal="100" workbookViewId="0">
      <pane xSplit="3" ySplit="17" topLeftCell="D55" activePane="bottomRight" state="frozen"/>
      <selection activeCell="T14" sqref="T14"/>
      <selection pane="topRight" activeCell="T14" sqref="T14"/>
      <selection pane="bottomLeft" activeCell="T14" sqref="T14"/>
      <selection pane="bottomRight" activeCell="G59" sqref="G59"/>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45694.641448148148</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TSL-TR-060225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60kVA inverter, 100kWh Battery, 70.2kWp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6</v>
      </c>
      <c r="C18" s="279" t="str">
        <f t="array" aca="1" ref="C18" ca="1">IFERROR(INDEX(Items!O:O,SMALL(IF(Items!$O$6:$O$676&lt;&gt;"",ROW(Items!$O$6:$O$676)),Items!N6)),"gdhgf")</f>
        <v>Victron MultiPlus-II 48/10000/140-100 230V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31135.52</v>
      </c>
      <c r="K18" s="282">
        <f t="shared" ref="K18:K56" ca="1" si="0">IFERROR(SUM(B18*J18),"")</f>
        <v>186813.12</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2</v>
      </c>
      <c r="C19" s="279" t="str">
        <f t="array" aca="1" ref="C19" ca="1">IFERROR(INDEX(Items!O:O,SMALL(IF(Items!$O$6:$O$676&lt;&gt;"",ROW(Items!$O$6:$O$676)),Items!N7)),"")</f>
        <v>Fronius Symo Advanced 20.0-3-M 20kw light</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53852.236799999999</v>
      </c>
      <c r="K19" s="282">
        <f t="shared" ca="1" si="0"/>
        <v>107704.4736</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Fronius datamanager 2.0 Wlan GalSymPrim</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5265.6</v>
      </c>
      <c r="K20" s="282">
        <f t="shared" ca="1" si="0"/>
        <v>5265.6</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20</v>
      </c>
      <c r="C21" s="279" t="str">
        <f t="array" aca="1" ref="C21" ca="1">IFERROR(INDEX(Items!O:O,SMALL(IF(Items!$O$6:$O$676&lt;&gt;"",ROW(Items!$O$6:$O$676)),Items!N9)),"")</f>
        <v>BYD LV 5.0KWH Lithium Battery</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18200</v>
      </c>
      <c r="K21" s="282">
        <f t="shared" ca="1" si="0"/>
        <v>364000</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117</v>
      </c>
      <c r="C22" s="279" t="str">
        <f t="array" aca="1" ref="C22" ca="1">IFERROR(INDEX(Items!O:O,SMALL(IF(Items!$O$6:$O$676&lt;&gt;"",ROW(Items!$O$6:$O$676)),Items!N10)),"")</f>
        <v>JA Solar JAM66-S45 600 Watts Solar Panel</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1844.08</v>
      </c>
      <c r="K22" s="282">
        <f t="shared" ca="1" si="0"/>
        <v>215757.36</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SmartSolar MPPT 100/20 up to 48V</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1444.8</v>
      </c>
      <c r="K23" s="282">
        <f t="shared" ca="1" si="0"/>
        <v>1444.8</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3</v>
      </c>
      <c r="C24" s="279" t="str">
        <f t="array" aca="1" ref="C24" ca="1">IFERROR(INDEX(Items!O:O,SMALL(IF(Items!$O$6:$O$676&lt;&gt;"",ROW(Items!$O$6:$O$676)),Items!N12)),"")</f>
        <v>Victron SmartSolar MPPT 250/100-Tr VE.Can</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9911.36</v>
      </c>
      <c r="K24" s="282">
        <f t="shared" ca="1" si="0"/>
        <v>29734.080000000002</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Cerbo GX</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4449.92</v>
      </c>
      <c r="K25" s="282">
        <f t="shared" ca="1" si="0"/>
        <v>4449.92</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3361.28</v>
      </c>
      <c r="K26" s="282">
        <f t="shared" ca="1" si="0"/>
        <v>3361.28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1</v>
      </c>
      <c r="C27" s="279" t="str">
        <f t="array" aca="1" ref="C27" ca="1">IFERROR(INDEX(Items!O:O,SMALL(IF(Items!$O$6:$O$676&lt;&gt;"",ROW(Items!$O$6:$O$676)),Items!N15)),"")</f>
        <v>Victron GX Touch 50 Wall Mount</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245.44</v>
      </c>
      <c r="K27" s="282">
        <f t="shared" ca="1" si="0"/>
        <v>245.44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Victron Lynx Distributor (M10)</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3583.04</v>
      </c>
      <c r="K28" s="282">
        <f t="shared" ca="1" si="0"/>
        <v>3583.04</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2022.72</v>
      </c>
      <c r="K29" s="282">
        <f t="shared" ca="1" si="0"/>
        <v>6068.16</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DAC50VGS-31-275/G VAC 3-Phase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1472.48</v>
      </c>
      <c r="K30" s="282">
        <f t="shared" ca="1" si="0"/>
        <v>1472.48</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2</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1672.16</v>
      </c>
      <c r="K31" s="282">
        <f t="shared" ca="1" si="0"/>
        <v>3344.32</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370</v>
      </c>
      <c r="C32" s="279" t="str">
        <f t="array" aca="1" ref="C32" ca="1">IFERROR(INDEX(Items!O:O,SMALL(IF(Items!$O$6:$O$676&lt;&gt;"",ROW(Items!$O$6:$O$676)),Items!N20)),"")</f>
        <v>Hikra Sol DC Solar cable 1x4mm2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16.32</v>
      </c>
      <c r="K32" s="282">
        <f t="shared" ca="1" si="0"/>
        <v>6038.4000000000005</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240</v>
      </c>
      <c r="C33" s="279" t="str">
        <f t="array" aca="1" ref="C33" ca="1">IFERROR(INDEX(Items!O:O,SMALL(IF(Items!$O$6:$O$676&lt;&gt;"",ROW(Items!$O$6:$O$676)),Items!N21)),"")</f>
        <v>Hikra Sol DC Solar cable 1x10mm2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37.6</v>
      </c>
      <c r="K33" s="282">
        <f t="shared" ca="1" si="0"/>
        <v>9024</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100</v>
      </c>
      <c r="C34" s="279" t="str">
        <f t="array" aca="1" ref="C34" ca="1">IFERROR(INDEX(Items!O:O,SMALL(IF(Items!$O$6:$O$676&lt;&gt;"",ROW(Items!$O$6:$O$676)),Items!N22)),"")</f>
        <v>Hikra Sol DC Solar cable 1x16mm2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72.48</v>
      </c>
      <c r="K34" s="282">
        <f t="shared" ca="1" si="0"/>
        <v>7248</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20</v>
      </c>
      <c r="C35" s="279" t="str">
        <f t="array" aca="1" ref="C35" ca="1">IFERROR(INDEX(Items!O:O,SMALL(IF(Items!$O$6:$O$676&lt;&gt;"",ROW(Items!$O$6:$O$676)),Items!N23)),"")</f>
        <v>Hikra Sol DC Solar cable 1x25mm2 1500V H1Z2Z2</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132</v>
      </c>
      <c r="K35" s="282">
        <f t="shared" ca="1" si="0"/>
        <v>2640</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30</v>
      </c>
      <c r="C36" s="279" t="str">
        <f t="array" aca="1" ref="C36" ca="1">IFERROR(INDEX(Items!O:O,SMALL(IF(Items!$O$6:$O$676&lt;&gt;"",ROW(Items!$O$6:$O$676)),Items!N24)),"")</f>
        <v>Hikra Sol DC Solar cable 1x50mm2 1500V H1Z2Z2</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381.6</v>
      </c>
      <c r="K36" s="282">
        <f t="shared" ca="1" si="0"/>
        <v>11448</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60</v>
      </c>
      <c r="C37" s="279" t="str">
        <f t="array" aca="1" ref="C37" ca="1">IFERROR(INDEX(Items!O:O,SMALL(IF(Items!$O$6:$O$676&lt;&gt;"",ROW(Items!$O$6:$O$676)),Items!N25)),"")</f>
        <v>Top Cable AC solar cable 5x16mm2 RV-K 0.6/1KV</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407.04</v>
      </c>
      <c r="K37" s="282">
        <f t="shared" ca="1" si="0"/>
        <v>24422.400000000001</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25</v>
      </c>
      <c r="C38" s="279" t="str">
        <f t="array" aca="1" ref="C38" ca="1">IFERROR(INDEX(Items!O:O,SMALL(IF(Items!$O$6:$O$676&lt;&gt;"",ROW(Items!$O$6:$O$676)),Items!N26)),"")</f>
        <v>Top Cable AC solar cable 1x70mm2 RV-K 0.6/1KV</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672</v>
      </c>
      <c r="K38" s="282">
        <f t="shared" ca="1" si="0"/>
        <v>16800</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145</v>
      </c>
      <c r="C39" s="279" t="str">
        <f t="array" aca="1" ref="C39" ca="1">IFERROR(INDEX(Items!O:O,SMALL(IF(Items!$O$6:$O$676&lt;&gt;"",ROW(Items!$O$6:$O$676)),Items!N27)),"")</f>
        <v>1x6mm2 RV-K 0.6/1KV Yellow/Green Earth Cable</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35.200000000000003</v>
      </c>
      <c r="K39" s="282">
        <f t="shared" ca="1" si="0"/>
        <v>5104</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8</v>
      </c>
      <c r="C40" s="279" t="str">
        <f t="array" aca="1" ref="C40" ca="1">IFERROR(INDEX(Items!O:O,SMALL(IF(Items!$O$6:$O$676&lt;&gt;"",ROW(Items!$O$6:$O$676)),Items!N28)),"")</f>
        <v>Victron RJ45 UTP Cable 3 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202.24</v>
      </c>
      <c r="K40" s="282">
        <f t="shared" ca="1" si="0"/>
        <v>1617.92</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4</v>
      </c>
      <c r="C41" s="279" t="str">
        <f t="array" aca="1" ref="C41" ca="1">IFERROR(INDEX(Items!O:O,SMALL(IF(Items!$O$6:$O$676&lt;&gt;"",ROW(Items!$O$6:$O$676)),Items!N29)),"")</f>
        <v>Victron VE.Direct Cable 1,8m</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216.8</v>
      </c>
      <c r="K41" s="282">
        <f t="shared" ca="1" si="0"/>
        <v>867.2</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1</v>
      </c>
      <c r="C42" s="279" t="str">
        <f t="array" aca="1" ref="C42" ca="1">IFERROR(INDEX(Items!O:O,SMALL(IF(Items!$O$6:$O$676&lt;&gt;"",ROW(Items!$O$6:$O$676)),Items!N30)),"")</f>
        <v>Victron VE.Can to CAN-bus BMS type B Cable 1.8m</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279.68</v>
      </c>
      <c r="K42" s="282">
        <f t="shared" ca="1" si="0"/>
        <v>279.68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v>
      </c>
      <c r="C43" s="279" t="str">
        <f t="array" aca="1" ref="C43" ca="1">IFERROR(INDEX(Items!O:O,SMALL(IF(Items!$O$6:$O$676&lt;&gt;"",ROW(Items!$O$6:$O$676)),Items!N31)),"")</f>
        <v>250A Manual Transfer Switch</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3200</v>
      </c>
      <c r="K43" s="282">
        <f t="shared" ca="1" si="0"/>
        <v>3200</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2</v>
      </c>
      <c r="C44" s="279" t="str">
        <f t="array" aca="1" ref="C44" ca="1">IFERROR(INDEX(Items!O:O,SMALL(IF(Items!$O$6:$O$676&lt;&gt;"",ROW(Items!$O$6:$O$676)),Items!N32)),"")</f>
        <v>160A 4-Pole AC Circuit Breaker</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1120</v>
      </c>
      <c r="K44" s="282">
        <f t="shared" ca="1" si="0"/>
        <v>2240</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20</v>
      </c>
      <c r="C45" s="279" t="str">
        <f t="array" aca="1" ref="C45" ca="1">IFERROR(INDEX(Items!O:O,SMALL(IF(Items!$O$6:$O$676&lt;&gt;"",ROW(Items!$O$6:$O$676)),Items!N33)),"")</f>
        <v>Victron MC4 Solar connector pair MC4, 1x Male/1x Female</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144.47999999999999</v>
      </c>
      <c r="K45" s="282">
        <f t="shared" ca="1" si="0"/>
        <v>2889.6</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50x200mm Enclosure with Dinrail</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271.18644067792002</v>
      </c>
      <c r="K46" s="282">
        <f t="shared" ca="1" si="0"/>
        <v>271.18644067792002</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Network Router</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1920</v>
      </c>
      <c r="K47" s="282">
        <f t="shared" ca="1" si="0"/>
        <v>1920</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29.5</v>
      </c>
      <c r="C48" s="279" t="str">
        <f t="array" aca="1" ref="C48" ca="1">IFERROR(INDEX(Items!O:O,SMALL(IF(Items!$O$6:$O$676&lt;&gt;"",ROW(Items!$O$6:$O$676)),Items!N36)),"")</f>
        <v>Mounting Structure for Metal/ Tile Roof (per set of 4 panels) - 4.64 meter</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1376</v>
      </c>
      <c r="K48" s="282">
        <f t="shared" ca="1" si="0"/>
        <v>40592</v>
      </c>
      <c r="L48" s="49"/>
      <c r="M48" s="48"/>
      <c r="N48" s="48"/>
      <c r="O48" s="48"/>
      <c r="P48" s="48"/>
      <c r="Q48" s="48"/>
      <c r="R48" s="48"/>
    </row>
    <row r="49" spans="1:118" ht="16" customHeight="1">
      <c r="A49" s="1"/>
      <c r="B49" s="294">
        <f t="array" aca="1" ref="B49" ca="1">IF('Customer Base'!$I$15="MANUAL",IFERROR(INDEX(Items!B$6:B$679,SMALL(IF(Items!B$6:B$679&lt;&gt;"",ROW(Items!B$6:B$679)-MIN(ROW(Items!B$6:B$679))+1),Items!N37)),""),IF('Customer Base'!$I$15="AUTOMATE",IFERROR(INDEX(Items!A$6:A$679,SMALL(IF(Items!A$6:A$679&lt;&gt;"",ROW(Items!A$6:A$679)-MIN(ROW(Items!A$6:A$679))+1),Items!N37)),""),""))</f>
        <v>1</v>
      </c>
      <c r="C49" s="279" t="str">
        <f t="array" aca="1" ref="C49" ca="1">IFERROR(INDEX(Items!O:O,SMALL(IF(Items!$O$6:$O$676&lt;&gt;"",ROW(Items!$O$6:$O$676)),Items!N37)),"")</f>
        <v>PVC Pipes, Trunking, Cable Lugs and Assessories</v>
      </c>
      <c r="D49" s="280"/>
      <c r="E49" s="280"/>
      <c r="F49" s="280"/>
      <c r="G49" s="280"/>
      <c r="H49" s="280"/>
      <c r="I49" s="280"/>
      <c r="J49" s="285">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8400</v>
      </c>
      <c r="K49" s="282">
        <f t="shared" ca="1" si="0"/>
        <v>8400</v>
      </c>
      <c r="L49" s="49"/>
      <c r="M49" s="48"/>
      <c r="N49" s="48"/>
      <c r="O49" s="48"/>
      <c r="P49" s="48"/>
      <c r="Q49" s="48"/>
      <c r="R49" s="48"/>
    </row>
    <row r="50" spans="1:118" ht="16" customHeight="1">
      <c r="A50" s="1"/>
      <c r="B50" s="294">
        <f t="array" aca="1" ref="B50" ca="1">IF('Customer Base'!$I$15="MANUAL",IFERROR(INDEX(Items!B$6:B$679,SMALL(IF(Items!B$6:B$679&lt;&gt;"",ROW(Items!B$6:B$679)-MIN(ROW(Items!B$6:B$679))+1),Items!N38)),""),IF('Customer Base'!$I$15="AUTOMATE",IFERROR(INDEX(Items!A$6:A$679,SMALL(IF(Items!A$6:A$679&lt;&gt;"",ROW(Items!A$6:A$679)-MIN(ROW(Items!A$6:A$679))+1),Items!N38)),""),""))</f>
        <v>1</v>
      </c>
      <c r="C50" s="279" t="str">
        <f t="array" aca="1" ref="C50" ca="1">IFERROR(INDEX(Items!O:O,SMALL(IF(Items!$O$6:$O$676&lt;&gt;"",ROW(Items!$O$6:$O$676)),Items!N38)),"")</f>
        <v>Transportation Expenses</v>
      </c>
      <c r="D50" s="280"/>
      <c r="E50" s="280"/>
      <c r="F50" s="280"/>
      <c r="G50" s="280"/>
      <c r="H50" s="280"/>
      <c r="I50" s="280"/>
      <c r="J50" s="285">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61162.538598720013</v>
      </c>
      <c r="K50" s="282">
        <f t="shared" ca="1" si="0"/>
        <v>61162.538598720013</v>
      </c>
      <c r="L50" s="49"/>
      <c r="M50" s="48"/>
      <c r="N50" s="48"/>
      <c r="O50" s="48"/>
      <c r="P50" s="48"/>
      <c r="Q50" s="48"/>
      <c r="R50" s="48"/>
    </row>
    <row r="51" spans="1:118" ht="16" customHeight="1">
      <c r="A51" s="1"/>
      <c r="B51" s="294">
        <f t="array" aca="1" ref="B51" ca="1">IF('Customer Base'!$I$15="MANUAL",IFERROR(INDEX(Items!B$6:B$679,SMALL(IF(Items!B$6:B$679&lt;&gt;"",ROW(Items!B$6:B$679)-MIN(ROW(Items!B$6:B$679))+1),Items!N39)),""),IF('Customer Base'!$I$15="AUTOMATE",IFERROR(INDEX(Items!A$6:A$679,SMALL(IF(Items!A$6:A$679&lt;&gt;"",ROW(Items!A$6:A$679)-MIN(ROW(Items!A$6:A$679))+1),Items!N39)),""),""))</f>
        <v>1</v>
      </c>
      <c r="C51" s="279" t="str">
        <f t="array" aca="1" ref="C51" ca="1">IFERROR(INDEX(Items!O:O,SMALL(IF(Items!$O$6:$O$676&lt;&gt;"",ROW(Items!$O$6:$O$676)),Items!N39)),"")</f>
        <v>Engineering and Installation Works</v>
      </c>
      <c r="D51" s="280"/>
      <c r="E51" s="280"/>
      <c r="F51" s="280"/>
      <c r="G51" s="280"/>
      <c r="H51" s="280"/>
      <c r="I51" s="280"/>
      <c r="J51" s="285">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25003.199999999997</v>
      </c>
      <c r="K51" s="282">
        <f t="shared" ca="1" si="0"/>
        <v>25003.199999999997</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1210</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1164412.2</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1,164,412.20</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8" priority="2" operator="equal">
      <formula>0</formula>
    </cfRule>
  </conditionalFormatting>
  <conditionalFormatting sqref="K1:K1048576 C78:J78">
    <cfRule type="cellIs" dxfId="47"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abSelected="1" zoomScale="103" zoomScaleNormal="100" workbookViewId="0">
      <selection activeCell="F16" sqref="F16"/>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16,587.07</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60kVA inverter, 100kWh Battery, 70.2kWp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2458</v>
      </c>
      <c r="F7" s="61"/>
      <c r="G7" s="61"/>
      <c r="I7" s="89" t="s">
        <v>1214</v>
      </c>
      <c r="J7" s="290">
        <f>'Customer Base'!D$14*'Customer Base'!D$15</f>
        <v>60</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100</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3</v>
      </c>
      <c r="F9" s="61"/>
      <c r="G9" s="61"/>
      <c r="I9" s="92" t="s">
        <v>1216</v>
      </c>
      <c r="J9" s="292">
        <f>SUM(Items!AO242:AO254)</f>
        <v>70.2</v>
      </c>
      <c r="K9" s="93" t="s">
        <v>1230</v>
      </c>
      <c r="M9" s="50" t="s">
        <v>2199</v>
      </c>
      <c r="N9" s="50" t="s">
        <v>2458</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AC DC ratio</v>
      </c>
      <c r="K11" s="91">
        <v>1.2</v>
      </c>
      <c r="N11" s="50" t="s">
        <v>2460</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10</v>
      </c>
      <c r="E14" s="56"/>
      <c r="F14" s="317">
        <v>20</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2467</v>
      </c>
      <c r="D15" s="276">
        <v>6</v>
      </c>
      <c r="F15" s="318">
        <v>2</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20</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4">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4">
      <c r="B25" s="60"/>
      <c r="C25" s="69" t="s">
        <v>2470</v>
      </c>
      <c r="D25" s="277" t="s">
        <v>2472</v>
      </c>
      <c r="E25" s="273">
        <f ca="1">IF(D13="Victron",SUM(Items!A242:A254)-IF('Client List'!IL474="",0,'Client List'!IL474),SUM(Items!A242:A254))</f>
        <v>117</v>
      </c>
      <c r="F25" s="61" t="s">
        <v>2508</v>
      </c>
      <c r="G25" s="61"/>
      <c r="R25" s="50" t="str" cm="1">
        <f t="array" ref="R25">IF(AND(ISNUMBER(SEARCH({"Fronius"},D$13)),ISNUMBER(SEARCH({"230/400"},D$8))),25,"")</f>
        <v/>
      </c>
      <c r="S25" s="50" cm="1">
        <f t="array" ref="S25">IF(AND(ISNUMBER(SEARCH({"Fronius"},F$13)),ISNUMBER(SEARCH({"Mini-Grid"},D$7))),25,"")</f>
        <v>25</v>
      </c>
      <c r="V25" s="50" t="str">
        <f>IF(AND(D$19="Lithium",D$20="Jinko"),4.8,"")</f>
        <v/>
      </c>
    </row>
    <row r="26" spans="2:24">
      <c r="B26" s="60"/>
      <c r="C26" s="69" t="s">
        <v>2661</v>
      </c>
      <c r="D26" s="277">
        <v>600</v>
      </c>
      <c r="E26" s="305"/>
      <c r="F26" s="61"/>
      <c r="G26" s="61"/>
      <c r="R26" s="50" t="str" cm="1">
        <f t="array" ref="R26">IF(AND(ISNUMBER(SEARCH({"Fronius"},D$13)),ISNUMBER(SEARCH({"230/400"},D$8))),27,"")</f>
        <v/>
      </c>
      <c r="S26" s="50" cm="1">
        <f t="array" ref="S26">IF(AND(ISNUMBER(SEARCH({"Fronius"},F$13)),ISNUMBER(SEARCH({"Mini-Grid"},D$7))),27,"")</f>
        <v>27</v>
      </c>
    </row>
    <row r="27" spans="2:24">
      <c r="B27" s="60"/>
      <c r="C27" s="69" t="s">
        <v>2471</v>
      </c>
      <c r="D27" s="276">
        <v>70</v>
      </c>
      <c r="E27" s="308">
        <f>IF(D7="Grid-Tied",ROUNDUP(1.2*((D14*D15)),0),(D21*IF(D19="Lithium",E20,IF(OR(D19="2V OPzV",D19="2V OPzS"),E20*2/1000,IF(D19="12V Lead-Acid",E20*12/1000,0)))/4)+(0.5*((D14*D15))))</f>
        <v>55</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cm="1">
        <f t="array" ref="S29">IF(AND(OR(ISNUMBER(SEARCH({"Fronius","Huawei"},F$13))),ISNUMBER(SEARCH({"Mini-Grid"},D$7))),50,"")</f>
        <v>50</v>
      </c>
    </row>
    <row r="30" spans="2:24">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4">
      <c r="B31" s="60"/>
      <c r="C31" s="69" t="s">
        <v>2476</v>
      </c>
      <c r="D31" s="276">
        <v>30</v>
      </c>
      <c r="F31" s="61"/>
      <c r="G31" s="61"/>
      <c r="R31" s="50" t="str" cm="1">
        <f t="array" ref="R31">IF(AND(ISNUMBER(SEARCH({"Fronius"},D$13)),ISNUMBER(SEARCH({"230/400"},D$8))),100,"")</f>
        <v/>
      </c>
    </row>
    <row r="32" spans="2:24">
      <c r="B32" s="60"/>
      <c r="C32" s="69" t="s">
        <v>2477</v>
      </c>
      <c r="D32" s="276">
        <v>10</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1,164,412.20</v>
      </c>
      <c r="G39" s="61"/>
    </row>
    <row r="40" spans="2:7">
      <c r="B40" s="62"/>
      <c r="C40" s="63"/>
      <c r="D40" s="63"/>
      <c r="E40" s="64"/>
      <c r="F40" s="64"/>
      <c r="G40" s="65"/>
    </row>
  </sheetData>
  <mergeCells count="3">
    <mergeCell ref="C3:F3"/>
    <mergeCell ref="C5:F5"/>
    <mergeCell ref="C6:F6"/>
  </mergeCells>
  <conditionalFormatting sqref="C31">
    <cfRule type="expression" dxfId="46" priority="19">
      <formula>ISERROR(MATCH($D$7,$N$8:$N$10,0))</formula>
    </cfRule>
  </conditionalFormatting>
  <conditionalFormatting sqref="D8">
    <cfRule type="expression" dxfId="44" priority="28">
      <formula>ISERROR(MATCH($D$8,$O$8:$O$11,0))</formula>
    </cfRule>
  </conditionalFormatting>
  <conditionalFormatting sqref="D13">
    <cfRule type="expression" dxfId="43" priority="13">
      <formula>ISERROR(MATCH($D$13,$Q$8:$Q$12,0))</formula>
    </cfRule>
  </conditionalFormatting>
  <conditionalFormatting sqref="D14">
    <cfRule type="expression" dxfId="42" priority="12">
      <formula>ISERROR(MATCH($D$14,$R$8:$R$31,0))</formula>
    </cfRule>
  </conditionalFormatting>
  <conditionalFormatting sqref="D19">
    <cfRule type="expression" dxfId="41" priority="32">
      <formula>ISERROR(MATCH($D$19,$T$8:$T$11,0))</formula>
    </cfRule>
  </conditionalFormatting>
  <conditionalFormatting sqref="D19:D20">
    <cfRule type="expression" dxfId="40" priority="16">
      <formula>ISERROR(MATCH($D$7,$N$9:$N$11,0))</formula>
    </cfRule>
  </conditionalFormatting>
  <conditionalFormatting sqref="D20">
    <cfRule type="expression" dxfId="39" priority="33">
      <formula>ISERROR(MATCH($D$20,$U$8:$U$12,0))</formula>
    </cfRule>
  </conditionalFormatting>
  <conditionalFormatting sqref="D21">
    <cfRule type="expression" dxfId="38" priority="31">
      <formula>ISERROR(MATCH($D$7,$N$9:$N$11,0))</formula>
    </cfRule>
    <cfRule type="expression" dxfId="37" priority="24">
      <formula>ISERROR(MATCH($D$19,$T$8:$T$11,0))</formula>
    </cfRule>
  </conditionalFormatting>
  <conditionalFormatting sqref="D25">
    <cfRule type="expression" dxfId="35" priority="8">
      <formula>ISERROR(MATCH($D$7,$N$8:$N$10,0))</formula>
    </cfRule>
  </conditionalFormatting>
  <conditionalFormatting sqref="D26">
    <cfRule type="expression" dxfId="34" priority="35" stopIfTrue="1">
      <formula>ISERROR(MATCH($D$26,$X$8:$X$18,0))</formula>
    </cfRule>
    <cfRule type="expression" dxfId="33" priority="38">
      <formula>ISERROR(MATCH($D$7,$N$8:$N$10,0))</formula>
    </cfRule>
  </conditionalFormatting>
  <conditionalFormatting sqref="D27">
    <cfRule type="expression" dxfId="32" priority="36">
      <formula>ISERROR(MATCH($D$7,$N$8:$N$10,0))</formula>
    </cfRule>
  </conditionalFormatting>
  <conditionalFormatting sqref="D31">
    <cfRule type="expression" dxfId="31" priority="18">
      <formula>ISERROR(MATCH($D$7,$N$8:$N$10,0))</formula>
    </cfRule>
  </conditionalFormatting>
  <conditionalFormatting sqref="E13">
    <cfRule type="expression" dxfId="28" priority="7">
      <formula>$D$13&lt;&gt;"Victron"</formula>
    </cfRule>
  </conditionalFormatting>
  <conditionalFormatting sqref="E20">
    <cfRule type="expression" dxfId="27" priority="34">
      <formula>ISERROR(MATCH($E$20,$V$8:$V$25,0))</formula>
    </cfRule>
  </conditionalFormatting>
  <conditionalFormatting sqref="E27">
    <cfRule type="expression" dxfId="24" priority="23">
      <formula>ISERROR(MATCH($D$7,$N$8:$N$10,0))</formula>
    </cfRule>
  </conditionalFormatting>
  <conditionalFormatting sqref="E34">
    <cfRule type="expression" dxfId="23" priority="15">
      <formula>OR($C$34="Remote Monitoring:",AND($D$34="No",$C$34="Hybrid Controller:"))</formula>
    </cfRule>
  </conditionalFormatting>
  <conditionalFormatting sqref="E20:F20">
    <cfRule type="expression" dxfId="22" priority="29">
      <formula>$D$7="Grid-Tied"</formula>
    </cfRule>
  </conditionalFormatting>
  <conditionalFormatting sqref="E25:F25">
    <cfRule type="expression" dxfId="21" priority="20">
      <formula>ISERROR(MATCH($D$7,$N$8:$N$10,0))</formula>
    </cfRule>
  </conditionalFormatting>
  <conditionalFormatting sqref="F13">
    <cfRule type="expression" dxfId="20" priority="26">
      <formula>ISERROR(MATCH($F$13,$Q$8:$Q$12,0))</formula>
    </cfRule>
    <cfRule type="expression" dxfId="19" priority="11" stopIfTrue="1">
      <formula>OR($D$7="Hybrid",$D$7="Grid-Tied",$D$7="Backup")</formula>
    </cfRule>
  </conditionalFormatting>
  <conditionalFormatting sqref="F14">
    <cfRule type="expression" dxfId="18" priority="27" stopIfTrue="1">
      <formula>ISERROR(MATCH($F$14,$S$8:$S$30,0))</formula>
    </cfRule>
    <cfRule type="expression" dxfId="17" priority="10">
      <formula>OR($D$7="Hybrid",$D$7="Grid-Tied",$D$7="Backup")</formula>
    </cfRule>
  </conditionalFormatting>
  <conditionalFormatting sqref="F15">
    <cfRule type="expression" dxfId="16" priority="9" stopIfTrue="1">
      <formula>OR($D$7="Hybrid",$D$7="Grid-Tied",$D$7="Backup")</formula>
    </cfRule>
  </conditionalFormatting>
  <conditionalFormatting sqref="F27">
    <cfRule type="expression" dxfId="15" priority="22">
      <formula>ISERROR(MATCH($D$7,$N$8:$N$10,0))</formula>
    </cfRule>
  </conditionalFormatting>
  <conditionalFormatting sqref="F34">
    <cfRule type="expression" dxfId="14" priority="14">
      <formula>OR($C$34="Remote Monitoring:",AND($D$34="No",$C$34="Hybrid Controller:"))</formula>
    </cfRule>
  </conditionalFormatting>
  <conditionalFormatting sqref="K11">
    <cfRule type="expression" dxfId="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$E$25&gt;SUM(Items!$A$242:$A$254)</xm:f>
            <x14:dxf>
              <font>
                <color rgb="FF9C5700"/>
              </font>
              <fill>
                <patternFill>
                  <bgColor rgb="FFFFEB9C"/>
                </patternFill>
              </fill>
            </x14:dxf>
          </x14:cfRule>
          <x14:cfRule type="expression" priority="9947" stopIfTrue="1" id="{278B350F-99A4-2245-80E8-F663818AB25B}">
            <xm:f>$E$25&lt;SUM(Items!$A$242:$A$254)</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7" activePane="bottomRight" state="frozen"/>
      <selection activeCell="O51" sqref="O51"/>
      <selection pane="topRight" activeCell="O51" sqref="O51"/>
      <selection pane="bottomLeft" activeCell="O51" sqref="O51"/>
      <selection pane="bottomRight" activeCell="E23" sqref="E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45694.641448148148</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10</v>
      </c>
      <c r="E9" s="150">
        <f>IF(SUMPRODUCT(Items!A$6:A$120,Items!AP$6:AP$120)&gt;0,('Customer Base'!J$7/'Customer Base'!D$15),IF(SUMPRODUCT(Items!A$257:A$289,Items!AP$257:AP$289)&gt;0,('Customer Base'!J$7/'Customer Base'!D$15),""))</f>
        <v>10</v>
      </c>
      <c r="F9" s="150">
        <f>E9</f>
        <v>10</v>
      </c>
      <c r="G9" s="150">
        <f>E9</f>
        <v>10</v>
      </c>
      <c r="H9" s="150">
        <f>E9</f>
        <v>10</v>
      </c>
      <c r="I9" s="150">
        <v>162</v>
      </c>
      <c r="J9" s="150">
        <f>D9*'Customer Base'!D15</f>
        <v>60</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10</v>
      </c>
      <c r="E11" s="154">
        <f>IFERROR(E9*100%,0)</f>
        <v>10</v>
      </c>
      <c r="F11" s="154">
        <f t="shared" ref="F11:H11" si="0">IFERROR(F9*100%,0)</f>
        <v>10</v>
      </c>
      <c r="G11" s="154">
        <f t="shared" si="0"/>
        <v>10</v>
      </c>
      <c r="H11" s="154">
        <f t="shared" si="0"/>
        <v>10</v>
      </c>
      <c r="I11" s="154">
        <f t="shared" ref="I11:L11" si="1">I9*100%</f>
        <v>162</v>
      </c>
      <c r="J11" s="154">
        <f t="shared" si="1"/>
        <v>60</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12.5</v>
      </c>
      <c r="E13" s="152">
        <f>E11/1</f>
        <v>10</v>
      </c>
      <c r="F13" s="152">
        <f t="shared" ref="F13:H13" si="2">F11/1</f>
        <v>10</v>
      </c>
      <c r="G13" s="152">
        <f t="shared" si="2"/>
        <v>10</v>
      </c>
      <c r="H13" s="152">
        <f t="shared" si="2"/>
        <v>10</v>
      </c>
      <c r="I13" s="152">
        <f t="shared" ref="I13:L13" si="3">I11/0.8</f>
        <v>202.5</v>
      </c>
      <c r="J13" s="152">
        <f t="shared" si="3"/>
        <v>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E13*0%</f>
        <v>0</v>
      </c>
      <c r="F15" s="146">
        <f t="shared" ref="F15:L15" si="4">F13*0%</f>
        <v>0</v>
      </c>
      <c r="G15" s="146">
        <f t="shared" si="4"/>
        <v>0</v>
      </c>
      <c r="H15" s="146">
        <f>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12.5</v>
      </c>
      <c r="E17" s="146">
        <f>SUM(E13,E15)</f>
        <v>10</v>
      </c>
      <c r="F17" s="146">
        <f t="shared" ref="F17:L17" si="5">SUM(F13,F15)</f>
        <v>10</v>
      </c>
      <c r="G17" s="146">
        <f t="shared" si="5"/>
        <v>10</v>
      </c>
      <c r="H17" s="146">
        <f>SUM(H13,H15)</f>
        <v>10</v>
      </c>
      <c r="I17" s="146">
        <f t="shared" si="5"/>
        <v>202.5</v>
      </c>
      <c r="J17" s="146">
        <f t="shared" si="5"/>
        <v>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IF(D55&lt;&gt;"",D$17*1000/(IF(D57=1,240,IF(D57=3,(SQRT(3)*400)))),"")</f>
        <v>52.083333333333336</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47.849999999999994</v>
      </c>
      <c r="F23" s="152">
        <f ca="1">E23</f>
        <v>47.849999999999994</v>
      </c>
      <c r="G23" s="152">
        <f ca="1">E23</f>
        <v>47.849999999999994</v>
      </c>
      <c r="H23" s="152">
        <f ca="1">E23</f>
        <v>47.849999999999994</v>
      </c>
      <c r="I23" s="152">
        <f>SUMPRODUCT(Items!A$6:A$132,Items!AW$6:AW$132)/'Customer Base'!D15</f>
        <v>140</v>
      </c>
      <c r="J23" s="152">
        <f t="shared" ref="J23" si="6">IF(J55&lt;&gt;"",J$17*1000/(IF(J57=1,240,IF(J57=3,(SQRT(3)*400)))),"")</f>
        <v>108.25317547305484</v>
      </c>
      <c r="K23" s="152">
        <f>SUMPRODUCT(Items!A$242:A$254,Items!AP$242:AP$254)/SUM(Items!A$242:A$254)</f>
        <v>15.95</v>
      </c>
      <c r="L23" s="152">
        <f>SUMPRODUCT(Items!A$242:A$254,Items!AP$242:AP$254)/SUM(Items!A$242:A$254)</f>
        <v>15.95</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63</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150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150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70</v>
      </c>
      <c r="E29" s="152">
        <f ca="1">IFERROR(IF(E$25=0,"",E27/(PRODUCT(E61:E67))),"")</f>
        <v>50</v>
      </c>
      <c r="F29" s="152">
        <f t="shared" ref="F29:H29" ca="1" si="9">IFERROR(IF(F$25=0,"",F27/(PRODUCT(F61:F67))),"")</f>
        <v>50</v>
      </c>
      <c r="G29" s="152">
        <f t="shared" ca="1" si="9"/>
        <v>50</v>
      </c>
      <c r="H29" s="152">
        <f t="shared" ca="1" si="9"/>
        <v>50</v>
      </c>
      <c r="I29" s="152">
        <f t="shared" ref="I29:L29" si="10">IF(I$25=0,"",I27/(PRODUCT(I61:I67)))</f>
        <v>185.18518518518516</v>
      </c>
      <c r="J29" s="152">
        <f t="shared" si="10"/>
        <v>150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76.5</v>
      </c>
      <c r="E31" s="152">
        <f t="shared" ref="E31:L31" ca="1" si="11">IF(E$25=0,"",MAX(E33:E35)*(PRODUCT(E61:E67)))</f>
        <v>37</v>
      </c>
      <c r="F31" s="152">
        <f t="shared" ca="1" si="11"/>
        <v>47</v>
      </c>
      <c r="G31" s="152">
        <f t="shared" ca="1" si="11"/>
        <v>65</v>
      </c>
      <c r="H31" s="152">
        <f ca="1">IF(H$25=0,"",MAX(H33:H35)*(PRODUCT(H61:H67)))</f>
        <v>87</v>
      </c>
      <c r="I31" s="152">
        <f t="shared" si="11"/>
        <v>159.57000000000002</v>
      </c>
      <c r="J31" s="152">
        <f t="shared" si="11"/>
        <v>184</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85</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197</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184</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si="12"/>
        <v>50</v>
      </c>
      <c r="H39" s="152">
        <f t="shared" si="12"/>
        <v>50</v>
      </c>
      <c r="I39" s="152">
        <f t="shared" si="12"/>
        <v>250</v>
      </c>
      <c r="J39" s="152">
        <f t="shared" si="12"/>
        <v>100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20</v>
      </c>
      <c r="E41" s="152">
        <f>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15</v>
      </c>
      <c r="F41" s="152">
        <f t="shared" ref="F41:M4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15</v>
      </c>
      <c r="G41" s="152">
        <f t="shared" si="13"/>
        <v>15</v>
      </c>
      <c r="H41" s="152">
        <f t="shared" si="13"/>
        <v>15</v>
      </c>
      <c r="I41" s="152">
        <f t="shared" si="13"/>
        <v>300</v>
      </c>
      <c r="J41" s="152">
        <f t="shared" si="13"/>
        <v>100</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35</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16</v>
      </c>
      <c r="E45" s="129">
        <f ca="1">IF(COUNT(E78:E79)&gt;=1,E84,IF(COUNT(E80)&gt;=1,E83,""))</f>
        <v>4</v>
      </c>
      <c r="F45" s="129">
        <f t="shared" ref="F45:M45" ca="1" si="15">IF(COUNT(F78:F79)&gt;=1,F84,IF(COUNT(F80)&gt;=1,F83,""))</f>
        <v>6</v>
      </c>
      <c r="G45" s="129">
        <f t="shared" ca="1" si="15"/>
        <v>10</v>
      </c>
      <c r="H45" s="129">
        <f ca="1">IF(COUNT(H78:H79)&gt;=1,H84,IF(COUNT(H80)&gt;=1,H83,""))</f>
        <v>16</v>
      </c>
      <c r="I45" s="129">
        <f t="shared" si="15"/>
        <v>50</v>
      </c>
      <c r="J45" s="129">
        <f t="shared" si="15"/>
        <v>70</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Ref_C,   3 or 4 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2092</v>
      </c>
      <c r="C53" s="143"/>
      <c r="D53" s="140">
        <f>IF(AND(D57=3,D51="4D2"),7,IF(AND(D57=1,D51="4D2"),6,IF(AND(D57=3,D51="4D1"),9,IF(AND(D57=1,D51="4D1"),8,""))))</f>
        <v>6</v>
      </c>
      <c r="E53" s="140">
        <v>6</v>
      </c>
      <c r="F53" s="140">
        <v>6</v>
      </c>
      <c r="G53" s="140">
        <v>6</v>
      </c>
      <c r="H53" s="140">
        <v>6</v>
      </c>
      <c r="I53" s="140">
        <v>12</v>
      </c>
      <c r="J53" s="140">
        <f>IF(AND(J57=3,J51="4D2"),7,IF(AND(J57=1,J51="4D2"),6,IF(AND(J57=3,J23&gt;=100),9,IF(AND(J57=1,J23&gt;=101),8,""))))</f>
        <v>7</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2095</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2100</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6"/>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2103</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6"/>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10</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2077</v>
      </c>
      <c r="B75" s="388"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85</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197</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184</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16</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50</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70</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2111</v>
      </c>
      <c r="C81" s="129"/>
      <c r="D81" s="129" cm="1">
        <f t="array" ref="D81">IF(D$29="","",IF(OR(D78&lt;&gt;"",D79&lt;&gt;"",D80&lt;&gt;""),IF(D94&gt;20,INDEX(T!$P$6:$P$29,MATCH(TRUE,INDEX(T!$P$6:$P$29&gt;D78,0),)),D78)))</f>
        <v>16</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50</v>
      </c>
      <c r="J81" s="129" cm="1">
        <f t="array" ref="J81">IF(J$29="","",IF(OR(J78&lt;&gt;"",J79&lt;&gt;"",J80&lt;&gt;""),IF(J94&gt;20,INDEX(T!$P$6:$P$29,MATCH(TRUE,INDEX(T!$P$6:$P$29&gt;J78,0),)),J78)))</f>
        <v>70</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16</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50</v>
      </c>
      <c r="J82" s="152" cm="1">
        <f t="array" ref="J82">IF(J$29="","",IF(J94&lt;&gt;"",IF(J95&gt;20,INDEX(T!$P$6:$P$29,MATCH(TRUE,INDEX(T!$P$6:$P$29&gt;J81,0),)),J81)))</f>
        <v>70</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16</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50</v>
      </c>
      <c r="J83" s="136" cm="1">
        <f t="array" ref="J83">IF(J$29="","",IF(J95&lt;&gt;"",IF(J96&gt;20,INDEX(T!$P$6:$P$29,MATCH(TRUE,INDEX(T!$P$6:$P$29&gt;J82,0),)),J82)))</f>
        <v>70</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2112</v>
      </c>
      <c r="C84" s="184"/>
      <c r="D84" s="184" cm="1">
        <f t="array" ref="D84">IF(D29="","",IF(D92&gt;(IF(COUNT(D19:D21)=1,230,IF(COUNT(D19:D21)=3,400))/(D27*IF(D37="B",5,IF(D37="C",10,IF(D37="D",20))))),INDEX(T!$P6:$P29,MATCH(TRUE,INDEX(T!$P6:$P29&gt;D83,0),)),D83))</f>
        <v>16</v>
      </c>
      <c r="E84" s="184">
        <v>4</v>
      </c>
      <c r="F84" s="184">
        <v>6</v>
      </c>
      <c r="G84" s="184">
        <v>10</v>
      </c>
      <c r="H84" s="184">
        <v>16</v>
      </c>
      <c r="I84" s="184" cm="1">
        <f t="array" ref="I84">IF(I29="","",IF(I92&gt;(IF(COUNT(I19:I21)=1,230,IF(COUNT(I19:I21)=3,400))/(I27*IF(I37="B",5,IF(I37="C",10,IF(I37="D",20))))),INDEX(T!$P6:$P29,MATCH(TRUE,INDEX(T!$P6:$P29&gt;I83,0),)),I83))</f>
        <v>50</v>
      </c>
      <c r="J84" s="184" cm="1">
        <f t="array" ref="J84">IF(J29="","",IF(J92&gt;(IF(COUNT(J19:J21)=1,230,IF(COUNT(J19:J21)=3,400))/(J27*IF(J37="B",5,IF(J37="C",10,IF(J37="D",20))))),INDEX(T!$P6:$P29,MATCH(TRUE,INDEX(T!$P6:$P29&gt;J83,0),)),J83))</f>
        <v>70</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25</v>
      </c>
      <c r="J85" s="136">
        <f t="shared" si="19"/>
        <v>35</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1.1499999999999999</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0.38700000000000001</v>
      </c>
      <c r="J88" s="156">
        <f>IF(J$25=0,"",IF(ISNUMBER(J83),LOOKUP(J83,T!$P$6:$P$29,T!$Q$6:$Q$29),IF(ISNUMBER(J79),LOOKUP(J79,T!$P$6:$P$29,T!$Q$6:$Q$29),IF(ISNUMBER(J80),LOOKUP(J80,T!$P$6:$P$29,T!$Q$6:$Q$29),0))))</f>
        <v>0.26800000000000002</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2115</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0.72699999999999998</v>
      </c>
      <c r="J89" s="158">
        <f>IF(J$25=0,"",IF(ISNUMBER(J85),LOOKUP(J85,T!$P$6:$P$28,T!$Q$6:$Q$28),0))</f>
        <v>0.52400000000000002</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2117</v>
      </c>
      <c r="C91" s="158"/>
      <c r="D91" s="158">
        <f t="shared" ref="D91:J91" si="21">IF(D25&lt;&gt;0,(D88+D89)*D69,0)</f>
        <v>23</v>
      </c>
      <c r="E91" s="158">
        <f t="shared" ca="1" si="21"/>
        <v>109.80000000000001</v>
      </c>
      <c r="F91" s="158">
        <f t="shared" ca="1" si="21"/>
        <v>109.80000000000001</v>
      </c>
      <c r="G91" s="158">
        <f t="shared" ca="1" si="21"/>
        <v>109.80000000000001</v>
      </c>
      <c r="H91" s="158">
        <f ca="1">IF(H25&lt;&gt;0,(H88+H89)*H69,0)</f>
        <v>109.80000000000001</v>
      </c>
      <c r="I91" s="158">
        <f t="shared" si="21"/>
        <v>55.699999999999996</v>
      </c>
      <c r="J91" s="158">
        <f t="shared" si="21"/>
        <v>39.6</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2118</v>
      </c>
      <c r="C92" s="159"/>
      <c r="D92" s="159">
        <f t="shared" ref="D92:J92" si="22">IF(D25&lt;&gt;0,((D90+D91)*1.2)/1000,0)</f>
        <v>2.802E-2</v>
      </c>
      <c r="E92" s="159">
        <f t="shared" ca="1" si="22"/>
        <v>0.13218000000000002</v>
      </c>
      <c r="F92" s="159">
        <f t="shared" ca="1" si="22"/>
        <v>0.13218000000000002</v>
      </c>
      <c r="G92" s="159">
        <f t="shared" ca="1" si="22"/>
        <v>0.13218000000000002</v>
      </c>
      <c r="H92" s="159">
        <f ca="1">IF(H25&lt;&gt;0,((H90+H91)*1.2)/1000,0)</f>
        <v>0.13218000000000002</v>
      </c>
      <c r="I92" s="159">
        <f t="shared" si="22"/>
        <v>6.7259999999999986E-2</v>
      </c>
      <c r="J92" s="159">
        <f t="shared" si="22"/>
        <v>4.7940000000000003E-2</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2119</v>
      </c>
      <c r="B94" s="388" t="s">
        <v>2484</v>
      </c>
      <c r="C94" s="385"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1.4583333333333335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6.3162000000000003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6.3162000000000003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6.3162000000000003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6.3162000000000003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2.9769623255090081</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13.876499999999998</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13.876499999999998</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1.4583333333333335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6.3162000000000003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6.3162000000000003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6.3162000000000003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6.3162000000000003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2.9769623255090081</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13.876499999999998</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13.876499999999998</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1.4583333333333335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6.3162000000000003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6.3162000000000003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6.3162000000000003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6.3162000000000003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2.9769623255090081</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13.876499999999998</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13.876499999999998</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1.4583333333333335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6.3162000000000003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6.3162000000000003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6.3162000000000003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6.3162000000000003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2.9769623255090081</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13.876499999999998</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13.876499999999998</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2121</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2119</v>
      </c>
      <c r="B102" s="389"/>
      <c r="C102" s="385"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1.4583333333333335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15.790499999999996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10.479149999999997</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6.3162000000000003</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4.0193999999999992</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2.9769623255090081</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5.2634999999999996</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3.4930499999999998</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2121</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IFERROR((IF(E84&gt;=E83,E102,99999)/((SUMPRODUCT(Items!$A$242:$A$254,Items!$AQ$242:$AQ$254)/SUM(Items!$A$242:$A$254))*Items!$N$1)),"")</f>
        <v>419.28301886792451</v>
      </c>
      <c r="F104" s="194">
        <f ca="1">IFERROR((IF(F84&gt;=F83,F102,99999)/((SUMPRODUCT(Items!$A$242:$A$254,Items!$AQ$242:$AQ$254)/SUM(Items!$A$242:$A$254))*Items!$N$1)),"")</f>
        <v>419.28301886792451</v>
      </c>
      <c r="G104" s="194">
        <f ca="1">IFERROR((IF(G84&gt;=G83,G102,99999)/((SUMPRODUCT(Items!$A$242:$A$254,Items!$AQ$242:$AQ$254)/SUM(Items!$A$242:$A$254))*Items!$N$1)),"")</f>
        <v>2.6483018867924528E-2</v>
      </c>
      <c r="H104" s="194">
        <f ca="1">IFERROR((IF(H84&gt;=H83,H102,99999)/((SUMPRODUCT(Items!$A$242:$A$254,Items!$AQ$242:$AQ$254)/SUM(Items!$A$242:$A$254))*Items!$N$1)),"")</f>
        <v>1.6852830188679242E-2</v>
      </c>
      <c r="I104" s="193"/>
      <c r="J104" s="193"/>
      <c r="K104" s="194">
        <f ca="1">IFERROR((IF(K84&gt;=K83,K102,99999)/((SUMPRODUCT(Items!$A$242:$A$254,Items!$AQ$242:$AQ$254)/SUM(Items!$A$242:$A$254))*Items!$N$1)),"")</f>
        <v>2.2069182389937107E-2</v>
      </c>
      <c r="L104" s="194">
        <f ca="1">IFERROR((IF(L84&gt;=L83,L102,99999)/((SUMPRODUCT(Items!$A$242:$A$254,Items!$AQ$242:$AQ$254)/SUM(Items!$A$242:$A$254))*Items!$N$1)),"")</f>
        <v>1.4645911949685534E-2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2093</v>
      </c>
      <c r="C220" s="152"/>
      <c r="D220" s="152"/>
      <c r="E220" s="152"/>
      <c r="F220" s="152"/>
      <c r="G220" s="152"/>
      <c r="H220" s="152"/>
      <c r="I220" s="152"/>
      <c r="J220" s="152"/>
      <c r="K220" s="152"/>
      <c r="L220" s="152"/>
      <c r="M220" s="152"/>
      <c r="O220" s="125"/>
    </row>
    <row r="221" spans="1:58" s="124" customFormat="1" ht="16">
      <c r="A221" s="393"/>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94"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95"/>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95"/>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95"/>
      <c r="B226" s="151" t="s">
        <v>2135</v>
      </c>
      <c r="C226" s="152"/>
      <c r="D226" s="152"/>
      <c r="E226" s="152"/>
      <c r="F226" s="152"/>
      <c r="G226" s="152" t="s">
        <v>2136</v>
      </c>
      <c r="H226" s="152"/>
      <c r="I226" s="152" t="s">
        <v>2136</v>
      </c>
      <c r="J226" s="152" t="s">
        <v>2136</v>
      </c>
      <c r="K226" s="152"/>
      <c r="L226" s="152" t="s">
        <v>2137</v>
      </c>
    </row>
    <row r="227" spans="1:12" s="124" customFormat="1" ht="16">
      <c r="A227" s="395"/>
      <c r="B227" s="151" t="s">
        <v>2138</v>
      </c>
      <c r="C227" s="152"/>
      <c r="D227" s="152"/>
      <c r="E227" s="152"/>
      <c r="F227" s="152"/>
      <c r="G227" s="152" t="s">
        <v>2139</v>
      </c>
      <c r="H227" s="152"/>
      <c r="I227" s="152"/>
      <c r="J227" s="152" t="s">
        <v>2139</v>
      </c>
      <c r="K227" s="152"/>
      <c r="L227" s="152" t="s">
        <v>2139</v>
      </c>
    </row>
    <row r="228" spans="1:12" s="124" customFormat="1" ht="16">
      <c r="A228" s="395"/>
      <c r="B228" s="151" t="s">
        <v>2140</v>
      </c>
      <c r="C228" s="152"/>
      <c r="D228" s="152"/>
      <c r="E228" s="152"/>
      <c r="F228" s="152"/>
      <c r="G228" s="152"/>
      <c r="H228" s="152"/>
      <c r="I228" s="152"/>
      <c r="J228" s="152"/>
      <c r="K228" s="152"/>
      <c r="L228" s="152" t="s">
        <v>2141</v>
      </c>
    </row>
    <row r="229" spans="1:12" s="124" customFormat="1" ht="16">
      <c r="A229" s="396"/>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2177</v>
      </c>
      <c r="B231" s="195" t="s">
        <v>2178</v>
      </c>
      <c r="C231" s="184">
        <v>2</v>
      </c>
      <c r="D231" s="184">
        <v>3</v>
      </c>
      <c r="E231" s="184">
        <v>4</v>
      </c>
      <c r="F231" s="184">
        <v>5</v>
      </c>
      <c r="G231" s="184">
        <v>6</v>
      </c>
      <c r="H231" s="184"/>
      <c r="I231" s="184">
        <v>7</v>
      </c>
      <c r="J231" s="184">
        <v>9</v>
      </c>
      <c r="K231" s="184"/>
      <c r="L231" s="184"/>
    </row>
    <row r="232" spans="1:12" s="124" customFormat="1" ht="16">
      <c r="A232" s="395"/>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95"/>
      <c r="B233" s="151" t="s">
        <v>2132</v>
      </c>
      <c r="C233" s="152">
        <v>2</v>
      </c>
      <c r="D233" s="152" t="s">
        <v>2133</v>
      </c>
      <c r="E233" s="152">
        <v>2</v>
      </c>
      <c r="F233" s="152" t="s">
        <v>2133</v>
      </c>
      <c r="G233" s="152">
        <v>2</v>
      </c>
      <c r="H233" s="152"/>
      <c r="I233" s="152" t="s">
        <v>2133</v>
      </c>
      <c r="J233" s="152" t="s">
        <v>2133</v>
      </c>
      <c r="K233" s="152"/>
      <c r="L233" s="152"/>
    </row>
    <row r="234" spans="1:12" s="124" customFormat="1" ht="16">
      <c r="A234" s="395"/>
      <c r="B234" s="151" t="s">
        <v>2135</v>
      </c>
      <c r="C234" s="152"/>
      <c r="D234" s="152"/>
      <c r="E234" s="152"/>
      <c r="F234" s="152"/>
      <c r="G234" s="152"/>
      <c r="H234" s="152"/>
      <c r="I234" s="152"/>
      <c r="J234" s="152"/>
      <c r="K234" s="152"/>
      <c r="L234" s="152"/>
    </row>
    <row r="235" spans="1:12" s="124" customFormat="1" ht="16">
      <c r="A235" s="395"/>
      <c r="B235" s="151" t="s">
        <v>2138</v>
      </c>
      <c r="C235" s="152"/>
      <c r="D235" s="152"/>
      <c r="E235" s="152"/>
      <c r="F235" s="152"/>
      <c r="G235" s="152"/>
      <c r="H235" s="152"/>
      <c r="I235" s="152"/>
      <c r="J235" s="152"/>
      <c r="K235" s="152"/>
      <c r="L235" s="152"/>
    </row>
    <row r="236" spans="1:12" s="124" customFormat="1" ht="16">
      <c r="A236" s="395"/>
      <c r="B236" s="151" t="s">
        <v>2140</v>
      </c>
      <c r="C236" s="152"/>
      <c r="D236" s="152"/>
      <c r="E236" s="152"/>
      <c r="F236" s="152"/>
      <c r="G236" s="152"/>
      <c r="H236" s="152"/>
      <c r="I236" s="152"/>
      <c r="J236" s="152"/>
      <c r="K236" s="152"/>
      <c r="L236" s="152"/>
    </row>
    <row r="237" spans="1:12" s="124" customFormat="1" ht="16">
      <c r="A237" s="396"/>
      <c r="B237" s="134" t="s">
        <v>2093</v>
      </c>
      <c r="C237" s="136"/>
      <c r="D237" s="136"/>
      <c r="E237" s="136"/>
      <c r="F237" s="136"/>
      <c r="G237" s="136"/>
      <c r="H237" s="136"/>
      <c r="I237" s="136"/>
      <c r="J237" s="136"/>
      <c r="K237" s="136"/>
      <c r="L237" s="136"/>
    </row>
    <row r="238" spans="1:12" s="124" customFormat="1" ht="16">
      <c r="L238" s="123"/>
    </row>
    <row r="239" spans="1:12" s="124" customFormat="1" ht="55">
      <c r="A239" s="394" t="s">
        <v>2179</v>
      </c>
      <c r="B239" s="195" t="s">
        <v>2180</v>
      </c>
      <c r="C239" s="184">
        <v>2</v>
      </c>
      <c r="D239" s="184">
        <v>3</v>
      </c>
      <c r="E239" s="184">
        <v>4</v>
      </c>
      <c r="F239" s="184">
        <v>5</v>
      </c>
      <c r="G239" s="184">
        <v>6</v>
      </c>
      <c r="H239" s="184"/>
      <c r="I239" s="184">
        <v>7</v>
      </c>
      <c r="J239" s="184">
        <v>9</v>
      </c>
      <c r="K239" s="184"/>
      <c r="L239" s="184">
        <v>12</v>
      </c>
    </row>
    <row r="240" spans="1:12" s="124" customFormat="1" ht="16">
      <c r="A240" s="395"/>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95"/>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95"/>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95"/>
      <c r="B243" s="151" t="s">
        <v>2138</v>
      </c>
      <c r="C243" s="152" t="s">
        <v>2139</v>
      </c>
      <c r="D243" s="152" t="s">
        <v>2139</v>
      </c>
      <c r="E243" s="152" t="s">
        <v>2139</v>
      </c>
      <c r="F243" s="152" t="s">
        <v>2139</v>
      </c>
      <c r="G243" s="152" t="s">
        <v>2145</v>
      </c>
      <c r="H243" s="152"/>
      <c r="I243" s="152"/>
      <c r="J243" s="152"/>
      <c r="K243" s="152"/>
      <c r="L243" s="152"/>
    </row>
    <row r="244" spans="1:15" s="124" customFormat="1" ht="16">
      <c r="A244" s="395"/>
      <c r="B244" s="151" t="s">
        <v>2140</v>
      </c>
      <c r="C244" s="152"/>
      <c r="D244" s="152"/>
      <c r="E244" s="152"/>
      <c r="F244" s="152"/>
      <c r="G244" s="152"/>
      <c r="H244" s="152"/>
      <c r="I244" s="152" t="s">
        <v>2146</v>
      </c>
      <c r="J244" s="152" t="s">
        <v>2146</v>
      </c>
      <c r="K244" s="152"/>
      <c r="L244" s="152" t="s">
        <v>2141</v>
      </c>
    </row>
    <row r="245" spans="1:15" s="124" customFormat="1" ht="16">
      <c r="A245" s="396"/>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94" t="s">
        <v>2181</v>
      </c>
      <c r="B247" s="195" t="s">
        <v>2149</v>
      </c>
      <c r="C247" s="184">
        <v>2</v>
      </c>
      <c r="D247" s="184">
        <v>3</v>
      </c>
      <c r="E247" s="184">
        <v>4</v>
      </c>
      <c r="F247" s="184">
        <v>5</v>
      </c>
      <c r="G247" s="184">
        <v>6</v>
      </c>
      <c r="H247" s="184"/>
      <c r="I247" s="184">
        <v>7</v>
      </c>
      <c r="J247" s="184"/>
      <c r="K247" s="184"/>
      <c r="L247" s="184"/>
    </row>
    <row r="248" spans="1:15" s="124" customFormat="1" ht="16">
      <c r="A248" s="395"/>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95"/>
      <c r="B249" s="151" t="s">
        <v>2132</v>
      </c>
      <c r="C249" s="152">
        <v>2</v>
      </c>
      <c r="D249" s="152" t="s">
        <v>2133</v>
      </c>
      <c r="E249" s="152">
        <v>2</v>
      </c>
      <c r="F249" s="152" t="s">
        <v>2133</v>
      </c>
      <c r="G249" s="152">
        <v>2</v>
      </c>
      <c r="H249" s="152"/>
      <c r="I249" s="152" t="s">
        <v>2133</v>
      </c>
      <c r="J249" s="152"/>
      <c r="K249" s="152"/>
      <c r="L249" s="152"/>
    </row>
    <row r="250" spans="1:15" s="124" customFormat="1" ht="16">
      <c r="A250" s="395"/>
      <c r="B250" s="151" t="s">
        <v>2135</v>
      </c>
      <c r="C250" s="152"/>
      <c r="D250" s="152"/>
      <c r="E250" s="152"/>
      <c r="F250" s="152"/>
      <c r="G250" s="152"/>
      <c r="H250" s="152"/>
      <c r="I250" s="152"/>
      <c r="J250" s="152"/>
      <c r="K250" s="152"/>
      <c r="L250" s="152"/>
    </row>
    <row r="251" spans="1:15" s="124" customFormat="1" ht="16">
      <c r="A251" s="395"/>
      <c r="B251" s="151" t="s">
        <v>2138</v>
      </c>
      <c r="C251" s="152"/>
      <c r="D251" s="152"/>
      <c r="E251" s="152"/>
      <c r="F251" s="152"/>
      <c r="G251" s="152"/>
      <c r="H251" s="152"/>
      <c r="I251" s="152"/>
      <c r="J251" s="152"/>
      <c r="K251" s="152"/>
      <c r="L251" s="152"/>
    </row>
    <row r="252" spans="1:15" s="124" customFormat="1" ht="16">
      <c r="A252" s="395"/>
      <c r="B252" s="151" t="s">
        <v>2140</v>
      </c>
      <c r="C252" s="152"/>
      <c r="D252" s="152"/>
      <c r="E252" s="152"/>
      <c r="F252" s="152"/>
      <c r="G252" s="152"/>
      <c r="H252" s="152"/>
      <c r="I252" s="152"/>
      <c r="J252" s="152"/>
      <c r="K252" s="152"/>
      <c r="L252" s="152"/>
    </row>
    <row r="253" spans="1:15" s="124" customFormat="1" ht="16">
      <c r="A253" s="396"/>
      <c r="B253" s="134" t="s">
        <v>2093</v>
      </c>
      <c r="C253" s="136"/>
      <c r="D253" s="136"/>
      <c r="E253" s="136"/>
      <c r="F253" s="136"/>
      <c r="G253" s="136"/>
      <c r="H253" s="136"/>
      <c r="I253" s="136"/>
      <c r="J253" s="136"/>
      <c r="K253" s="136"/>
      <c r="L253" s="136"/>
    </row>
    <row r="254" spans="1:15" s="124" customFormat="1" ht="16">
      <c r="O254" s="125"/>
    </row>
    <row r="255" spans="1:15" s="124" customFormat="1" ht="55">
      <c r="A255" s="391" t="s">
        <v>2182</v>
      </c>
      <c r="B255" s="195" t="s">
        <v>2153</v>
      </c>
      <c r="C255" s="184">
        <v>2</v>
      </c>
      <c r="D255" s="184">
        <v>3</v>
      </c>
      <c r="E255" s="184">
        <v>4</v>
      </c>
      <c r="F255" s="184">
        <v>5</v>
      </c>
      <c r="G255" s="184">
        <v>6</v>
      </c>
      <c r="H255" s="184"/>
      <c r="I255" s="184">
        <v>7</v>
      </c>
      <c r="J255" s="184">
        <v>9</v>
      </c>
      <c r="K255" s="184"/>
      <c r="L255" s="184">
        <v>12</v>
      </c>
    </row>
    <row r="256" spans="1:15" s="124" customFormat="1" ht="16">
      <c r="A256" s="392"/>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92"/>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92"/>
      <c r="B258" s="151" t="s">
        <v>2135</v>
      </c>
      <c r="C258" s="152"/>
      <c r="D258" s="152"/>
      <c r="E258" s="152"/>
      <c r="F258" s="152"/>
      <c r="G258" s="152" t="s">
        <v>2136</v>
      </c>
      <c r="H258" s="152"/>
      <c r="I258" s="152" t="s">
        <v>2136</v>
      </c>
      <c r="J258" s="152" t="s">
        <v>2136</v>
      </c>
      <c r="K258" s="152"/>
      <c r="L258" s="152" t="s">
        <v>2137</v>
      </c>
    </row>
    <row r="259" spans="1:12" s="124" customFormat="1" ht="16">
      <c r="A259" s="392"/>
      <c r="B259" s="151" t="s">
        <v>2138</v>
      </c>
      <c r="C259" s="152"/>
      <c r="D259" s="152"/>
      <c r="E259" s="152"/>
      <c r="F259" s="152"/>
      <c r="G259" s="152" t="s">
        <v>2139</v>
      </c>
      <c r="H259" s="152"/>
      <c r="I259" s="152"/>
      <c r="J259" s="152" t="s">
        <v>2139</v>
      </c>
      <c r="K259" s="152"/>
      <c r="L259" s="152" t="s">
        <v>2139</v>
      </c>
    </row>
    <row r="260" spans="1:12" s="124" customFormat="1" ht="16">
      <c r="A260" s="392"/>
      <c r="B260" s="151" t="s">
        <v>2140</v>
      </c>
      <c r="C260" s="152"/>
      <c r="D260" s="152"/>
      <c r="E260" s="152"/>
      <c r="F260" s="152"/>
      <c r="G260" s="152"/>
      <c r="H260" s="152"/>
      <c r="I260" s="152"/>
      <c r="J260" s="152"/>
      <c r="K260" s="152"/>
      <c r="L260" s="152" t="s">
        <v>2141</v>
      </c>
    </row>
    <row r="261" spans="1:12" s="124" customFormat="1" ht="16">
      <c r="A261" s="393"/>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2183</v>
      </c>
      <c r="B263" s="195" t="s">
        <v>2155</v>
      </c>
      <c r="C263" s="184">
        <v>2</v>
      </c>
      <c r="D263" s="184">
        <v>3</v>
      </c>
      <c r="E263" s="184">
        <v>4</v>
      </c>
      <c r="F263" s="184">
        <v>5</v>
      </c>
      <c r="G263" s="184">
        <v>6</v>
      </c>
      <c r="H263" s="184"/>
      <c r="I263" s="184">
        <v>7</v>
      </c>
      <c r="J263" s="184">
        <v>9</v>
      </c>
      <c r="K263" s="184"/>
      <c r="L263" s="184"/>
    </row>
    <row r="264" spans="1:12" s="124" customFormat="1" ht="16">
      <c r="A264" s="392"/>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92"/>
      <c r="B265" s="151" t="s">
        <v>2132</v>
      </c>
      <c r="C265" s="152">
        <v>2</v>
      </c>
      <c r="D265" s="152" t="s">
        <v>2133</v>
      </c>
      <c r="E265" s="152">
        <v>2</v>
      </c>
      <c r="F265" s="152" t="s">
        <v>2133</v>
      </c>
      <c r="G265" s="152">
        <v>2</v>
      </c>
      <c r="H265" s="152"/>
      <c r="I265" s="152" t="s">
        <v>2133</v>
      </c>
      <c r="J265" s="152" t="s">
        <v>2133</v>
      </c>
      <c r="K265" s="152"/>
      <c r="L265" s="152"/>
    </row>
    <row r="266" spans="1:12" s="124" customFormat="1" ht="16">
      <c r="A266" s="392"/>
      <c r="B266" s="151" t="s">
        <v>2135</v>
      </c>
      <c r="C266" s="152"/>
      <c r="D266" s="152"/>
      <c r="E266" s="152"/>
      <c r="F266" s="152"/>
      <c r="G266" s="152"/>
      <c r="H266" s="152"/>
      <c r="I266" s="152"/>
      <c r="J266" s="152"/>
      <c r="K266" s="152"/>
      <c r="L266" s="152"/>
    </row>
    <row r="267" spans="1:12" s="124" customFormat="1" ht="16">
      <c r="A267" s="392"/>
      <c r="B267" s="151" t="s">
        <v>2138</v>
      </c>
      <c r="C267" s="152"/>
      <c r="D267" s="152"/>
      <c r="E267" s="152"/>
      <c r="F267" s="152"/>
      <c r="G267" s="152"/>
      <c r="H267" s="152"/>
      <c r="I267" s="152"/>
      <c r="J267" s="152"/>
      <c r="K267" s="152"/>
      <c r="L267" s="152"/>
    </row>
    <row r="268" spans="1:12" s="124" customFormat="1" ht="16">
      <c r="A268" s="392"/>
      <c r="B268" s="151" t="s">
        <v>2140</v>
      </c>
      <c r="C268" s="152"/>
      <c r="D268" s="152"/>
      <c r="E268" s="152"/>
      <c r="F268" s="152"/>
      <c r="G268" s="152"/>
      <c r="H268" s="152"/>
      <c r="I268" s="152"/>
      <c r="J268" s="152"/>
      <c r="K268" s="152"/>
      <c r="L268" s="152"/>
    </row>
    <row r="269" spans="1:12" s="124" customFormat="1" ht="16">
      <c r="A269" s="393"/>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91" t="s">
        <v>2184</v>
      </c>
      <c r="B271" s="195" t="s">
        <v>2157</v>
      </c>
      <c r="C271" s="184">
        <v>2</v>
      </c>
      <c r="D271" s="184">
        <v>3</v>
      </c>
      <c r="E271" s="184">
        <v>4</v>
      </c>
      <c r="F271" s="184">
        <v>5</v>
      </c>
      <c r="G271" s="184">
        <v>6</v>
      </c>
      <c r="H271" s="184"/>
      <c r="I271" s="184">
        <v>7</v>
      </c>
      <c r="J271" s="184">
        <v>9</v>
      </c>
      <c r="K271" s="184"/>
      <c r="L271" s="184">
        <v>12</v>
      </c>
    </row>
    <row r="272" spans="1:12" s="124" customFormat="1" ht="16">
      <c r="A272" s="392"/>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92"/>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92"/>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92"/>
      <c r="B275" s="151" t="s">
        <v>2138</v>
      </c>
      <c r="C275" s="152" t="s">
        <v>2139</v>
      </c>
      <c r="D275" s="152" t="s">
        <v>2139</v>
      </c>
      <c r="E275" s="152" t="s">
        <v>2139</v>
      </c>
      <c r="F275" s="152" t="s">
        <v>2139</v>
      </c>
      <c r="G275" s="152" t="s">
        <v>2145</v>
      </c>
      <c r="H275" s="152"/>
      <c r="I275" s="152"/>
      <c r="J275" s="152"/>
      <c r="K275" s="152"/>
      <c r="L275" s="152"/>
    </row>
    <row r="276" spans="1:15" s="124" customFormat="1" ht="16">
      <c r="A276" s="392"/>
      <c r="B276" s="151" t="s">
        <v>2140</v>
      </c>
      <c r="C276" s="152"/>
      <c r="D276" s="152"/>
      <c r="E276" s="152"/>
      <c r="F276" s="152"/>
      <c r="G276" s="152"/>
      <c r="H276" s="152"/>
      <c r="I276" s="152" t="s">
        <v>2146</v>
      </c>
      <c r="J276" s="152" t="s">
        <v>2146</v>
      </c>
      <c r="K276" s="152"/>
      <c r="L276" s="152" t="s">
        <v>2141</v>
      </c>
    </row>
    <row r="277" spans="1:15" s="124" customFormat="1" ht="16">
      <c r="A277" s="393"/>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91" t="s">
        <v>2185</v>
      </c>
      <c r="B279" s="195" t="s">
        <v>2159</v>
      </c>
      <c r="C279" s="184">
        <v>2</v>
      </c>
      <c r="D279" s="184">
        <v>3</v>
      </c>
      <c r="E279" s="184">
        <v>4</v>
      </c>
      <c r="F279" s="184">
        <v>5</v>
      </c>
      <c r="G279" s="184">
        <v>6</v>
      </c>
      <c r="H279" s="184"/>
      <c r="I279" s="184">
        <v>7</v>
      </c>
      <c r="J279" s="184"/>
      <c r="K279" s="184"/>
      <c r="L279" s="184"/>
    </row>
    <row r="280" spans="1:15" s="124" customFormat="1" ht="16">
      <c r="A280" s="392"/>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92"/>
      <c r="B281" s="151" t="s">
        <v>2132</v>
      </c>
      <c r="C281" s="152">
        <v>2</v>
      </c>
      <c r="D281" s="152" t="s">
        <v>2133</v>
      </c>
      <c r="E281" s="152">
        <v>2</v>
      </c>
      <c r="F281" s="152" t="s">
        <v>2133</v>
      </c>
      <c r="G281" s="152">
        <v>2</v>
      </c>
      <c r="H281" s="152"/>
      <c r="I281" s="152" t="s">
        <v>2133</v>
      </c>
      <c r="J281" s="152"/>
      <c r="K281" s="152"/>
      <c r="L281" s="152"/>
    </row>
    <row r="282" spans="1:15" s="124" customFormat="1" ht="16">
      <c r="A282" s="392"/>
      <c r="B282" s="151" t="s">
        <v>2135</v>
      </c>
      <c r="C282" s="152"/>
      <c r="D282" s="152"/>
      <c r="E282" s="152"/>
      <c r="F282" s="152"/>
      <c r="G282" s="152"/>
      <c r="H282" s="152"/>
      <c r="I282" s="152"/>
      <c r="J282" s="152"/>
      <c r="K282" s="152"/>
      <c r="L282" s="152"/>
    </row>
    <row r="283" spans="1:15" s="124" customFormat="1" ht="16">
      <c r="A283" s="392"/>
      <c r="B283" s="151" t="s">
        <v>2138</v>
      </c>
      <c r="C283" s="152"/>
      <c r="D283" s="152"/>
      <c r="E283" s="152"/>
      <c r="F283" s="152"/>
      <c r="G283" s="152"/>
      <c r="H283" s="152"/>
      <c r="I283" s="152"/>
      <c r="J283" s="152"/>
      <c r="K283" s="152"/>
      <c r="L283" s="152"/>
    </row>
    <row r="284" spans="1:15" s="124" customFormat="1" ht="16">
      <c r="A284" s="392"/>
      <c r="B284" s="151" t="s">
        <v>2140</v>
      </c>
      <c r="C284" s="152"/>
      <c r="D284" s="152"/>
      <c r="E284" s="152"/>
      <c r="F284" s="152"/>
      <c r="G284" s="152"/>
      <c r="H284" s="152"/>
      <c r="I284" s="152"/>
      <c r="J284" s="152"/>
      <c r="K284" s="152"/>
      <c r="L284" s="152"/>
    </row>
    <row r="285" spans="1:15" s="124" customFormat="1" ht="16">
      <c r="A285" s="393"/>
      <c r="B285" s="134" t="s">
        <v>2093</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12" priority="1" stopIfTrue="1" operator="equal">
      <formula>0</formula>
    </cfRule>
  </conditionalFormatting>
  <conditionalFormatting sqref="C4:C8 A4:A19 K7:L12 D9:G10 B9:C23 M9:N23 A30:G35">
    <cfRule type="cellIs" dxfId="11" priority="8" stopIfTrue="1" operator="equal">
      <formula>0</formula>
    </cfRule>
  </conditionalFormatting>
  <conditionalFormatting sqref="D36:G42 A36:A45 B36:C74 A47 P48:AD50">
    <cfRule type="cellIs" dxfId="10" priority="10" stopIfTrue="1" operator="equal">
      <formula>0</formula>
    </cfRule>
  </conditionalFormatting>
  <conditionalFormatting sqref="D44:J61">
    <cfRule type="cellIs" dxfId="9" priority="7" stopIfTrue="1" operator="equal">
      <formula>0</formula>
    </cfRule>
  </conditionalFormatting>
  <conditionalFormatting sqref="D59:O59">
    <cfRule type="expression" dxfId="8" priority="3">
      <formula>OR(D51="4G1",D51="4G2")</formula>
    </cfRule>
  </conditionalFormatting>
  <conditionalFormatting sqref="H44:H48">
    <cfRule type="cellIs" dxfId="7" priority="6" stopIfTrue="1" operator="equal">
      <formula>0</formula>
    </cfRule>
  </conditionalFormatting>
  <conditionalFormatting sqref="H7:J10 D11:J12">
    <cfRule type="cellIs" dxfId="6" priority="5" stopIfTrue="1" operator="equal">
      <formula>0</formula>
    </cfRule>
  </conditionalFormatting>
  <conditionalFormatting sqref="K51:L53">
    <cfRule type="cellIs" dxfId="5" priority="2" stopIfTrue="1" operator="equal">
      <formula>0</formula>
    </cfRule>
  </conditionalFormatting>
  <conditionalFormatting sqref="K54:L61 D13:L23 H30:N42 K44:N50 H63:K80 H84:N103 C102:G102">
    <cfRule type="cellIs" dxfId="4"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3"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2025-02-06T15:23:45Z</dcterms:modified>
</cp:coreProperties>
</file>