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14BEAF88-7976-B246-8EC2-AC06DE48EB1B}"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Items!$B$3:$I$688</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Items!$AN$250:$AN$250</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Items!$AN$252:$AN$255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X18" i="6" l="1"/>
  <c r="A249" i="12"/>
  <c r="AO249" i="12" s="1"/>
  <c r="AT249" i="12"/>
  <c r="AV249" i="12" s="1"/>
  <c r="J249" i="12"/>
  <c r="H249" i="12"/>
  <c r="L249" i="12" s="1"/>
  <c r="F249" i="12"/>
  <c r="G249" i="12" s="1"/>
  <c r="N27" i="20"/>
  <c r="M27" i="20"/>
  <c r="N23" i="20"/>
  <c r="M23" i="20"/>
  <c r="J11" i="6"/>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1" i="12"/>
  <c r="H561" i="12"/>
  <c r="G561" i="12"/>
  <c r="F561" i="12"/>
  <c r="E561" i="12"/>
  <c r="D561" i="12"/>
  <c r="F302" i="12"/>
  <c r="G302" i="12" s="1"/>
  <c r="H302" i="12"/>
  <c r="L302" i="12" s="1"/>
  <c r="I302" i="12"/>
  <c r="L320" i="12"/>
  <c r="L365" i="12"/>
  <c r="L406" i="12"/>
  <c r="L455" i="12"/>
  <c r="L504" i="12"/>
  <c r="L505" i="12"/>
  <c r="L509" i="12"/>
  <c r="L512" i="12"/>
  <c r="L513" i="12"/>
  <c r="L529" i="12"/>
  <c r="L534" i="12"/>
  <c r="L540" i="12"/>
  <c r="L543" i="12"/>
  <c r="L546" i="12"/>
  <c r="L549" i="12"/>
  <c r="L550" i="12"/>
  <c r="L559" i="12"/>
  <c r="L560"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2" i="12"/>
  <c r="J513" i="12"/>
  <c r="J514" i="12"/>
  <c r="J515" i="12"/>
  <c r="J516" i="12"/>
  <c r="J517" i="12"/>
  <c r="J518" i="12"/>
  <c r="J519" i="12"/>
  <c r="J520" i="12"/>
  <c r="J522" i="12"/>
  <c r="J523" i="12"/>
  <c r="J524" i="12"/>
  <c r="J525" i="12"/>
  <c r="J526" i="12"/>
  <c r="J527" i="12"/>
  <c r="J528" i="12"/>
  <c r="J529" i="12"/>
  <c r="J530" i="12"/>
  <c r="J531" i="12"/>
  <c r="J532" i="12"/>
  <c r="J533" i="12"/>
  <c r="J534" i="12"/>
  <c r="J535" i="12"/>
  <c r="J536" i="12"/>
  <c r="J537" i="12"/>
  <c r="J538" i="12"/>
  <c r="J539" i="12"/>
  <c r="J540" i="12"/>
  <c r="J543" i="12"/>
  <c r="J544" i="12"/>
  <c r="J546" i="12"/>
  <c r="J547" i="12"/>
  <c r="J548" i="12"/>
  <c r="J549" i="12"/>
  <c r="J550" i="12"/>
  <c r="J559" i="12"/>
  <c r="J560" i="12"/>
  <c r="J302" i="12"/>
  <c r="J301" i="12"/>
  <c r="O304" i="12"/>
  <c r="O305" i="12"/>
  <c r="O306" i="12"/>
  <c r="O307" i="12"/>
  <c r="O308" i="12"/>
  <c r="O309" i="12"/>
  <c r="O310" i="12"/>
  <c r="O311" i="12"/>
  <c r="O312" i="12"/>
  <c r="O313" i="12"/>
  <c r="O314" i="12"/>
  <c r="O315" i="12"/>
  <c r="O316" i="12"/>
  <c r="O317" i="12"/>
  <c r="O318" i="12"/>
  <c r="O319" i="12"/>
  <c r="O320" i="12"/>
  <c r="O321" i="12"/>
  <c r="O322" i="12"/>
  <c r="O325" i="12"/>
  <c r="O327" i="12"/>
  <c r="O329" i="12"/>
  <c r="O330" i="12"/>
  <c r="O334" i="12"/>
  <c r="O335" i="12"/>
  <c r="O339" i="12"/>
  <c r="O340" i="12"/>
  <c r="O341" i="12"/>
  <c r="O342" i="12"/>
  <c r="O343" i="12"/>
  <c r="O344" i="12"/>
  <c r="O345" i="12"/>
  <c r="O346" i="12"/>
  <c r="O347" i="12"/>
  <c r="O348" i="12"/>
  <c r="O349" i="12"/>
  <c r="O350" i="12"/>
  <c r="O351" i="12"/>
  <c r="O352" i="12"/>
  <c r="O353" i="12"/>
  <c r="O354" i="12"/>
  <c r="O355" i="12"/>
  <c r="O356" i="12"/>
  <c r="O357" i="12"/>
  <c r="O360" i="12"/>
  <c r="O363" i="12"/>
  <c r="O364" i="12"/>
  <c r="O365" i="12"/>
  <c r="O366" i="12"/>
  <c r="O376" i="12"/>
  <c r="O384" i="12"/>
  <c r="O394" i="12"/>
  <c r="O395" i="12"/>
  <c r="O396" i="12"/>
  <c r="O398" i="12"/>
  <c r="O399" i="12"/>
  <c r="O400" i="12"/>
  <c r="O401" i="12"/>
  <c r="O402" i="12"/>
  <c r="O405" i="12"/>
  <c r="O406" i="12"/>
  <c r="O408" i="12"/>
  <c r="O410" i="12"/>
  <c r="O411" i="12"/>
  <c r="O413" i="12"/>
  <c r="O414" i="12"/>
  <c r="O415" i="12"/>
  <c r="O416" i="12"/>
  <c r="O417" i="12"/>
  <c r="O418" i="12"/>
  <c r="O419" i="12"/>
  <c r="O420" i="12"/>
  <c r="O421" i="12"/>
  <c r="O422" i="12"/>
  <c r="O423" i="12"/>
  <c r="O424" i="12"/>
  <c r="O425" i="12"/>
  <c r="O426" i="12"/>
  <c r="O427" i="12"/>
  <c r="O429"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56" i="12"/>
  <c r="O463" i="12"/>
  <c r="O464" i="12"/>
  <c r="O465" i="12"/>
  <c r="O466" i="12"/>
  <c r="O477" i="12"/>
  <c r="O486" i="12"/>
  <c r="O487" i="12"/>
  <c r="O488" i="12"/>
  <c r="O494" i="12"/>
  <c r="O496" i="12"/>
  <c r="O497" i="12"/>
  <c r="O498" i="12"/>
  <c r="O499" i="12"/>
  <c r="O501" i="12"/>
  <c r="O502" i="12"/>
  <c r="O504" i="12"/>
  <c r="O505" i="12"/>
  <c r="O509" i="12"/>
  <c r="O512" i="12"/>
  <c r="O513" i="12"/>
  <c r="O514" i="12"/>
  <c r="O515" i="12"/>
  <c r="O516" i="12"/>
  <c r="O517" i="12"/>
  <c r="O518" i="12"/>
  <c r="O519" i="12"/>
  <c r="O520" i="12"/>
  <c r="O521" i="12"/>
  <c r="O522" i="12"/>
  <c r="O523" i="12"/>
  <c r="O524" i="12"/>
  <c r="O525" i="12"/>
  <c r="O526" i="12"/>
  <c r="O527" i="12"/>
  <c r="O528" i="12"/>
  <c r="O529" i="12"/>
  <c r="O534" i="12"/>
  <c r="O540" i="12"/>
  <c r="O542" i="12"/>
  <c r="O543" i="12"/>
  <c r="O544" i="12"/>
  <c r="O545" i="12"/>
  <c r="O546" i="12"/>
  <c r="O547" i="12"/>
  <c r="O548" i="12"/>
  <c r="O549" i="12"/>
  <c r="O550" i="12"/>
  <c r="O552" i="12"/>
  <c r="O553" i="12"/>
  <c r="O554" i="12"/>
  <c r="O555" i="12"/>
  <c r="O558" i="12"/>
  <c r="O559" i="12"/>
  <c r="O560"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688" i="12"/>
  <c r="J7" i="6"/>
  <c r="D9" i="20" s="1"/>
  <c r="J9" i="20" s="1"/>
  <c r="AS249" i="12" l="1"/>
  <c r="I249" i="12"/>
  <c r="O249" i="12"/>
  <c r="F3"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1" i="12"/>
  <c r="D521" i="12"/>
  <c r="J521" i="12" s="1"/>
  <c r="A430" i="12" l="1"/>
  <c r="O430" i="12" s="1"/>
  <c r="A428" i="12"/>
  <c r="O428" i="12" s="1"/>
  <c r="H486" i="12"/>
  <c r="F486" i="12"/>
  <c r="G486" i="12" s="1"/>
  <c r="H476" i="12"/>
  <c r="H477" i="12"/>
  <c r="H478" i="12"/>
  <c r="F476" i="12"/>
  <c r="G476" i="12" s="1"/>
  <c r="F436" i="12"/>
  <c r="G436" i="12" s="1"/>
  <c r="H436" i="12"/>
  <c r="F437" i="12"/>
  <c r="G437" i="12" s="1"/>
  <c r="H437" i="12"/>
  <c r="F438" i="12"/>
  <c r="G438" i="12" s="1"/>
  <c r="H438" i="12"/>
  <c r="F439" i="12"/>
  <c r="G439" i="12" s="1"/>
  <c r="H439" i="12"/>
  <c r="F440" i="12"/>
  <c r="G440" i="12" s="1"/>
  <c r="H440" i="12"/>
  <c r="F441" i="12"/>
  <c r="G441" i="12" s="1"/>
  <c r="H441" i="12"/>
  <c r="F442" i="12"/>
  <c r="G442" i="12" s="1"/>
  <c r="H442" i="12"/>
  <c r="F443" i="12"/>
  <c r="G443" i="12" s="1"/>
  <c r="H443" i="12"/>
  <c r="F444" i="12"/>
  <c r="G444" i="12" s="1"/>
  <c r="H444" i="12"/>
  <c r="F445" i="12"/>
  <c r="G445" i="12" s="1"/>
  <c r="H445" i="12"/>
  <c r="F446" i="12"/>
  <c r="G446" i="12" s="1"/>
  <c r="H446" i="12"/>
  <c r="F447" i="12"/>
  <c r="G447" i="12" s="1"/>
  <c r="H447" i="12"/>
  <c r="F448" i="12"/>
  <c r="G448" i="12" s="1"/>
  <c r="H448" i="12"/>
  <c r="F449" i="12"/>
  <c r="G449" i="12" s="1"/>
  <c r="H449" i="12"/>
  <c r="F450" i="12"/>
  <c r="G450" i="12" s="1"/>
  <c r="H450" i="12"/>
  <c r="F451" i="12"/>
  <c r="G451" i="12" s="1"/>
  <c r="H451" i="12"/>
  <c r="F452" i="12"/>
  <c r="G452" i="12" s="1"/>
  <c r="H452" i="12"/>
  <c r="F416" i="12"/>
  <c r="G416" i="12" s="1"/>
  <c r="H416" i="12"/>
  <c r="F417" i="12"/>
  <c r="H417" i="12"/>
  <c r="F418" i="12"/>
  <c r="G418" i="12" s="1"/>
  <c r="H418" i="12"/>
  <c r="F419" i="12"/>
  <c r="G419" i="12" s="1"/>
  <c r="H419" i="12"/>
  <c r="F420" i="12"/>
  <c r="G420" i="12" s="1"/>
  <c r="H420" i="12"/>
  <c r="F421" i="12"/>
  <c r="G421" i="12" s="1"/>
  <c r="H421" i="12"/>
  <c r="F422" i="12"/>
  <c r="G422" i="12" s="1"/>
  <c r="H422" i="12"/>
  <c r="F423" i="12"/>
  <c r="G423" i="12" s="1"/>
  <c r="H423" i="12"/>
  <c r="F62" i="12"/>
  <c r="G62" i="12" s="1"/>
  <c r="H62" i="12"/>
  <c r="I62" i="12" s="1"/>
  <c r="F63" i="12"/>
  <c r="G63" i="12" s="1"/>
  <c r="H63" i="12"/>
  <c r="I63" i="12" s="1"/>
  <c r="F300" i="12"/>
  <c r="G300" i="12" s="1"/>
  <c r="H300" i="12"/>
  <c r="F301" i="12"/>
  <c r="G301" i="12" s="1"/>
  <c r="H301" i="12"/>
  <c r="F303" i="12"/>
  <c r="G303" i="12" s="1"/>
  <c r="H303" i="12"/>
  <c r="F304" i="12"/>
  <c r="G304" i="12" s="1"/>
  <c r="H304" i="12"/>
  <c r="F305" i="12"/>
  <c r="G305" i="12" s="1"/>
  <c r="H305" i="12"/>
  <c r="F306" i="12"/>
  <c r="G306" i="12" s="1"/>
  <c r="H306" i="12"/>
  <c r="F307" i="12"/>
  <c r="G307" i="12" s="1"/>
  <c r="H307" i="12"/>
  <c r="F308" i="12"/>
  <c r="G308" i="12" s="1"/>
  <c r="H308" i="12"/>
  <c r="F309" i="12"/>
  <c r="G309" i="12" s="1"/>
  <c r="H309" i="12"/>
  <c r="F318" i="12"/>
  <c r="G318" i="12" s="1"/>
  <c r="H318" i="12"/>
  <c r="F326" i="12"/>
  <c r="G326" i="12" s="1"/>
  <c r="H326" i="12"/>
  <c r="F327" i="12"/>
  <c r="G327" i="12" s="1"/>
  <c r="H327" i="12"/>
  <c r="F328" i="12"/>
  <c r="G328" i="12" s="1"/>
  <c r="H328" i="12"/>
  <c r="F329" i="12"/>
  <c r="G329" i="12" s="1"/>
  <c r="H329" i="12"/>
  <c r="F330" i="12"/>
  <c r="G330" i="12" s="1"/>
  <c r="H330" i="12"/>
  <c r="F331" i="12"/>
  <c r="G331" i="12" s="1"/>
  <c r="H331" i="12"/>
  <c r="F332" i="12"/>
  <c r="G332" i="12" s="1"/>
  <c r="H332" i="12"/>
  <c r="F333" i="12"/>
  <c r="G333" i="12" s="1"/>
  <c r="H333" i="12"/>
  <c r="O208" i="12"/>
  <c r="O209" i="12"/>
  <c r="O212" i="12"/>
  <c r="O213" i="12"/>
  <c r="O214" i="12"/>
  <c r="O216" i="12"/>
  <c r="O217" i="12"/>
  <c r="O218" i="12"/>
  <c r="O219" i="12"/>
  <c r="O220" i="12"/>
  <c r="O228" i="12"/>
  <c r="O229" i="12"/>
  <c r="O230" i="12"/>
  <c r="O232" i="12"/>
  <c r="O237" i="12"/>
  <c r="O238" i="12"/>
  <c r="O239" i="12"/>
  <c r="O240" i="12"/>
  <c r="O241" i="12"/>
  <c r="O244" i="12"/>
  <c r="O246" i="12"/>
  <c r="O248" i="12"/>
  <c r="O251" i="12"/>
  <c r="O256" i="12"/>
  <c r="O257" i="12"/>
  <c r="O258" i="12"/>
  <c r="O259" i="12"/>
  <c r="O260" i="12"/>
  <c r="O267" i="12"/>
  <c r="O268" i="12"/>
  <c r="O270" i="12"/>
  <c r="O272" i="12"/>
  <c r="O274" i="12"/>
  <c r="O276" i="12"/>
  <c r="O277" i="12"/>
  <c r="O279" i="12"/>
  <c r="O281" i="12"/>
  <c r="O283" i="12"/>
  <c r="O284" i="12"/>
  <c r="O285" i="12"/>
  <c r="O286" i="12"/>
  <c r="O287" i="12"/>
  <c r="O288" i="12"/>
  <c r="O289" i="12"/>
  <c r="O290" i="12"/>
  <c r="O291" i="12"/>
  <c r="O292" i="12"/>
  <c r="O293" i="12"/>
  <c r="O294" i="12"/>
  <c r="O295" i="12"/>
  <c r="O296" i="12"/>
  <c r="O297" i="12"/>
  <c r="O298" i="12"/>
  <c r="O300" i="12"/>
  <c r="O301"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1" i="12"/>
  <c r="AO422" i="12"/>
  <c r="AO423" i="12"/>
  <c r="AO424" i="12"/>
  <c r="AO425" i="12"/>
  <c r="AO426" i="12"/>
  <c r="AO427" i="12"/>
  <c r="AO429"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56" i="12"/>
  <c r="AO463" i="12"/>
  <c r="AO464" i="12"/>
  <c r="AO465" i="12"/>
  <c r="AO466" i="12"/>
  <c r="AO477" i="12"/>
  <c r="AO486" i="12"/>
  <c r="AO487" i="12"/>
  <c r="AO488" i="12"/>
  <c r="AO494" i="12"/>
  <c r="AO496" i="12"/>
  <c r="AO497" i="12"/>
  <c r="AO498" i="12"/>
  <c r="AO499" i="12"/>
  <c r="AO501" i="12"/>
  <c r="AO502" i="12"/>
  <c r="AO504" i="12"/>
  <c r="AO505" i="12"/>
  <c r="AO509" i="12"/>
  <c r="AO512" i="12"/>
  <c r="AO513" i="12"/>
  <c r="AO514" i="12"/>
  <c r="AO515" i="12"/>
  <c r="AO516" i="12"/>
  <c r="AO517" i="12"/>
  <c r="AO518" i="12"/>
  <c r="AO519" i="12"/>
  <c r="AO520" i="12"/>
  <c r="AO521" i="12"/>
  <c r="AO522" i="12"/>
  <c r="AO523" i="12"/>
  <c r="AO524" i="12"/>
  <c r="AO525" i="12"/>
  <c r="AO526" i="12"/>
  <c r="AO527" i="12"/>
  <c r="AO528" i="12"/>
  <c r="AO529" i="12"/>
  <c r="AO534" i="12"/>
  <c r="AO540" i="12"/>
  <c r="AO542" i="12"/>
  <c r="AO543" i="12"/>
  <c r="AO544" i="12"/>
  <c r="AO545" i="12"/>
  <c r="AO546" i="12"/>
  <c r="AO547" i="12"/>
  <c r="AO548" i="12"/>
  <c r="AO549" i="12"/>
  <c r="AO550" i="12"/>
  <c r="AO552" i="12"/>
  <c r="AO553" i="12"/>
  <c r="AO554" i="12"/>
  <c r="AO555" i="12"/>
  <c r="AO558" i="12"/>
  <c r="AO418" i="12"/>
  <c r="AO419" i="12"/>
  <c r="AO420" i="12"/>
  <c r="AO394" i="12"/>
  <c r="AO395" i="12"/>
  <c r="AO396" i="12"/>
  <c r="AO398" i="12"/>
  <c r="AO399" i="12"/>
  <c r="AO400" i="12"/>
  <c r="AO401" i="12"/>
  <c r="AO402" i="12"/>
  <c r="AO405" i="12"/>
  <c r="AO406" i="12"/>
  <c r="AO408" i="12"/>
  <c r="AO410" i="12"/>
  <c r="AO411" i="12"/>
  <c r="AO413" i="12"/>
  <c r="AO414" i="12"/>
  <c r="AO415" i="12"/>
  <c r="AO416" i="12"/>
  <c r="AO417" i="12"/>
  <c r="AO339" i="12"/>
  <c r="AO340" i="12"/>
  <c r="AO341" i="12"/>
  <c r="AO342" i="12"/>
  <c r="AO343" i="12"/>
  <c r="AO344" i="12"/>
  <c r="AO345" i="12"/>
  <c r="AO346" i="12"/>
  <c r="AO347" i="12"/>
  <c r="AO348" i="12"/>
  <c r="AO349" i="12"/>
  <c r="AO350" i="12"/>
  <c r="AO351" i="12"/>
  <c r="AO352" i="12"/>
  <c r="AO353" i="12"/>
  <c r="AO354" i="12"/>
  <c r="AO355" i="12"/>
  <c r="AO356" i="12"/>
  <c r="AO357" i="12"/>
  <c r="AO360" i="12"/>
  <c r="AO363" i="12"/>
  <c r="AO364" i="12"/>
  <c r="AO365" i="12"/>
  <c r="AO366" i="12"/>
  <c r="AO376" i="12"/>
  <c r="AO384" i="12"/>
  <c r="AO325" i="12"/>
  <c r="AO327" i="12"/>
  <c r="AO329" i="12"/>
  <c r="AO330" i="12"/>
  <c r="AO334" i="12"/>
  <c r="AO335" i="12"/>
  <c r="AO317" i="12"/>
  <c r="AO318" i="12"/>
  <c r="AO319" i="12"/>
  <c r="AO320" i="12"/>
  <c r="AO321" i="12"/>
  <c r="AO322"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1" i="12"/>
  <c r="AO256" i="12"/>
  <c r="AO257" i="12"/>
  <c r="AO258" i="12"/>
  <c r="AO259" i="12"/>
  <c r="AO260" i="12"/>
  <c r="AO267" i="12"/>
  <c r="AO268" i="12"/>
  <c r="AO270" i="12"/>
  <c r="AO272" i="12"/>
  <c r="AO274" i="12"/>
  <c r="AO276" i="12"/>
  <c r="AO277" i="12"/>
  <c r="AO279" i="12"/>
  <c r="AO281" i="12"/>
  <c r="AO283" i="12"/>
  <c r="AO284" i="12"/>
  <c r="AO285" i="12"/>
  <c r="AO286" i="12"/>
  <c r="AO287" i="12"/>
  <c r="AO288" i="12"/>
  <c r="AO289" i="12"/>
  <c r="AO290" i="12"/>
  <c r="AO291" i="12"/>
  <c r="AO292" i="12"/>
  <c r="AO293" i="12"/>
  <c r="AO294" i="12"/>
  <c r="AO295" i="12"/>
  <c r="AO296" i="12"/>
  <c r="AO297" i="12"/>
  <c r="AO298" i="12"/>
  <c r="AO300" i="12"/>
  <c r="AO301" i="12"/>
  <c r="AO304" i="12"/>
  <c r="AO305" i="12"/>
  <c r="AO306" i="12"/>
  <c r="AO307" i="12"/>
  <c r="AO308" i="12"/>
  <c r="AO309" i="12"/>
  <c r="AO310" i="12"/>
  <c r="AO311" i="12"/>
  <c r="AO312" i="12"/>
  <c r="AO313" i="12"/>
  <c r="AO314" i="12"/>
  <c r="AO315" i="12"/>
  <c r="AO316"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4" i="12"/>
  <c r="G254" i="12" s="1"/>
  <c r="H254" i="12"/>
  <c r="I254" i="12" s="1"/>
  <c r="F255" i="12"/>
  <c r="G255" i="12" s="1"/>
  <c r="H255" i="12"/>
  <c r="I255"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5"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145" i="12"/>
  <c r="J146" i="12"/>
  <c r="J147" i="12"/>
  <c r="J148" i="12"/>
  <c r="L131" i="12"/>
  <c r="L135" i="12"/>
  <c r="L203" i="12"/>
  <c r="L216" i="12"/>
  <c r="L220" i="12"/>
  <c r="L244" i="12"/>
  <c r="L256" i="12"/>
  <c r="L291"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7" i="12"/>
  <c r="O407" i="12" s="1"/>
  <c r="H323" i="12"/>
  <c r="F323" i="12"/>
  <c r="G323" i="12" s="1"/>
  <c r="A255" i="12"/>
  <c r="AO255" i="12" s="1"/>
  <c r="A254" i="12"/>
  <c r="AO254" i="12" s="1"/>
  <c r="H130" i="12"/>
  <c r="I130" i="12" s="1"/>
  <c r="F130" i="12"/>
  <c r="G130" i="12" s="1"/>
  <c r="A6" i="12"/>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3" i="12"/>
  <c r="AO253" i="12" s="1"/>
  <c r="A252" i="12"/>
  <c r="AO252" i="12" s="1"/>
  <c r="A250" i="12"/>
  <c r="AO250" i="12" s="1"/>
  <c r="A243" i="12"/>
  <c r="AO243" i="12" s="1"/>
  <c r="A242" i="12"/>
  <c r="A245" i="12"/>
  <c r="AO245" i="12" s="1"/>
  <c r="A247" i="12"/>
  <c r="AO247" i="12" s="1"/>
  <c r="I542" i="12"/>
  <c r="H542" i="12"/>
  <c r="F542" i="12"/>
  <c r="EK479" i="13"/>
  <c r="EK478" i="13"/>
  <c r="EK477" i="13"/>
  <c r="AW282"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9" i="12"/>
  <c r="A302" i="12" s="1"/>
  <c r="O302" i="12" s="1"/>
  <c r="U8" i="6" a="1"/>
  <c r="U8" i="6" s="1"/>
  <c r="U9" i="6" a="1"/>
  <c r="U9" i="6" s="1"/>
  <c r="U12" i="6" a="1"/>
  <c r="U12" i="6" s="1"/>
  <c r="X8" i="6"/>
  <c r="F20" i="6"/>
  <c r="AW258" i="12"/>
  <c r="AW259" i="12"/>
  <c r="AW260" i="12"/>
  <c r="AW266" i="12"/>
  <c r="AW267" i="12"/>
  <c r="AW268" i="12"/>
  <c r="AW269" i="12"/>
  <c r="AW270" i="12"/>
  <c r="AW271" i="12"/>
  <c r="AW272" i="12"/>
  <c r="AW273" i="12"/>
  <c r="AW274" i="12"/>
  <c r="AW275" i="12"/>
  <c r="AW276" i="12"/>
  <c r="AW277" i="12"/>
  <c r="AW278" i="12"/>
  <c r="AW279" i="12"/>
  <c r="AW280" i="12"/>
  <c r="AW281" i="12"/>
  <c r="AW283" i="12"/>
  <c r="AW284" i="12"/>
  <c r="AW285" i="12"/>
  <c r="AW261" i="12"/>
  <c r="AW262" i="12"/>
  <c r="AW263" i="12"/>
  <c r="AW264" i="12"/>
  <c r="AT247" i="12"/>
  <c r="AS247" i="12" s="1"/>
  <c r="H247" i="12"/>
  <c r="I247" i="12" s="1"/>
  <c r="F247" i="12"/>
  <c r="G247" i="12" s="1"/>
  <c r="A95" i="12"/>
  <c r="O95" i="12" s="1"/>
  <c r="A141" i="12"/>
  <c r="O141" i="12" s="1"/>
  <c r="A136" i="12"/>
  <c r="O136" i="12" s="1"/>
  <c r="A98" i="12"/>
  <c r="O98" i="12" s="1"/>
  <c r="A503" i="12"/>
  <c r="O503" i="12" s="1"/>
  <c r="C34" i="6"/>
  <c r="T8" i="6" a="1"/>
  <c r="T8" i="6" s="1"/>
  <c r="O11" i="6" a="1"/>
  <c r="O11" i="6" s="1"/>
  <c r="O8" i="6" a="1"/>
  <c r="O8" i="6" s="1"/>
  <c r="O9" i="6" a="1"/>
  <c r="O9" i="6" s="1"/>
  <c r="O10" i="6" a="1"/>
  <c r="O10" i="6" s="1"/>
  <c r="F492" i="12"/>
  <c r="G492" i="12" s="1"/>
  <c r="H492" i="12"/>
  <c r="D57" i="20"/>
  <c r="H490" i="12"/>
  <c r="H491" i="12"/>
  <c r="F490" i="12"/>
  <c r="G490" i="12" s="1"/>
  <c r="F491" i="12"/>
  <c r="G491" i="12" s="1"/>
  <c r="H485" i="12"/>
  <c r="F485" i="12"/>
  <c r="G485" i="12" s="1"/>
  <c r="H475" i="12"/>
  <c r="F475" i="12"/>
  <c r="G475" i="12" s="1"/>
  <c r="H473" i="12"/>
  <c r="F473" i="12"/>
  <c r="G473" i="12" s="1"/>
  <c r="A561" i="12"/>
  <c r="O561" i="12" s="1"/>
  <c r="H391" i="12"/>
  <c r="H392" i="12"/>
  <c r="F392" i="12"/>
  <c r="G392" i="12" s="1"/>
  <c r="F391" i="12"/>
  <c r="G391" i="12" s="1"/>
  <c r="H389" i="12"/>
  <c r="F389" i="12"/>
  <c r="G389" i="12" s="1"/>
  <c r="J57" i="20"/>
  <c r="A323" i="12" l="1"/>
  <c r="O323" i="12" s="1"/>
  <c r="A326" i="12"/>
  <c r="A331" i="12"/>
  <c r="A333" i="12"/>
  <c r="I23" i="20"/>
  <c r="I27" i="20" s="1"/>
  <c r="O6" i="12"/>
  <c r="I392" i="12"/>
  <c r="L392" i="12"/>
  <c r="I309" i="12"/>
  <c r="L309" i="12"/>
  <c r="I446" i="12"/>
  <c r="L446" i="12"/>
  <c r="I332" i="12"/>
  <c r="L332" i="12"/>
  <c r="I308" i="12"/>
  <c r="L308" i="12"/>
  <c r="I330" i="12"/>
  <c r="L330" i="12"/>
  <c r="I439" i="12"/>
  <c r="L439" i="12"/>
  <c r="I475" i="12"/>
  <c r="L475" i="12"/>
  <c r="I307" i="12"/>
  <c r="L307" i="12"/>
  <c r="I329" i="12"/>
  <c r="L329" i="12"/>
  <c r="I306" i="12"/>
  <c r="L306" i="12"/>
  <c r="I423" i="12"/>
  <c r="L423" i="12"/>
  <c r="I452" i="12"/>
  <c r="L452" i="12"/>
  <c r="I444" i="12"/>
  <c r="L444" i="12"/>
  <c r="I436" i="12"/>
  <c r="L436" i="12"/>
  <c r="I491" i="12"/>
  <c r="L491" i="12"/>
  <c r="I490" i="12"/>
  <c r="L490" i="12"/>
  <c r="I328" i="12"/>
  <c r="L328" i="12"/>
  <c r="I305" i="12"/>
  <c r="L305" i="12"/>
  <c r="I422" i="12"/>
  <c r="L422" i="12"/>
  <c r="I451" i="12"/>
  <c r="L451" i="12"/>
  <c r="I443" i="12"/>
  <c r="L443" i="12"/>
  <c r="I418" i="12"/>
  <c r="L418" i="12"/>
  <c r="I417" i="12"/>
  <c r="L417" i="12"/>
  <c r="I437" i="12"/>
  <c r="L437" i="12"/>
  <c r="I323" i="12"/>
  <c r="L323" i="12"/>
  <c r="I478" i="12"/>
  <c r="I300" i="12"/>
  <c r="L300" i="12"/>
  <c r="I331" i="12"/>
  <c r="L331" i="12"/>
  <c r="I485" i="12"/>
  <c r="L485" i="12"/>
  <c r="I445" i="12"/>
  <c r="L445" i="12"/>
  <c r="I389" i="12"/>
  <c r="L389" i="12"/>
  <c r="I327" i="12"/>
  <c r="L327" i="12"/>
  <c r="I304" i="12"/>
  <c r="L304" i="12"/>
  <c r="I421" i="12"/>
  <c r="L421" i="12"/>
  <c r="I450" i="12"/>
  <c r="L450" i="12"/>
  <c r="I442" i="12"/>
  <c r="L442" i="12"/>
  <c r="I477" i="12"/>
  <c r="I473" i="12"/>
  <c r="L473" i="12"/>
  <c r="I447" i="12"/>
  <c r="L447" i="12"/>
  <c r="I438" i="12"/>
  <c r="L438" i="12"/>
  <c r="I416" i="12"/>
  <c r="L416" i="12"/>
  <c r="I492" i="12"/>
  <c r="L492" i="12"/>
  <c r="I476" i="12"/>
  <c r="L476" i="12"/>
  <c r="I326" i="12"/>
  <c r="L326" i="12"/>
  <c r="I303" i="12"/>
  <c r="L303" i="12"/>
  <c r="I420" i="12"/>
  <c r="L420" i="12"/>
  <c r="I449" i="12"/>
  <c r="L449" i="12"/>
  <c r="I441" i="12"/>
  <c r="L441" i="12"/>
  <c r="I391" i="12"/>
  <c r="L391" i="12"/>
  <c r="I486" i="12"/>
  <c r="L486" i="12"/>
  <c r="I333" i="12"/>
  <c r="L333" i="12"/>
  <c r="I318" i="12"/>
  <c r="L318" i="12"/>
  <c r="I301" i="12"/>
  <c r="L301" i="12"/>
  <c r="I419" i="12"/>
  <c r="L419" i="12"/>
  <c r="I448" i="12"/>
  <c r="L448" i="12"/>
  <c r="I440" i="12"/>
  <c r="L440" i="12"/>
  <c r="N1" i="13"/>
  <c r="O103" i="12"/>
  <c r="A134" i="12"/>
  <c r="AO430" i="12"/>
  <c r="AO211" i="12"/>
  <c r="A210" i="12"/>
  <c r="A535" i="12"/>
  <c r="O535" i="12" s="1"/>
  <c r="L542" i="12"/>
  <c r="A536" i="12"/>
  <c r="O536" i="12" s="1"/>
  <c r="A537" i="12"/>
  <c r="O537" i="12" s="1"/>
  <c r="A538" i="12"/>
  <c r="O538" i="12" s="1"/>
  <c r="A539" i="12"/>
  <c r="O539" i="12" s="1"/>
  <c r="AO299" i="12"/>
  <c r="A303" i="12"/>
  <c r="O303" i="12" s="1"/>
  <c r="A507" i="12"/>
  <c r="O507" i="12" s="1"/>
  <c r="L114" i="12"/>
  <c r="L138" i="12"/>
  <c r="L132" i="12"/>
  <c r="L150" i="12"/>
  <c r="L103" i="12"/>
  <c r="I103" i="12"/>
  <c r="I138" i="12"/>
  <c r="AO47" i="12"/>
  <c r="L62" i="12"/>
  <c r="AO222" i="12"/>
  <c r="AO503" i="12"/>
  <c r="L140" i="12"/>
  <c r="L149" i="12"/>
  <c r="O26" i="12"/>
  <c r="O299" i="12"/>
  <c r="O24" i="12"/>
  <c r="O235" i="12"/>
  <c r="AO206" i="12"/>
  <c r="O236" i="12"/>
  <c r="AO221" i="12"/>
  <c r="O53" i="12"/>
  <c r="O52" i="12"/>
  <c r="O234" i="12"/>
  <c r="O242" i="12"/>
  <c r="AO98" i="12"/>
  <c r="O51" i="12"/>
  <c r="O23" i="12"/>
  <c r="O233" i="12"/>
  <c r="O50" i="12"/>
  <c r="O22" i="12"/>
  <c r="L137" i="12"/>
  <c r="O21" i="12"/>
  <c r="O231" i="12"/>
  <c r="O215" i="12"/>
  <c r="AO95" i="12"/>
  <c r="AO59" i="12"/>
  <c r="AO33" i="12"/>
  <c r="O255" i="12"/>
  <c r="AO32" i="12"/>
  <c r="L115" i="12"/>
  <c r="AO31" i="12"/>
  <c r="O227" i="12"/>
  <c r="O211" i="12"/>
  <c r="O41" i="12"/>
  <c r="O226" i="12"/>
  <c r="O40" i="12"/>
  <c r="O225" i="12"/>
  <c r="AO20" i="12"/>
  <c r="AO242" i="12"/>
  <c r="J9" i="6" s="1"/>
  <c r="O39" i="12"/>
  <c r="O224" i="12"/>
  <c r="AO49" i="12"/>
  <c r="AO19" i="12"/>
  <c r="O223" i="12"/>
  <c r="L254" i="12"/>
  <c r="L105" i="12"/>
  <c r="AO18" i="12"/>
  <c r="AO48" i="12"/>
  <c r="AO93" i="12"/>
  <c r="AO90" i="12"/>
  <c r="AO89" i="12"/>
  <c r="AO105" i="12"/>
  <c r="O254" i="12"/>
  <c r="O253" i="12"/>
  <c r="O252" i="12"/>
  <c r="O250" i="12"/>
  <c r="O247" i="12"/>
  <c r="O245" i="12"/>
  <c r="O243" i="12"/>
  <c r="AO109" i="12"/>
  <c r="AO45" i="12"/>
  <c r="AO107" i="12"/>
  <c r="AO77" i="12"/>
  <c r="AO58" i="12"/>
  <c r="AO28" i="12"/>
  <c r="AO119" i="12"/>
  <c r="AO407"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7" i="12"/>
  <c r="I114" i="12"/>
  <c r="G140" i="12"/>
  <c r="L104" i="12"/>
  <c r="G132" i="12"/>
  <c r="G542" i="12" s="1"/>
  <c r="L61" i="12"/>
  <c r="L130" i="12"/>
  <c r="L247" i="12"/>
  <c r="L152" i="12"/>
  <c r="BC7" i="12" a="1"/>
  <c r="BC7" i="12" s="1"/>
  <c r="BE7" i="12" a="1"/>
  <c r="BE7" i="12" s="1"/>
  <c r="AZ7" i="12" a="1"/>
  <c r="AZ7" i="12" s="1"/>
  <c r="BA7" i="12" a="1"/>
  <c r="BA7" i="12" s="1"/>
  <c r="BB7" i="12" a="1"/>
  <c r="BB7" i="12" s="1"/>
  <c r="BB8" i="12" s="1" a="1"/>
  <c r="BB8" i="12" s="1"/>
  <c r="BD8" i="12" a="1"/>
  <c r="BD8" i="12" s="1"/>
  <c r="A361" i="12"/>
  <c r="O361" i="12" s="1"/>
  <c r="A362" i="12"/>
  <c r="O362" i="12" s="1"/>
  <c r="EM490" i="13"/>
  <c r="L23" i="20"/>
  <c r="L27" i="20" s="1"/>
  <c r="K23" i="20"/>
  <c r="K27" i="20" s="1"/>
  <c r="L5" i="12"/>
  <c r="EL483" i="13"/>
  <c r="EL484" i="13"/>
  <c r="EM484" i="13" s="1"/>
  <c r="EM489" i="13"/>
  <c r="A500" i="12"/>
  <c r="O500" i="12" s="1"/>
  <c r="O326" i="12" l="1"/>
  <c r="AO326" i="12"/>
  <c r="O331" i="12"/>
  <c r="AO331" i="12"/>
  <c r="O333" i="12"/>
  <c r="AO333" i="12"/>
  <c r="A170" i="12"/>
  <c r="A169" i="12"/>
  <c r="A168" i="12"/>
  <c r="A167" i="12"/>
  <c r="A166" i="12"/>
  <c r="A163" i="12"/>
  <c r="O120" i="13"/>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3" i="12"/>
  <c r="AO507" i="12"/>
  <c r="AO500" i="12"/>
  <c r="AO210" i="12"/>
  <c r="J8" i="6" s="1"/>
  <c r="O210" i="12"/>
  <c r="O134" i="12"/>
  <c r="AO134" i="12"/>
  <c r="AO362" i="12"/>
  <c r="AO323" i="12"/>
  <c r="AO361"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1" i="12"/>
  <c r="O511" i="12" s="1"/>
  <c r="A510" i="12"/>
  <c r="O510" i="12" s="1"/>
  <c r="A359" i="12"/>
  <c r="O359" i="12" s="1"/>
  <c r="A358" i="12"/>
  <c r="O358" i="12" s="1"/>
  <c r="E69" i="20"/>
  <c r="D69" i="20"/>
  <c r="C1" i="12" l="1"/>
  <c r="P1" i="13"/>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8" i="12"/>
  <c r="AO510" i="12"/>
  <c r="AO511" i="12"/>
  <c r="AO359" i="12"/>
  <c r="AO358"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9" i="12"/>
  <c r="AO560" i="12"/>
  <c r="AO561"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5" i="12"/>
  <c r="H535" i="12"/>
  <c r="F535" i="12"/>
  <c r="G535" i="12" s="1"/>
  <c r="K11" i="2"/>
  <c r="BD1" i="12"/>
  <c r="BD2" i="12"/>
  <c r="AV256" i="12"/>
  <c r="AV257" i="12"/>
  <c r="Z556" i="13" a="1"/>
  <c r="Z526" i="13" a="1"/>
  <c r="Z576" i="13" a="1"/>
  <c r="Z559" i="13" a="1"/>
  <c r="Z537" i="13" a="1"/>
  <c r="Z590" i="13" a="1"/>
  <c r="Z561" i="13" a="1"/>
  <c r="Z543" i="13" a="1"/>
  <c r="Z544" i="13" a="1"/>
  <c r="Z548" i="13" a="1"/>
  <c r="Z587" i="13" a="1"/>
  <c r="Z601" i="13" a="1"/>
  <c r="Z540" i="13" a="1"/>
  <c r="Z573" i="13" a="1"/>
  <c r="Z562" i="13" a="1"/>
  <c r="Z553" i="13" a="1"/>
  <c r="Z549" i="13" a="1"/>
  <c r="Z555" i="13" a="1"/>
  <c r="Z583" i="13" a="1"/>
  <c r="Z577" i="13" a="1"/>
  <c r="Z599" i="13" a="1"/>
  <c r="Z568" i="13" a="1"/>
  <c r="Z594" i="13" a="1"/>
  <c r="Z592" i="13" a="1"/>
  <c r="Z557" i="13" a="1"/>
  <c r="Z517" i="13" a="1"/>
  <c r="Z571" i="13" a="1"/>
  <c r="Z546" i="13" a="1"/>
  <c r="Z525" i="13" a="1"/>
  <c r="Z538" i="13" a="1"/>
  <c r="Z522" i="13" a="1"/>
  <c r="Z535" i="13" a="1"/>
  <c r="Z523" i="13" a="1"/>
  <c r="Z558" i="13" a="1"/>
  <c r="Z591" i="13" a="1"/>
  <c r="Z598" i="13" a="1"/>
  <c r="Z596" i="13" a="1"/>
  <c r="Z534" i="13" a="1"/>
  <c r="Z600" i="13" a="1"/>
  <c r="Z593" i="13" a="1"/>
  <c r="Z536" i="13" a="1"/>
  <c r="Z564" i="13" a="1"/>
  <c r="Z542" i="13" a="1"/>
  <c r="Z528" i="13" a="1"/>
  <c r="Z580" i="13" a="1"/>
  <c r="Z554" i="13" a="1"/>
  <c r="Z552" i="13" a="1"/>
  <c r="Z595" i="13" a="1"/>
  <c r="Z575" i="13" a="1"/>
  <c r="Z547" i="13" a="1"/>
  <c r="Z572" i="13" a="1"/>
  <c r="Z529" i="13" a="1"/>
  <c r="Z579" i="13" a="1"/>
  <c r="Z532" i="13" a="1"/>
  <c r="Z589" i="13" a="1"/>
  <c r="Z581" i="13" a="1"/>
  <c r="Z524" i="13" a="1"/>
  <c r="Z574" i="13" a="1"/>
  <c r="Z569" i="13" a="1"/>
  <c r="Z541" i="13" a="1"/>
  <c r="Z560" i="13" a="1"/>
  <c r="Z563" i="13" a="1"/>
  <c r="Z527" i="13" a="1"/>
  <c r="Z582" i="13" a="1"/>
  <c r="Z533" i="13" a="1"/>
  <c r="Z521" i="13" a="1"/>
  <c r="Z519" i="13" a="1"/>
  <c r="Z566" i="13" a="1"/>
  <c r="Z565" i="13" a="1"/>
  <c r="Z588" i="13" a="1"/>
  <c r="Z585" i="13" a="1"/>
  <c r="Z531" i="13" a="1"/>
  <c r="Z570" i="13" a="1"/>
  <c r="Z518" i="13" a="1"/>
  <c r="Z520" i="13" a="1"/>
  <c r="Z567" i="13" a="1"/>
  <c r="Z578" i="13" a="1"/>
  <c r="Z597" i="13" a="1"/>
  <c r="Z545" i="13" a="1"/>
  <c r="Z539" i="13" a="1"/>
  <c r="Z586" i="13" a="1"/>
  <c r="Z584" i="13" a="1"/>
  <c r="Z530" i="13" a="1"/>
  <c r="Z551" i="13" a="1"/>
  <c r="Z550" i="13" a="1"/>
  <c r="L535" i="12" l="1"/>
  <c r="Z597" i="13"/>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5"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O332" i="12"/>
  <c r="I558" i="12"/>
  <c r="H558"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2"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O328" i="12"/>
  <c r="O324" i="12"/>
  <c r="A531" i="12"/>
  <c r="O531" i="12" s="1"/>
  <c r="A530" i="12"/>
  <c r="O530" i="12" s="1"/>
  <c r="A532" i="12"/>
  <c r="O532" i="12" s="1"/>
  <c r="A533" i="12"/>
  <c r="O533" i="12" s="1"/>
  <c r="BB2" i="12"/>
  <c r="BB3" i="12"/>
  <c r="BB1" i="12"/>
  <c r="AO539" i="12" l="1"/>
  <c r="AO530" i="12"/>
  <c r="AO538" i="12"/>
  <c r="AO531" i="12"/>
  <c r="AO533" i="12"/>
  <c r="AO537" i="12"/>
  <c r="AO535" i="12"/>
  <c r="AO532" i="12"/>
  <c r="AO536" i="12"/>
  <c r="AO324" i="12"/>
  <c r="AO328" i="12"/>
  <c r="BC4" i="12"/>
  <c r="AT244" i="12"/>
  <c r="AT246" i="12"/>
  <c r="AT248" i="12"/>
  <c r="AT251"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1" i="12"/>
  <c r="AV303" i="12"/>
  <c r="AV304" i="12"/>
  <c r="AV305" i="12"/>
  <c r="AV306" i="12"/>
  <c r="AV307" i="12"/>
  <c r="AV308" i="12"/>
  <c r="AV309" i="12"/>
  <c r="AV310" i="12"/>
  <c r="AV311" i="12"/>
  <c r="AV312" i="12"/>
  <c r="AV313" i="12"/>
  <c r="AV314" i="12"/>
  <c r="AV315" i="12"/>
  <c r="AV316" i="12"/>
  <c r="AV317" i="12"/>
  <c r="AV319" i="12"/>
  <c r="AV320" i="12"/>
  <c r="AV321" i="12"/>
  <c r="AV322" i="12"/>
  <c r="AV323" i="12"/>
  <c r="AV324" i="12"/>
  <c r="AV325" i="12"/>
  <c r="AV328"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8" i="12"/>
  <c r="AV390"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5" i="12"/>
  <c r="AV418" i="12"/>
  <c r="AV422" i="12"/>
  <c r="AV423" i="12"/>
  <c r="AV424" i="12"/>
  <c r="AV425" i="12"/>
  <c r="AV426" i="12"/>
  <c r="AV427" i="12"/>
  <c r="AV428" i="12"/>
  <c r="AV429" i="12"/>
  <c r="AV430" i="12"/>
  <c r="AV431" i="12"/>
  <c r="AV432" i="12"/>
  <c r="AV433" i="12"/>
  <c r="AV434" i="12"/>
  <c r="AV435" i="12"/>
  <c r="AV436" i="12"/>
  <c r="AV437" i="12"/>
  <c r="AV438" i="12"/>
  <c r="AV439" i="12"/>
  <c r="AV442" i="12"/>
  <c r="AV443" i="12"/>
  <c r="AV444" i="12"/>
  <c r="AV445" i="12"/>
  <c r="AV446" i="12"/>
  <c r="AV447" i="12"/>
  <c r="AV448"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2" i="12"/>
  <c r="AV474" i="12"/>
  <c r="AV477" i="12"/>
  <c r="AV478" i="12"/>
  <c r="AV479" i="12"/>
  <c r="AV480" i="12"/>
  <c r="AV481" i="12"/>
  <c r="AV482" i="12"/>
  <c r="AV483" i="12"/>
  <c r="AV484" i="12"/>
  <c r="AV487" i="12"/>
  <c r="AV488" i="12"/>
  <c r="AV489"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3"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AV561"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1" i="12"/>
  <c r="AS251"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50" i="12"/>
  <c r="G250" i="12" s="1"/>
  <c r="H250" i="12"/>
  <c r="F251" i="12"/>
  <c r="G251" i="12" s="1"/>
  <c r="H251" i="12"/>
  <c r="F252" i="12"/>
  <c r="G252" i="12" s="1"/>
  <c r="H252"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7" i="12"/>
  <c r="G497" i="12" s="1"/>
  <c r="H497" i="12"/>
  <c r="L497" i="12" s="1"/>
  <c r="F498" i="12"/>
  <c r="G498" i="12" s="1"/>
  <c r="H498" i="12"/>
  <c r="L498" i="12" s="1"/>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35" i="20"/>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1" i="12"/>
  <c r="L93" i="12"/>
  <c r="L92" i="12"/>
  <c r="L82" i="12"/>
  <c r="L97" i="12"/>
  <c r="L89" i="12"/>
  <c r="L250" i="12"/>
  <c r="L91" i="12"/>
  <c r="L96" i="12"/>
  <c r="L248" i="12"/>
  <c r="L98" i="12"/>
  <c r="L217" i="12"/>
  <c r="L80" i="12"/>
  <c r="L95" i="12"/>
  <c r="L87" i="12"/>
  <c r="L79" i="12"/>
  <c r="L100" i="12"/>
  <c r="L245" i="12"/>
  <c r="L83" i="12"/>
  <c r="L90" i="12"/>
  <c r="L78" i="12"/>
  <c r="L246" i="12"/>
  <c r="L218" i="12"/>
  <c r="L86" i="12"/>
  <c r="L77" i="12"/>
  <c r="L99" i="12"/>
  <c r="L215" i="12"/>
  <c r="L252" i="12"/>
  <c r="L81" i="12"/>
  <c r="L88" i="12"/>
  <c r="AT245" i="12"/>
  <c r="AV245" i="12" s="1"/>
  <c r="AT250" i="12"/>
  <c r="AV250" i="12" s="1"/>
  <c r="AT252" i="12"/>
  <c r="AT242" i="12"/>
  <c r="AT243" i="12"/>
  <c r="AT253" i="12"/>
  <c r="AT255" i="12"/>
  <c r="I98" i="12"/>
  <c r="I250" i="12"/>
  <c r="I80" i="12"/>
  <c r="I87" i="12"/>
  <c r="I217" i="12"/>
  <c r="I245" i="12"/>
  <c r="I92" i="12"/>
  <c r="I219" i="12"/>
  <c r="I215" i="12"/>
  <c r="I97" i="12"/>
  <c r="I248" i="12"/>
  <c r="I77" i="12"/>
  <c r="I79" i="12"/>
  <c r="I498" i="12"/>
  <c r="I252" i="12"/>
  <c r="I91" i="12"/>
  <c r="I218" i="12"/>
  <c r="I93" i="12"/>
  <c r="I96" i="12"/>
  <c r="I86" i="12"/>
  <c r="I78" i="12"/>
  <c r="I497" i="12"/>
  <c r="I251"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50" i="12"/>
  <c r="AV252" i="12"/>
  <c r="AS252" i="12"/>
  <c r="AV243" i="12"/>
  <c r="AS243" i="12"/>
  <c r="AS242" i="12"/>
  <c r="AV242" i="12"/>
  <c r="AV255" i="12"/>
  <c r="AS255" i="12"/>
  <c r="AS253" i="12"/>
  <c r="AV253" i="12"/>
  <c r="M103" i="20"/>
  <c r="M94" i="20"/>
  <c r="M34" i="20"/>
  <c r="M99" i="20"/>
  <c r="M78" i="20"/>
  <c r="M98" i="20"/>
  <c r="M75" i="20" a="1"/>
  <c r="M75" i="20" s="1"/>
  <c r="M84" i="20" a="1"/>
  <c r="M84" i="20" s="1"/>
  <c r="M100" i="20"/>
  <c r="M97" i="20"/>
  <c r="M96" i="20"/>
  <c r="M95" i="20"/>
  <c r="M102" i="20"/>
  <c r="M101" i="20"/>
  <c r="M79" i="20"/>
  <c r="I39" i="20"/>
  <c r="K39" i="20"/>
  <c r="N39" i="20"/>
  <c r="O39" i="20" s="1"/>
  <c r="O17" i="20"/>
  <c r="N41" i="20"/>
  <c r="O41" i="20" s="1"/>
  <c r="M43" i="20"/>
  <c r="L39"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77" i="20" l="1" a="1"/>
  <c r="N77" i="20" s="1"/>
  <c r="O77" i="20" s="1"/>
  <c r="N76" i="20" a="1"/>
  <c r="N76" i="20" s="1"/>
  <c r="O76" i="20" s="1"/>
  <c r="AT263" i="12"/>
  <c r="AV263" i="12" s="1"/>
  <c r="AT265" i="12"/>
  <c r="AV265" i="12" s="1"/>
  <c r="AT259" i="12"/>
  <c r="AV259" i="12" s="1"/>
  <c r="AT261" i="12"/>
  <c r="AV261" i="12" s="1"/>
  <c r="AT258" i="12"/>
  <c r="AV258" i="12" s="1"/>
  <c r="AT262" i="12"/>
  <c r="AV262" i="12" s="1"/>
  <c r="AT260" i="12"/>
  <c r="AV260" i="12" s="1"/>
  <c r="AT264" i="12"/>
  <c r="AV264"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8" i="20"/>
  <c r="I103" i="20"/>
  <c r="I34" i="20"/>
  <c r="I99" i="20"/>
  <c r="I100" i="20"/>
  <c r="N80" i="20" a="1"/>
  <c r="N80" i="20" s="1"/>
  <c r="N35" i="20"/>
  <c r="O35" i="20" s="1"/>
  <c r="O27" i="20"/>
  <c r="N29" i="20"/>
  <c r="I81" i="20" l="1" a="1"/>
  <c r="I81" i="20" s="1"/>
  <c r="O80" i="20"/>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I95" i="20" l="1"/>
  <c r="I82" i="20" s="1" a="1"/>
  <c r="I82" i="20" s="1"/>
  <c r="K81" i="20" a="1"/>
  <c r="K81" i="20" s="1"/>
  <c r="K95" i="20" s="1"/>
  <c r="K82" i="20" s="1" a="1"/>
  <c r="K82" i="20" s="1"/>
  <c r="K96" i="20" s="1"/>
  <c r="K83" i="20" s="1" a="1"/>
  <c r="K83" i="20" s="1"/>
  <c r="O75" i="20"/>
  <c r="BK4" i="12"/>
  <c r="BG4" i="12"/>
  <c r="BG3" i="12" s="1"/>
  <c r="N94" i="20"/>
  <c r="L95" i="20"/>
  <c r="N81" i="20" l="1" a="1"/>
  <c r="N81" i="20" s="1"/>
  <c r="N95" i="20" s="1"/>
  <c r="N82" i="20" s="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5" i="12"/>
  <c r="O375" i="12" s="1"/>
  <c r="A374" i="12"/>
  <c r="O374" i="12" s="1"/>
  <c r="A373" i="12"/>
  <c r="O373" i="12" s="1"/>
  <c r="A372" i="12"/>
  <c r="O372" i="12" s="1"/>
  <c r="I48" i="20"/>
  <c r="K48" i="20"/>
  <c r="K43" i="20"/>
  <c r="I47" i="20"/>
  <c r="L43" i="20"/>
  <c r="O43" i="20" s="1"/>
  <c r="L31" i="20"/>
  <c r="O31" i="20" s="1"/>
  <c r="O45" i="20"/>
  <c r="O33" i="20"/>
  <c r="O95" i="20"/>
  <c r="AO372" i="12" l="1"/>
  <c r="AO375" i="12"/>
  <c r="AO373" i="12"/>
  <c r="AO374" i="12"/>
  <c r="O82" i="20"/>
  <c r="N97" i="20" l="1"/>
  <c r="N88" i="20"/>
  <c r="O96" i="20"/>
  <c r="O83" i="20" l="1"/>
  <c r="O97" i="20"/>
  <c r="O88" i="20" l="1"/>
  <c r="N91" i="20"/>
  <c r="O91" i="20" l="1"/>
  <c r="N92" i="20"/>
  <c r="N84" i="20" s="1" a="1"/>
  <c r="N84" i="20" s="1"/>
  <c r="N102" i="20" s="1"/>
  <c r="O92" i="20" l="1"/>
  <c r="N33" i="20"/>
  <c r="N31" i="20" l="1"/>
  <c r="N45" i="20"/>
  <c r="N47" i="20" l="1"/>
  <c r="N48" i="20"/>
  <c r="N43" i="20"/>
  <c r="G685" i="12" l="1"/>
  <c r="E685" i="12"/>
  <c r="G684" i="12"/>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I633"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59" i="12"/>
  <c r="G559" i="12"/>
  <c r="H553" i="12"/>
  <c r="F553" i="12"/>
  <c r="I550" i="12"/>
  <c r="G550" i="12"/>
  <c r="H548" i="12"/>
  <c r="F548" i="12"/>
  <c r="G548" i="12" s="1"/>
  <c r="H547" i="12"/>
  <c r="L547" i="12" s="1"/>
  <c r="F547" i="12"/>
  <c r="G547" i="12" s="1"/>
  <c r="I546" i="12"/>
  <c r="G546" i="12"/>
  <c r="H544" i="12"/>
  <c r="L544" i="12" s="1"/>
  <c r="F544" i="12"/>
  <c r="G544" i="12" s="1"/>
  <c r="H539" i="12"/>
  <c r="F539" i="12"/>
  <c r="G539" i="12" s="1"/>
  <c r="H538" i="12"/>
  <c r="F538" i="12"/>
  <c r="G538" i="12" s="1"/>
  <c r="H537" i="12"/>
  <c r="L537" i="12" s="1"/>
  <c r="F537" i="12"/>
  <c r="G537" i="12" s="1"/>
  <c r="H536" i="12"/>
  <c r="F536" i="12"/>
  <c r="G536" i="12" s="1"/>
  <c r="H533" i="12"/>
  <c r="F533" i="12"/>
  <c r="H532" i="12"/>
  <c r="L532" i="12" s="1"/>
  <c r="F532" i="12"/>
  <c r="G532" i="12" s="1"/>
  <c r="H531" i="12"/>
  <c r="L531" i="12" s="1"/>
  <c r="F531" i="12"/>
  <c r="G531" i="12" s="1"/>
  <c r="H530" i="12"/>
  <c r="L530" i="12" s="1"/>
  <c r="F530" i="12"/>
  <c r="G530" i="12" s="1"/>
  <c r="H528" i="12"/>
  <c r="F528" i="12"/>
  <c r="G528" i="12" s="1"/>
  <c r="H527" i="12"/>
  <c r="F527" i="12"/>
  <c r="G527" i="12" s="1"/>
  <c r="H526" i="12"/>
  <c r="L526" i="12" s="1"/>
  <c r="F526" i="12"/>
  <c r="G526" i="12" s="1"/>
  <c r="H525" i="12"/>
  <c r="F525" i="12"/>
  <c r="G525" i="12" s="1"/>
  <c r="H524" i="12"/>
  <c r="F524" i="12"/>
  <c r="G524" i="12" s="1"/>
  <c r="H523" i="12"/>
  <c r="F523" i="12"/>
  <c r="G523" i="12" s="1"/>
  <c r="H522" i="12"/>
  <c r="L522" i="12" s="1"/>
  <c r="F522" i="12"/>
  <c r="G522" i="12" s="1"/>
  <c r="H521" i="12"/>
  <c r="H520" i="12"/>
  <c r="F520" i="12"/>
  <c r="G520" i="12" s="1"/>
  <c r="H519" i="12"/>
  <c r="L519" i="12" s="1"/>
  <c r="F519" i="12"/>
  <c r="G519" i="12" s="1"/>
  <c r="H518" i="12"/>
  <c r="F518" i="12"/>
  <c r="G518" i="12" s="1"/>
  <c r="H517" i="12"/>
  <c r="L517" i="12" s="1"/>
  <c r="F517" i="12"/>
  <c r="G517" i="12" s="1"/>
  <c r="H516" i="12"/>
  <c r="L516" i="12" s="1"/>
  <c r="F516" i="12"/>
  <c r="G516" i="12" s="1"/>
  <c r="H515" i="12"/>
  <c r="F515" i="12"/>
  <c r="G515" i="12" s="1"/>
  <c r="H514" i="12"/>
  <c r="F514" i="12"/>
  <c r="G514" i="12" s="1"/>
  <c r="I513" i="12"/>
  <c r="G513" i="12"/>
  <c r="I509" i="12"/>
  <c r="G509" i="12"/>
  <c r="H508" i="12"/>
  <c r="H507" i="12"/>
  <c r="F507" i="12"/>
  <c r="G507" i="12" s="1"/>
  <c r="H506" i="12"/>
  <c r="L506" i="12" s="1"/>
  <c r="F506" i="12"/>
  <c r="G506" i="12" s="1"/>
  <c r="I505" i="12"/>
  <c r="G505" i="12"/>
  <c r="H503" i="12"/>
  <c r="F503" i="12"/>
  <c r="G503" i="12" s="1"/>
  <c r="H502" i="12"/>
  <c r="L502" i="12" s="1"/>
  <c r="F502" i="12"/>
  <c r="G502" i="12" s="1"/>
  <c r="H501" i="12"/>
  <c r="L501" i="12" s="1"/>
  <c r="F501" i="12"/>
  <c r="G501" i="12" s="1"/>
  <c r="H500" i="12"/>
  <c r="L500" i="12" s="1"/>
  <c r="F500" i="12"/>
  <c r="H499" i="12"/>
  <c r="F499" i="12"/>
  <c r="G499" i="12" s="1"/>
  <c r="H496" i="12"/>
  <c r="F496" i="12"/>
  <c r="G496" i="12" s="1"/>
  <c r="H495" i="12"/>
  <c r="L495" i="12" s="1"/>
  <c r="F495" i="12"/>
  <c r="H494" i="12"/>
  <c r="F494" i="12"/>
  <c r="H493" i="12"/>
  <c r="F493" i="12"/>
  <c r="G493" i="12" s="1"/>
  <c r="H489" i="12"/>
  <c r="L489" i="12" s="1"/>
  <c r="F489" i="12"/>
  <c r="G489" i="12" s="1"/>
  <c r="H488" i="12"/>
  <c r="L488" i="12" s="1"/>
  <c r="F488" i="12"/>
  <c r="G488" i="12" s="1"/>
  <c r="H487" i="12"/>
  <c r="L487" i="12" s="1"/>
  <c r="F487" i="12"/>
  <c r="G487" i="12" s="1"/>
  <c r="H484" i="12"/>
  <c r="F484" i="12"/>
  <c r="G484" i="12" s="1"/>
  <c r="H483" i="12"/>
  <c r="F483" i="12"/>
  <c r="G483" i="12" s="1"/>
  <c r="H482" i="12"/>
  <c r="L482" i="12" s="1"/>
  <c r="F482" i="12"/>
  <c r="G482" i="12" s="1"/>
  <c r="H481" i="12"/>
  <c r="F481" i="12"/>
  <c r="G481" i="12" s="1"/>
  <c r="H480" i="12"/>
  <c r="F480" i="12"/>
  <c r="G480" i="12" s="1"/>
  <c r="H479" i="12"/>
  <c r="L479" i="12" s="1"/>
  <c r="F479" i="12"/>
  <c r="G479" i="12" s="1"/>
  <c r="F478" i="12"/>
  <c r="F477" i="12"/>
  <c r="H474" i="12"/>
  <c r="L474" i="12" s="1"/>
  <c r="F474" i="12"/>
  <c r="G474" i="12" s="1"/>
  <c r="H472" i="12"/>
  <c r="F472" i="12"/>
  <c r="G472" i="12" s="1"/>
  <c r="H471" i="12"/>
  <c r="F471" i="12"/>
  <c r="G471" i="12" s="1"/>
  <c r="H470" i="12"/>
  <c r="L470" i="12" s="1"/>
  <c r="F470" i="12"/>
  <c r="G470" i="12" s="1"/>
  <c r="H469" i="12"/>
  <c r="F469" i="12"/>
  <c r="G469" i="12" s="1"/>
  <c r="H468" i="12"/>
  <c r="F468" i="12"/>
  <c r="G468" i="12" s="1"/>
  <c r="H467" i="12"/>
  <c r="F467" i="12"/>
  <c r="H466" i="12"/>
  <c r="L466" i="12" s="1"/>
  <c r="F466" i="12"/>
  <c r="G466" i="12" s="1"/>
  <c r="H465" i="12"/>
  <c r="L465" i="12" s="1"/>
  <c r="F465" i="12"/>
  <c r="G465" i="12" s="1"/>
  <c r="H464" i="12"/>
  <c r="F464" i="12"/>
  <c r="G464" i="12" s="1"/>
  <c r="H463" i="12"/>
  <c r="F463" i="12"/>
  <c r="H462" i="12"/>
  <c r="F462" i="12"/>
  <c r="G462" i="12" s="1"/>
  <c r="H461" i="12"/>
  <c r="F461" i="12"/>
  <c r="G461" i="12" s="1"/>
  <c r="H460" i="12"/>
  <c r="F460" i="12"/>
  <c r="G460" i="12" s="1"/>
  <c r="H459" i="12"/>
  <c r="F459" i="12"/>
  <c r="H458" i="12"/>
  <c r="L458" i="12" s="1"/>
  <c r="F458" i="12"/>
  <c r="G458" i="12" s="1"/>
  <c r="H457" i="12"/>
  <c r="L457" i="12" s="1"/>
  <c r="F457" i="12"/>
  <c r="G457" i="12" s="1"/>
  <c r="H456" i="12"/>
  <c r="F456" i="12"/>
  <c r="G456" i="12" s="1"/>
  <c r="H454" i="12"/>
  <c r="F454" i="12"/>
  <c r="G454" i="12" s="1"/>
  <c r="H453" i="12"/>
  <c r="F453" i="12"/>
  <c r="G453" i="12" s="1"/>
  <c r="H435" i="12"/>
  <c r="F435" i="12"/>
  <c r="G435" i="12" s="1"/>
  <c r="H434" i="12"/>
  <c r="F434" i="12"/>
  <c r="G434" i="12" s="1"/>
  <c r="H433" i="12"/>
  <c r="L433" i="12" s="1"/>
  <c r="F433" i="12"/>
  <c r="G433" i="12" s="1"/>
  <c r="H432" i="12"/>
  <c r="L432" i="12" s="1"/>
  <c r="F432" i="12"/>
  <c r="G432" i="12" s="1"/>
  <c r="H431" i="12"/>
  <c r="L431" i="12" s="1"/>
  <c r="F431" i="12"/>
  <c r="G431" i="12" s="1"/>
  <c r="H430" i="12"/>
  <c r="F430" i="12"/>
  <c r="H429" i="12"/>
  <c r="F429" i="12"/>
  <c r="G429" i="12" s="1"/>
  <c r="H428" i="12"/>
  <c r="F428" i="12"/>
  <c r="G428" i="12" s="1"/>
  <c r="H427" i="12"/>
  <c r="F427" i="12"/>
  <c r="G427" i="12" s="1"/>
  <c r="H426" i="12"/>
  <c r="F426" i="12"/>
  <c r="G426" i="12" s="1"/>
  <c r="H425" i="12"/>
  <c r="F425" i="12"/>
  <c r="G425" i="12" s="1"/>
  <c r="H424" i="12"/>
  <c r="L424" i="12" s="1"/>
  <c r="F424" i="12"/>
  <c r="G424" i="12" s="1"/>
  <c r="H415" i="12"/>
  <c r="L415" i="12" s="1"/>
  <c r="F415" i="12"/>
  <c r="G415" i="12" s="1"/>
  <c r="H414" i="12"/>
  <c r="F414" i="12"/>
  <c r="G414" i="12" s="1"/>
  <c r="H413" i="12"/>
  <c r="F413" i="12"/>
  <c r="G413" i="12" s="1"/>
  <c r="H412" i="12"/>
  <c r="F412" i="12"/>
  <c r="G412" i="12" s="1"/>
  <c r="H411" i="12"/>
  <c r="F411" i="12"/>
  <c r="G411" i="12" s="1"/>
  <c r="H410" i="12"/>
  <c r="F410" i="12"/>
  <c r="G410" i="12" s="1"/>
  <c r="H409" i="12"/>
  <c r="F409" i="12"/>
  <c r="G409" i="12" s="1"/>
  <c r="H408" i="12"/>
  <c r="L408" i="12" s="1"/>
  <c r="F408" i="12"/>
  <c r="G408" i="12" s="1"/>
  <c r="H407" i="12"/>
  <c r="L407" i="12" s="1"/>
  <c r="F407" i="12"/>
  <c r="G407" i="12" s="1"/>
  <c r="H405" i="12"/>
  <c r="F405" i="12"/>
  <c r="G405" i="12" s="1"/>
  <c r="H404" i="12"/>
  <c r="F404" i="12"/>
  <c r="G404" i="12" s="1"/>
  <c r="H403" i="12"/>
  <c r="F403" i="12"/>
  <c r="G403" i="12" s="1"/>
  <c r="H402" i="12"/>
  <c r="F402" i="12"/>
  <c r="G402" i="12" s="1"/>
  <c r="H400" i="12"/>
  <c r="F400" i="12"/>
  <c r="G400" i="12" s="1"/>
  <c r="H399" i="12"/>
  <c r="F399" i="12"/>
  <c r="G399" i="12" s="1"/>
  <c r="H398" i="12"/>
  <c r="L398" i="12" s="1"/>
  <c r="F398" i="12"/>
  <c r="G398" i="12" s="1"/>
  <c r="H397" i="12"/>
  <c r="L397" i="12" s="1"/>
  <c r="F397" i="12"/>
  <c r="G397" i="12" s="1"/>
  <c r="H396" i="12"/>
  <c r="F396" i="12"/>
  <c r="G396" i="12" s="1"/>
  <c r="H395" i="12"/>
  <c r="F395" i="12"/>
  <c r="G395" i="12" s="1"/>
  <c r="H394" i="12"/>
  <c r="F394" i="12"/>
  <c r="G394" i="12" s="1"/>
  <c r="H393" i="12"/>
  <c r="F393" i="12"/>
  <c r="G393" i="12" s="1"/>
  <c r="H390" i="12"/>
  <c r="F390" i="12"/>
  <c r="G390" i="12" s="1"/>
  <c r="H388" i="12"/>
  <c r="F388" i="12"/>
  <c r="G388" i="12" s="1"/>
  <c r="H387" i="12"/>
  <c r="L387" i="12" s="1"/>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L379" i="12" s="1"/>
  <c r="F379" i="12"/>
  <c r="G379" i="12" s="1"/>
  <c r="H378" i="12"/>
  <c r="F378" i="12"/>
  <c r="G378" i="12" s="1"/>
  <c r="H377" i="12"/>
  <c r="F377" i="12"/>
  <c r="G377" i="12" s="1"/>
  <c r="H376" i="12"/>
  <c r="F376" i="12"/>
  <c r="H375" i="12"/>
  <c r="F375" i="12"/>
  <c r="G375" i="12" s="1"/>
  <c r="H374" i="12"/>
  <c r="F374" i="12"/>
  <c r="G374" i="12" s="1"/>
  <c r="H373" i="12"/>
  <c r="F373" i="12"/>
  <c r="G373" i="12" s="1"/>
  <c r="H372" i="12"/>
  <c r="F372" i="12"/>
  <c r="G372" i="12" s="1"/>
  <c r="H371" i="12"/>
  <c r="L371" i="12" s="1"/>
  <c r="F371" i="12"/>
  <c r="G371" i="12" s="1"/>
  <c r="H370" i="12"/>
  <c r="F370" i="12"/>
  <c r="G370" i="12" s="1"/>
  <c r="H369" i="12"/>
  <c r="F369" i="12"/>
  <c r="G369" i="12" s="1"/>
  <c r="H368" i="12"/>
  <c r="F368" i="12"/>
  <c r="G368" i="12" s="1"/>
  <c r="H367" i="12"/>
  <c r="F367" i="12"/>
  <c r="G367" i="12" s="1"/>
  <c r="H366" i="12"/>
  <c r="F366" i="12"/>
  <c r="G366" i="12" s="1"/>
  <c r="H364" i="12"/>
  <c r="F364" i="12"/>
  <c r="G364" i="12" s="1"/>
  <c r="H363" i="12"/>
  <c r="F363" i="12"/>
  <c r="G363" i="12" s="1"/>
  <c r="H362" i="12"/>
  <c r="F362" i="12"/>
  <c r="G362" i="12" s="1"/>
  <c r="H361" i="12"/>
  <c r="F361" i="12"/>
  <c r="G361" i="12" s="1"/>
  <c r="H360" i="12"/>
  <c r="F360" i="12"/>
  <c r="G360" i="12" s="1"/>
  <c r="H359" i="12"/>
  <c r="F359" i="12"/>
  <c r="G359" i="12" s="1"/>
  <c r="H358" i="12"/>
  <c r="F358" i="12"/>
  <c r="G358" i="12" s="1"/>
  <c r="H357" i="12"/>
  <c r="F357" i="12"/>
  <c r="H356" i="12"/>
  <c r="F356" i="12"/>
  <c r="G356" i="12" s="1"/>
  <c r="H355" i="12"/>
  <c r="F355" i="12"/>
  <c r="G355" i="12" s="1"/>
  <c r="H354" i="12"/>
  <c r="F354" i="12"/>
  <c r="G354" i="12" s="1"/>
  <c r="H353" i="12"/>
  <c r="F353" i="12"/>
  <c r="G353" i="12" s="1"/>
  <c r="H352" i="12"/>
  <c r="F352" i="12"/>
  <c r="H351" i="12"/>
  <c r="F351" i="12"/>
  <c r="G351" i="12" s="1"/>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H337" i="12"/>
  <c r="F337" i="12"/>
  <c r="G337" i="12" s="1"/>
  <c r="H336" i="12"/>
  <c r="F336" i="12"/>
  <c r="G336" i="12" s="1"/>
  <c r="H335" i="12"/>
  <c r="F335" i="12"/>
  <c r="G335" i="12" s="1"/>
  <c r="H334" i="12"/>
  <c r="F334" i="12"/>
  <c r="G334" i="12" s="1"/>
  <c r="H325" i="12"/>
  <c r="F325" i="12"/>
  <c r="G325" i="12" s="1"/>
  <c r="H324" i="12"/>
  <c r="F324" i="12"/>
  <c r="G324" i="12" s="1"/>
  <c r="H322" i="12"/>
  <c r="F322" i="12"/>
  <c r="G322" i="12" s="1"/>
  <c r="H321" i="12"/>
  <c r="F321" i="12"/>
  <c r="H319" i="12"/>
  <c r="F319" i="12"/>
  <c r="G319" i="12" s="1"/>
  <c r="H317" i="12"/>
  <c r="F317" i="12"/>
  <c r="G317" i="12" s="1"/>
  <c r="H316" i="12"/>
  <c r="F316" i="12"/>
  <c r="G316" i="12" s="1"/>
  <c r="H315" i="12"/>
  <c r="F315" i="12"/>
  <c r="G315" i="12" s="1"/>
  <c r="H314" i="12"/>
  <c r="F314" i="12"/>
  <c r="H313" i="12"/>
  <c r="F313" i="12"/>
  <c r="G313" i="12" s="1"/>
  <c r="H312" i="12"/>
  <c r="F312" i="12"/>
  <c r="G312" i="12" s="1"/>
  <c r="H311" i="12"/>
  <c r="F311" i="12"/>
  <c r="G311" i="12" s="1"/>
  <c r="H310" i="12"/>
  <c r="F310" i="12"/>
  <c r="G310" i="12" s="1"/>
  <c r="H299" i="12"/>
  <c r="F299" i="12"/>
  <c r="H298" i="12"/>
  <c r="F298" i="12"/>
  <c r="G298" i="12" s="1"/>
  <c r="H297" i="12"/>
  <c r="F297" i="12"/>
  <c r="H296" i="12"/>
  <c r="F296" i="12"/>
  <c r="G296" i="12" s="1"/>
  <c r="H295" i="12"/>
  <c r="F295" i="12"/>
  <c r="G295" i="12" s="1"/>
  <c r="H294" i="12"/>
  <c r="F294" i="12"/>
  <c r="H293" i="12"/>
  <c r="F293" i="12"/>
  <c r="G293" i="12" s="1"/>
  <c r="H292" i="12"/>
  <c r="F292" i="12"/>
  <c r="G292" i="12" s="1"/>
  <c r="H290" i="12"/>
  <c r="F290" i="12"/>
  <c r="G290" i="12" s="1"/>
  <c r="H289" i="12"/>
  <c r="F289" i="12"/>
  <c r="G289" i="12" s="1"/>
  <c r="H288" i="12"/>
  <c r="F288" i="12"/>
  <c r="G288" i="12" s="1"/>
  <c r="H287" i="12"/>
  <c r="F287" i="12"/>
  <c r="G287" i="12" s="1"/>
  <c r="H286" i="12"/>
  <c r="F286" i="12"/>
  <c r="H285" i="12"/>
  <c r="F285" i="12"/>
  <c r="H284" i="12"/>
  <c r="F284" i="12"/>
  <c r="G284" i="12" s="1"/>
  <c r="H283" i="12"/>
  <c r="F283" i="12"/>
  <c r="G283" i="12" s="1"/>
  <c r="H282" i="12"/>
  <c r="F282" i="12"/>
  <c r="G282" i="12" s="1"/>
  <c r="H281" i="12"/>
  <c r="F281" i="12"/>
  <c r="H280" i="12"/>
  <c r="F280" i="12"/>
  <c r="H279" i="12"/>
  <c r="F279" i="12"/>
  <c r="G279" i="12" s="1"/>
  <c r="H278" i="12"/>
  <c r="F278" i="12"/>
  <c r="H277" i="12"/>
  <c r="F277" i="12"/>
  <c r="G277" i="12" s="1"/>
  <c r="H276" i="12"/>
  <c r="F276" i="12"/>
  <c r="G276" i="12" s="1"/>
  <c r="H275" i="12"/>
  <c r="F275" i="12"/>
  <c r="H274" i="12"/>
  <c r="F274" i="12"/>
  <c r="G274" i="12" s="1"/>
  <c r="H273" i="12"/>
  <c r="F273" i="12"/>
  <c r="G273" i="12" s="1"/>
  <c r="H272" i="12"/>
  <c r="F272" i="12"/>
  <c r="G272" i="12" s="1"/>
  <c r="H271" i="12"/>
  <c r="F271" i="12"/>
  <c r="G271" i="12" s="1"/>
  <c r="H270" i="12"/>
  <c r="F270" i="12"/>
  <c r="G270" i="12" s="1"/>
  <c r="H269" i="12"/>
  <c r="F269" i="12"/>
  <c r="G269" i="12" s="1"/>
  <c r="H268" i="12"/>
  <c r="F268" i="12"/>
  <c r="H267" i="12"/>
  <c r="F267" i="12"/>
  <c r="G267" i="12" s="1"/>
  <c r="H266" i="12"/>
  <c r="F266" i="12"/>
  <c r="G266" i="12" s="1"/>
  <c r="H265" i="12"/>
  <c r="F265" i="12"/>
  <c r="G265" i="12" s="1"/>
  <c r="H264" i="12"/>
  <c r="F264" i="12"/>
  <c r="G264" i="12" s="1"/>
  <c r="H263" i="12"/>
  <c r="F263" i="12"/>
  <c r="G263" i="12" s="1"/>
  <c r="H262" i="12"/>
  <c r="F262" i="12"/>
  <c r="G262" i="12" s="1"/>
  <c r="H261" i="12"/>
  <c r="F261" i="12"/>
  <c r="G261" i="12" s="1"/>
  <c r="H260" i="12"/>
  <c r="F260" i="12"/>
  <c r="H259" i="12"/>
  <c r="F259" i="12"/>
  <c r="G259" i="12" s="1"/>
  <c r="H258" i="12"/>
  <c r="F258" i="12"/>
  <c r="H257" i="12"/>
  <c r="F257" i="12"/>
  <c r="G257" i="12" s="1"/>
  <c r="H253" i="12"/>
  <c r="F253" i="12"/>
  <c r="G253"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317" i="12" l="1"/>
  <c r="L336" i="12"/>
  <c r="L344" i="12"/>
  <c r="L352" i="12"/>
  <c r="L360" i="12"/>
  <c r="L369" i="12"/>
  <c r="L377" i="12"/>
  <c r="L385" i="12"/>
  <c r="L396" i="12"/>
  <c r="L405" i="12"/>
  <c r="L414" i="12"/>
  <c r="L430" i="12"/>
  <c r="L456" i="12"/>
  <c r="L464" i="12"/>
  <c r="L472" i="12"/>
  <c r="L484" i="12"/>
  <c r="L499" i="12"/>
  <c r="L528" i="12"/>
  <c r="L539" i="12"/>
  <c r="L520" i="12"/>
  <c r="L310" i="12"/>
  <c r="L319" i="12"/>
  <c r="L337" i="12"/>
  <c r="L345" i="12"/>
  <c r="L353" i="12"/>
  <c r="L361" i="12"/>
  <c r="L370" i="12"/>
  <c r="L378" i="12"/>
  <c r="L386" i="12"/>
  <c r="G477" i="12"/>
  <c r="L477" i="12"/>
  <c r="L311" i="12"/>
  <c r="L321" i="12"/>
  <c r="L338" i="12"/>
  <c r="L346" i="12"/>
  <c r="L354" i="12"/>
  <c r="L362" i="12"/>
  <c r="G478" i="12"/>
  <c r="L478" i="12"/>
  <c r="L312" i="12"/>
  <c r="L322" i="12"/>
  <c r="L339" i="12"/>
  <c r="L347" i="12"/>
  <c r="L355" i="12"/>
  <c r="L363" i="12"/>
  <c r="L372" i="12"/>
  <c r="L380" i="12"/>
  <c r="L388" i="12"/>
  <c r="L399" i="12"/>
  <c r="L409" i="12"/>
  <c r="L425" i="12"/>
  <c r="L459" i="12"/>
  <c r="L467" i="12"/>
  <c r="L523" i="12"/>
  <c r="L515" i="12"/>
  <c r="L313" i="12"/>
  <c r="L324" i="12"/>
  <c r="L340" i="12"/>
  <c r="L348" i="12"/>
  <c r="L356" i="12"/>
  <c r="L364" i="12"/>
  <c r="L373" i="12"/>
  <c r="L381" i="12"/>
  <c r="L390" i="12"/>
  <c r="L400" i="12"/>
  <c r="L410" i="12"/>
  <c r="L426" i="12"/>
  <c r="L434" i="12"/>
  <c r="L460" i="12"/>
  <c r="L468" i="12"/>
  <c r="L480" i="12"/>
  <c r="L493" i="12"/>
  <c r="L503" i="12"/>
  <c r="L524" i="12"/>
  <c r="L533" i="12"/>
  <c r="L314" i="12"/>
  <c r="L325" i="12"/>
  <c r="L341" i="12"/>
  <c r="L349" i="12"/>
  <c r="L357" i="12"/>
  <c r="L366" i="12"/>
  <c r="L374" i="12"/>
  <c r="L382" i="12"/>
  <c r="L393" i="12"/>
  <c r="L402" i="12"/>
  <c r="L411" i="12"/>
  <c r="L427" i="12"/>
  <c r="L435" i="12"/>
  <c r="L461" i="12"/>
  <c r="L469" i="12"/>
  <c r="L481" i="12"/>
  <c r="L494" i="12"/>
  <c r="L525" i="12"/>
  <c r="L536" i="12"/>
  <c r="L315" i="12"/>
  <c r="L334" i="12"/>
  <c r="L342" i="12"/>
  <c r="L350" i="12"/>
  <c r="L358" i="12"/>
  <c r="L367" i="12"/>
  <c r="L375" i="12"/>
  <c r="L383" i="12"/>
  <c r="L394" i="12"/>
  <c r="L403" i="12"/>
  <c r="L412" i="12"/>
  <c r="L428" i="12"/>
  <c r="L453" i="12"/>
  <c r="L462" i="12"/>
  <c r="L518" i="12"/>
  <c r="L316" i="12"/>
  <c r="L335" i="12"/>
  <c r="L343" i="12"/>
  <c r="L351" i="12"/>
  <c r="L359" i="12"/>
  <c r="L368" i="12"/>
  <c r="L376" i="12"/>
  <c r="L384" i="12"/>
  <c r="L395" i="12"/>
  <c r="L404" i="12"/>
  <c r="L413" i="12"/>
  <c r="L429" i="12"/>
  <c r="L454" i="12"/>
  <c r="L463" i="12"/>
  <c r="L471" i="12"/>
  <c r="L483" i="12"/>
  <c r="L527" i="12"/>
  <c r="L538" i="12"/>
  <c r="L553" i="12"/>
  <c r="L514" i="12"/>
  <c r="L548" i="12"/>
  <c r="L496" i="12"/>
  <c r="L507" i="12"/>
  <c r="F401" i="12"/>
  <c r="D401" i="12" s="1"/>
  <c r="H401" i="12"/>
  <c r="L270" i="12"/>
  <c r="L119" i="12"/>
  <c r="L71" i="12"/>
  <c r="L162" i="12"/>
  <c r="L178" i="12"/>
  <c r="L193" i="12"/>
  <c r="L210" i="12"/>
  <c r="L232" i="12"/>
  <c r="L259" i="12"/>
  <c r="L128" i="12"/>
  <c r="L175" i="12"/>
  <c r="L190" i="12"/>
  <c r="L206" i="12"/>
  <c r="L229" i="12"/>
  <c r="L255" i="12"/>
  <c r="L279" i="12"/>
  <c r="L117" i="12"/>
  <c r="L133" i="12"/>
  <c r="L177" i="12"/>
  <c r="L192" i="12"/>
  <c r="L209" i="12"/>
  <c r="L231" i="12"/>
  <c r="L258" i="12"/>
  <c r="L297" i="12"/>
  <c r="L269" i="12"/>
  <c r="L40" i="12"/>
  <c r="L151" i="12"/>
  <c r="L59" i="12"/>
  <c r="L294" i="12"/>
  <c r="L66" i="12"/>
  <c r="L295" i="12"/>
  <c r="L45" i="12"/>
  <c r="L167" i="12"/>
  <c r="L183" i="12"/>
  <c r="L197" i="12"/>
  <c r="L221" i="12"/>
  <c r="L237" i="12"/>
  <c r="L263" i="12"/>
  <c r="L273" i="12"/>
  <c r="L285" i="12"/>
  <c r="L154" i="12"/>
  <c r="L280" i="12"/>
  <c r="L296" i="12"/>
  <c r="L42" i="12"/>
  <c r="L63" i="12"/>
  <c r="L112" i="12"/>
  <c r="L146" i="12"/>
  <c r="L125" i="12"/>
  <c r="L172" i="12"/>
  <c r="L187" i="12"/>
  <c r="L202" i="12"/>
  <c r="L226" i="12"/>
  <c r="L242" i="12"/>
  <c r="L266" i="12"/>
  <c r="L277" i="12"/>
  <c r="L290" i="12"/>
  <c r="L134" i="12"/>
  <c r="L157" i="12"/>
  <c r="L164" i="12"/>
  <c r="L180" i="12"/>
  <c r="L195" i="12"/>
  <c r="L212" i="12"/>
  <c r="L234" i="12"/>
  <c r="L282" i="12"/>
  <c r="L299" i="12"/>
  <c r="L160" i="12"/>
  <c r="L55" i="12"/>
  <c r="L107" i="12"/>
  <c r="L141" i="12"/>
  <c r="L188" i="12"/>
  <c r="L204" i="12"/>
  <c r="L227" i="12"/>
  <c r="L243" i="12"/>
  <c r="L267" i="12"/>
  <c r="L278" i="12"/>
  <c r="L292" i="12"/>
  <c r="L120" i="12"/>
  <c r="L51" i="12"/>
  <c r="L72" i="12"/>
  <c r="L108" i="12"/>
  <c r="L142" i="12"/>
  <c r="L161" i="12"/>
  <c r="L168" i="12"/>
  <c r="L184" i="12"/>
  <c r="L198" i="12"/>
  <c r="L222" i="12"/>
  <c r="L238" i="12"/>
  <c r="L264" i="12"/>
  <c r="L286" i="12"/>
  <c r="L155" i="12"/>
  <c r="L38" i="12"/>
  <c r="L147" i="12"/>
  <c r="L65" i="12"/>
  <c r="L179" i="12"/>
  <c r="L194" i="12"/>
  <c r="L211" i="12"/>
  <c r="L233" i="12"/>
  <c r="L260" i="12"/>
  <c r="L271" i="12"/>
  <c r="L281" i="12"/>
  <c r="L298" i="12"/>
  <c r="L121" i="12"/>
  <c r="L163" i="12"/>
  <c r="L39" i="12"/>
  <c r="L58" i="12"/>
  <c r="L116" i="12"/>
  <c r="L148" i="12"/>
  <c r="L127" i="12"/>
  <c r="L174" i="12"/>
  <c r="L189" i="12"/>
  <c r="L205" i="12"/>
  <c r="L228" i="12"/>
  <c r="L253" i="12"/>
  <c r="L268" i="12"/>
  <c r="L293" i="12"/>
  <c r="L44" i="12"/>
  <c r="L156" i="12"/>
  <c r="L52" i="12"/>
  <c r="L109" i="12"/>
  <c r="L143" i="12"/>
  <c r="L122" i="12"/>
  <c r="L169" i="12"/>
  <c r="L185" i="12"/>
  <c r="L199" i="12"/>
  <c r="L223" i="12"/>
  <c r="L239" i="12"/>
  <c r="L274" i="12"/>
  <c r="L287" i="12"/>
  <c r="L64" i="12"/>
  <c r="L126" i="12"/>
  <c r="L57" i="12"/>
  <c r="L47" i="12"/>
  <c r="L53" i="12"/>
  <c r="L110" i="12"/>
  <c r="L144" i="12"/>
  <c r="L123" i="12"/>
  <c r="L170" i="12"/>
  <c r="L200" i="12"/>
  <c r="L224" i="12"/>
  <c r="L240" i="12"/>
  <c r="L265" i="12"/>
  <c r="L275" i="12"/>
  <c r="L288" i="12"/>
  <c r="L69" i="12"/>
  <c r="L102" i="12"/>
  <c r="L136" i="12"/>
  <c r="L158" i="12"/>
  <c r="L165" i="12"/>
  <c r="L181" i="12"/>
  <c r="L213" i="12"/>
  <c r="L235" i="12"/>
  <c r="L261" i="12"/>
  <c r="L272" i="12"/>
  <c r="L283" i="12"/>
  <c r="L43" i="12"/>
  <c r="L60" i="12"/>
  <c r="L118" i="12"/>
  <c r="L153" i="12"/>
  <c r="L129" i="12"/>
  <c r="L176" i="12"/>
  <c r="L191" i="12"/>
  <c r="L208" i="12"/>
  <c r="L230" i="12"/>
  <c r="L257" i="12"/>
  <c r="L173" i="12"/>
  <c r="L49" i="12"/>
  <c r="L48" i="12"/>
  <c r="L111" i="12"/>
  <c r="L145" i="12"/>
  <c r="L124" i="12"/>
  <c r="L171" i="12"/>
  <c r="L186" i="12"/>
  <c r="L201" i="12"/>
  <c r="L225" i="12"/>
  <c r="L241" i="12"/>
  <c r="L276" i="12"/>
  <c r="L289" i="12"/>
  <c r="L113" i="12"/>
  <c r="L41" i="12"/>
  <c r="L50" i="12"/>
  <c r="L70" i="12"/>
  <c r="L106" i="12"/>
  <c r="L139" i="12"/>
  <c r="L159" i="12"/>
  <c r="L166" i="12"/>
  <c r="L182" i="12"/>
  <c r="L196" i="12"/>
  <c r="L214" i="12"/>
  <c r="L236" i="12"/>
  <c r="L262" i="12"/>
  <c r="L284" i="12"/>
  <c r="I474" i="12"/>
  <c r="G299" i="12"/>
  <c r="D553" i="12"/>
  <c r="F521" i="12"/>
  <c r="G521" i="12" s="1"/>
  <c r="G242" i="12"/>
  <c r="F508" i="12"/>
  <c r="G508" i="12" s="1"/>
  <c r="I493" i="12"/>
  <c r="I42" i="12"/>
  <c r="I157" i="12"/>
  <c r="I162" i="12"/>
  <c r="I178" i="12"/>
  <c r="I192" i="12"/>
  <c r="I230" i="12"/>
  <c r="I234" i="12"/>
  <c r="I260" i="12"/>
  <c r="I271" i="12"/>
  <c r="I281" i="12"/>
  <c r="I296" i="12"/>
  <c r="I319" i="12"/>
  <c r="I340" i="12"/>
  <c r="I356" i="12"/>
  <c r="I384" i="12"/>
  <c r="I403" i="12"/>
  <c r="I408" i="12"/>
  <c r="I464" i="12"/>
  <c r="I483" i="12"/>
  <c r="I522" i="12"/>
  <c r="I538" i="12"/>
  <c r="I361" i="12"/>
  <c r="I527" i="12"/>
  <c r="I33" i="12"/>
  <c r="I127" i="12"/>
  <c r="I173" i="12"/>
  <c r="I187" i="12"/>
  <c r="I201" i="12"/>
  <c r="I211" i="12"/>
  <c r="I238" i="12"/>
  <c r="I241" i="12"/>
  <c r="I268" i="12"/>
  <c r="I351" i="12"/>
  <c r="I379" i="12"/>
  <c r="I398" i="12"/>
  <c r="I412" i="12"/>
  <c r="I454" i="12"/>
  <c r="I459" i="12"/>
  <c r="I499" i="12"/>
  <c r="I517" i="12"/>
  <c r="I532" i="12"/>
  <c r="I182" i="12"/>
  <c r="I325" i="12"/>
  <c r="I58" i="12"/>
  <c r="I144" i="12"/>
  <c r="I206" i="12"/>
  <c r="I274" i="12"/>
  <c r="I287" i="12"/>
  <c r="I299" i="12"/>
  <c r="I346" i="12"/>
  <c r="I362" i="12"/>
  <c r="I374" i="12"/>
  <c r="I393" i="12"/>
  <c r="I409" i="12"/>
  <c r="I470" i="12"/>
  <c r="I508" i="12"/>
  <c r="I122" i="12"/>
  <c r="I183" i="12"/>
  <c r="I43" i="12"/>
  <c r="I65" i="12"/>
  <c r="I136" i="12"/>
  <c r="I158" i="12"/>
  <c r="I163" i="12"/>
  <c r="I179" i="12"/>
  <c r="I193" i="12"/>
  <c r="I214" i="12"/>
  <c r="I282" i="12"/>
  <c r="I297" i="12"/>
  <c r="I341" i="12"/>
  <c r="I357" i="12"/>
  <c r="I369" i="12"/>
  <c r="I385" i="12"/>
  <c r="I404" i="12"/>
  <c r="I424" i="12"/>
  <c r="I432" i="12"/>
  <c r="I465" i="12"/>
  <c r="I484" i="12"/>
  <c r="I523" i="12"/>
  <c r="I539" i="12"/>
  <c r="I547" i="12"/>
  <c r="I47" i="12"/>
  <c r="I161" i="12"/>
  <c r="I50" i="12"/>
  <c r="I69" i="12"/>
  <c r="I168" i="12"/>
  <c r="I197" i="12"/>
  <c r="I224" i="12"/>
  <c r="I34" i="12"/>
  <c r="I38" i="12"/>
  <c r="I45" i="12"/>
  <c r="I120" i="12"/>
  <c r="I153" i="12"/>
  <c r="I128" i="12"/>
  <c r="I174" i="12"/>
  <c r="I188" i="12"/>
  <c r="I202" i="12"/>
  <c r="I231" i="12"/>
  <c r="I239" i="12"/>
  <c r="I269" i="12"/>
  <c r="I336" i="12"/>
  <c r="I352" i="12"/>
  <c r="I380" i="12"/>
  <c r="I399" i="12"/>
  <c r="I413" i="12"/>
  <c r="I460" i="12"/>
  <c r="I479" i="12"/>
  <c r="I500" i="12"/>
  <c r="I518" i="12"/>
  <c r="I533" i="12"/>
  <c r="I57" i="12"/>
  <c r="I143" i="12"/>
  <c r="I145" i="12"/>
  <c r="I169" i="12"/>
  <c r="I225" i="12"/>
  <c r="I275" i="12"/>
  <c r="I44" i="12"/>
  <c r="I66" i="12"/>
  <c r="I159" i="12"/>
  <c r="I164" i="12"/>
  <c r="I180" i="12"/>
  <c r="I194" i="12"/>
  <c r="I235" i="12"/>
  <c r="I272" i="12"/>
  <c r="I283" i="12"/>
  <c r="I322" i="12"/>
  <c r="I342" i="12"/>
  <c r="I358" i="12"/>
  <c r="I370" i="12"/>
  <c r="I386" i="12"/>
  <c r="I425" i="12"/>
  <c r="I433" i="12"/>
  <c r="I466" i="12"/>
  <c r="I487" i="12"/>
  <c r="I506" i="12"/>
  <c r="I524" i="12"/>
  <c r="I390" i="12"/>
  <c r="I48" i="12"/>
  <c r="I184" i="12"/>
  <c r="I434" i="12"/>
  <c r="I35" i="12"/>
  <c r="I39" i="12"/>
  <c r="I129" i="12"/>
  <c r="I175" i="12"/>
  <c r="I189" i="12"/>
  <c r="I228" i="12"/>
  <c r="I315" i="12"/>
  <c r="I337" i="12"/>
  <c r="I353" i="12"/>
  <c r="I364" i="12"/>
  <c r="I381" i="12"/>
  <c r="I400" i="12"/>
  <c r="I414" i="12"/>
  <c r="I461" i="12"/>
  <c r="I480" i="12"/>
  <c r="I501" i="12"/>
  <c r="I519" i="12"/>
  <c r="I544" i="12"/>
  <c r="I288" i="12"/>
  <c r="I51" i="12"/>
  <c r="I60" i="12"/>
  <c r="I71" i="12"/>
  <c r="I117" i="12"/>
  <c r="I146" i="12"/>
  <c r="I124" i="12"/>
  <c r="I170" i="12"/>
  <c r="I185" i="12"/>
  <c r="I199" i="12"/>
  <c r="I209" i="12"/>
  <c r="I226" i="12"/>
  <c r="I276" i="12"/>
  <c r="I289" i="12"/>
  <c r="I348" i="12"/>
  <c r="I395" i="12"/>
  <c r="I429" i="12"/>
  <c r="I456" i="12"/>
  <c r="I472" i="12"/>
  <c r="I514" i="12"/>
  <c r="I223" i="12"/>
  <c r="I55" i="12"/>
  <c r="I123" i="12"/>
  <c r="I428" i="12"/>
  <c r="I471" i="12"/>
  <c r="I160" i="12"/>
  <c r="I165" i="12"/>
  <c r="I195" i="12"/>
  <c r="I221" i="12"/>
  <c r="I232" i="12"/>
  <c r="I262" i="12"/>
  <c r="I284" i="12"/>
  <c r="I343" i="12"/>
  <c r="I359" i="12"/>
  <c r="I371" i="12"/>
  <c r="I387" i="12"/>
  <c r="I467" i="12"/>
  <c r="I488" i="12"/>
  <c r="I507" i="12"/>
  <c r="I525" i="12"/>
  <c r="I548" i="12"/>
  <c r="I298" i="12"/>
  <c r="I345" i="12"/>
  <c r="I292" i="12"/>
  <c r="I40" i="12"/>
  <c r="I106" i="12"/>
  <c r="I121" i="12"/>
  <c r="I155" i="12"/>
  <c r="I176" i="12"/>
  <c r="I190" i="12"/>
  <c r="I212" i="12"/>
  <c r="I229" i="12"/>
  <c r="I243" i="12"/>
  <c r="I258" i="12"/>
  <c r="I270" i="12"/>
  <c r="I280" i="12"/>
  <c r="I294" i="12"/>
  <c r="I316" i="12"/>
  <c r="I338" i="12"/>
  <c r="I354" i="12"/>
  <c r="I366" i="12"/>
  <c r="I382" i="12"/>
  <c r="I415" i="12"/>
  <c r="I462" i="12"/>
  <c r="I481" i="12"/>
  <c r="I502" i="12"/>
  <c r="I520" i="12"/>
  <c r="I536" i="12"/>
  <c r="I373" i="12"/>
  <c r="I469" i="12"/>
  <c r="E553" i="12"/>
  <c r="I375" i="12"/>
  <c r="I31" i="12"/>
  <c r="I52" i="12"/>
  <c r="I72" i="12"/>
  <c r="I74" i="12"/>
  <c r="I118" i="12"/>
  <c r="I147" i="12"/>
  <c r="I125" i="12"/>
  <c r="I171" i="12"/>
  <c r="I210" i="12"/>
  <c r="I227" i="12"/>
  <c r="I277" i="12"/>
  <c r="I290" i="12"/>
  <c r="I311" i="12"/>
  <c r="I334" i="12"/>
  <c r="I349" i="12"/>
  <c r="I377" i="12"/>
  <c r="I396" i="12"/>
  <c r="I411" i="12"/>
  <c r="I430" i="12"/>
  <c r="I435" i="12"/>
  <c r="I457" i="12"/>
  <c r="I495" i="12"/>
  <c r="I515" i="12"/>
  <c r="I167" i="12"/>
  <c r="I240" i="12"/>
  <c r="I264" i="12"/>
  <c r="I49" i="12"/>
  <c r="I166" i="12"/>
  <c r="I181" i="12"/>
  <c r="I222" i="12"/>
  <c r="I233" i="12"/>
  <c r="I236" i="12"/>
  <c r="I263" i="12"/>
  <c r="I273" i="12"/>
  <c r="I285" i="12"/>
  <c r="I344" i="12"/>
  <c r="I360" i="12"/>
  <c r="I388" i="12"/>
  <c r="I426" i="12"/>
  <c r="I468" i="12"/>
  <c r="I489" i="12"/>
  <c r="I526" i="12"/>
  <c r="I196" i="12"/>
  <c r="I205" i="12"/>
  <c r="I59" i="12"/>
  <c r="I208" i="12"/>
  <c r="I347" i="12"/>
  <c r="I36" i="12"/>
  <c r="I41" i="12"/>
  <c r="I64" i="12"/>
  <c r="I73" i="12"/>
  <c r="I134" i="12"/>
  <c r="I156" i="12"/>
  <c r="I133" i="12"/>
  <c r="I177" i="12"/>
  <c r="I191" i="12"/>
  <c r="I213" i="12"/>
  <c r="I295" i="12"/>
  <c r="I317" i="12"/>
  <c r="I339" i="12"/>
  <c r="I355" i="12"/>
  <c r="I367" i="12"/>
  <c r="I383" i="12"/>
  <c r="I407" i="12"/>
  <c r="I463" i="12"/>
  <c r="I482" i="12"/>
  <c r="I503" i="12"/>
  <c r="I521" i="12"/>
  <c r="I537" i="12"/>
  <c r="I70" i="12"/>
  <c r="I198" i="12"/>
  <c r="I363" i="12"/>
  <c r="I32" i="12"/>
  <c r="I53" i="12"/>
  <c r="I102" i="12"/>
  <c r="I119" i="12"/>
  <c r="I148" i="12"/>
  <c r="I126" i="12"/>
  <c r="I172" i="12"/>
  <c r="I186" i="12"/>
  <c r="I200" i="12"/>
  <c r="I204" i="12"/>
  <c r="I253" i="12"/>
  <c r="I267" i="12"/>
  <c r="I278" i="12"/>
  <c r="I312" i="12"/>
  <c r="I335" i="12"/>
  <c r="I350" i="12"/>
  <c r="I378" i="12"/>
  <c r="I431" i="12"/>
  <c r="I453" i="12"/>
  <c r="I496" i="12"/>
  <c r="I516" i="12"/>
  <c r="I531" i="12"/>
  <c r="G102" i="12"/>
  <c r="G260" i="12"/>
  <c r="G280" i="12"/>
  <c r="I266" i="12"/>
  <c r="G430" i="12"/>
  <c r="G357" i="12"/>
  <c r="I313" i="12"/>
  <c r="I261" i="12"/>
  <c r="I310" i="12"/>
  <c r="G40" i="12"/>
  <c r="G57" i="12"/>
  <c r="G268" i="12"/>
  <c r="G459" i="12"/>
  <c r="G225" i="12"/>
  <c r="G297" i="12"/>
  <c r="I397" i="12"/>
  <c r="G285" i="12"/>
  <c r="I368" i="12"/>
  <c r="I427" i="12"/>
  <c r="I257" i="12"/>
  <c r="I259" i="12"/>
  <c r="I279" i="12"/>
  <c r="G294" i="12"/>
  <c r="G240" i="12"/>
  <c r="I530" i="12"/>
  <c r="G553" i="12"/>
  <c r="E558" i="12"/>
  <c r="G258" i="12"/>
  <c r="I242" i="12"/>
  <c r="I37" i="12"/>
  <c r="G31" i="12"/>
  <c r="G187" i="12"/>
  <c r="G136" i="12"/>
  <c r="G49" i="12"/>
  <c r="G352" i="12"/>
  <c r="G224" i="12"/>
  <c r="I265" i="12"/>
  <c r="G281" i="12"/>
  <c r="G500" i="12"/>
  <c r="G238" i="12"/>
  <c r="G278" i="12"/>
  <c r="I324" i="12"/>
  <c r="I293" i="12"/>
  <c r="G275" i="12"/>
  <c r="I410" i="12"/>
  <c r="I372" i="12"/>
  <c r="I458" i="12"/>
  <c r="G467" i="12"/>
  <c r="G338" i="12"/>
  <c r="G533" i="12"/>
  <c r="G495" i="12"/>
  <c r="I553" i="12"/>
  <c r="L508" i="12" l="1"/>
  <c r="J553" i="12"/>
  <c r="E401" i="12"/>
  <c r="J401" i="12" s="1"/>
  <c r="L401" i="12"/>
  <c r="L521" i="12"/>
  <c r="F73" i="12"/>
  <c r="L73" i="12" s="1"/>
  <c r="E542" i="12"/>
  <c r="G73" i="12" l="1"/>
  <c r="K59" i="2"/>
  <c r="K58" i="2"/>
  <c r="K57" i="2"/>
  <c r="D542" i="12" l="1"/>
  <c r="J542" i="12" s="1"/>
  <c r="P29" i="12" l="1"/>
  <c r="J11" i="20" l="1"/>
  <c r="J13" i="20" s="1"/>
  <c r="J41" i="20" s="1"/>
  <c r="D11" i="20"/>
  <c r="D13" i="20" s="1"/>
  <c r="D15" i="20" s="1"/>
  <c r="D17" i="20" s="1"/>
  <c r="D23" i="20" s="1"/>
  <c r="D27" i="20" l="1"/>
  <c r="D51" i="20"/>
  <c r="D53" i="20" s="1"/>
  <c r="J15" i="20"/>
  <c r="J17" i="20" s="1"/>
  <c r="D39" i="20"/>
  <c r="D41" i="20"/>
  <c r="J39" i="20" l="1"/>
  <c r="J23" i="20"/>
  <c r="D62" i="20"/>
  <c r="J27" i="20" l="1"/>
  <c r="J51" i="20"/>
  <c r="J53" i="20" s="1"/>
  <c r="A472" i="12"/>
  <c r="O472" i="12" s="1"/>
  <c r="A492" i="12"/>
  <c r="O492" i="12" s="1"/>
  <c r="A476" i="12"/>
  <c r="O476" i="12" s="1"/>
  <c r="A485" i="12"/>
  <c r="O485" i="12" s="1"/>
  <c r="A148" i="12"/>
  <c r="A146" i="12"/>
  <c r="A473" i="12"/>
  <c r="O473" i="12" s="1"/>
  <c r="A491" i="12"/>
  <c r="O491" i="12" s="1"/>
  <c r="A475" i="12"/>
  <c r="O475" i="12" s="1"/>
  <c r="A474" i="12"/>
  <c r="O474" i="12" s="1"/>
  <c r="A470" i="12"/>
  <c r="O470" i="12" s="1"/>
  <c r="A484" i="12"/>
  <c r="O484" i="12" s="1"/>
  <c r="A143" i="12"/>
  <c r="A471" i="12"/>
  <c r="O471" i="12" s="1"/>
  <c r="A490" i="12"/>
  <c r="O490" i="12" s="1"/>
  <c r="A489" i="12"/>
  <c r="O489" i="12" s="1"/>
  <c r="A149" i="12"/>
  <c r="A147" i="12"/>
  <c r="A483" i="12"/>
  <c r="O483" i="12" s="1"/>
  <c r="A480" i="12"/>
  <c r="O480" i="12" s="1"/>
  <c r="A152" i="12"/>
  <c r="A482" i="12"/>
  <c r="O482" i="12" s="1"/>
  <c r="A151" i="12"/>
  <c r="AO151" i="12" s="1"/>
  <c r="A467" i="12"/>
  <c r="O467" i="12" s="1"/>
  <c r="A481" i="12"/>
  <c r="O481" i="12" s="1"/>
  <c r="A478" i="12"/>
  <c r="O478" i="12" s="1"/>
  <c r="A145" i="12"/>
  <c r="A144" i="12"/>
  <c r="A469" i="12"/>
  <c r="O469" i="12" s="1"/>
  <c r="A150" i="12"/>
  <c r="O150" i="12" s="1"/>
  <c r="A468" i="12"/>
  <c r="O468" i="12" s="1"/>
  <c r="A493" i="12"/>
  <c r="O493" i="12" s="1"/>
  <c r="A479" i="12"/>
  <c r="O479" i="12" s="1"/>
  <c r="A153" i="12"/>
  <c r="AO149" i="12"/>
  <c r="O149" i="12"/>
  <c r="J29" i="20"/>
  <c r="J100" i="20" s="1"/>
  <c r="J76" i="20" a="1"/>
  <c r="J76" i="20" s="1"/>
  <c r="J77" i="20" a="1"/>
  <c r="J77" i="20" s="1"/>
  <c r="D76" i="20" a="1"/>
  <c r="D76" i="20" s="1"/>
  <c r="D35" i="20"/>
  <c r="D80" i="20" a="1"/>
  <c r="D80" i="20" s="1"/>
  <c r="D29" i="20"/>
  <c r="D100" i="20" s="1"/>
  <c r="D77" i="20" a="1"/>
  <c r="D77" i="20" s="1"/>
  <c r="AO472" i="12" l="1"/>
  <c r="AO492" i="12"/>
  <c r="AO483" i="12"/>
  <c r="AO485" i="12"/>
  <c r="AO482" i="12"/>
  <c r="AO480" i="12"/>
  <c r="AO479" i="12"/>
  <c r="AO467" i="12"/>
  <c r="J80" i="20" a="1"/>
  <c r="J80" i="20" s="1"/>
  <c r="AO476" i="12"/>
  <c r="AO478" i="12"/>
  <c r="J35" i="20"/>
  <c r="O151" i="12"/>
  <c r="AO473" i="12"/>
  <c r="AO475" i="12"/>
  <c r="AO489" i="12"/>
  <c r="AO471" i="12"/>
  <c r="AO490" i="12"/>
  <c r="AO150" i="12"/>
  <c r="AO481" i="12"/>
  <c r="AO474" i="12"/>
  <c r="AO469" i="12"/>
  <c r="AO468" i="12"/>
  <c r="AO491" i="12"/>
  <c r="AO484" i="12"/>
  <c r="AO493" i="12"/>
  <c r="AO470"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2" i="12"/>
  <c r="O462" i="12" s="1"/>
  <c r="A461" i="12"/>
  <c r="O461" i="12" s="1"/>
  <c r="A460" i="12"/>
  <c r="O460" i="12" s="1"/>
  <c r="A459" i="12"/>
  <c r="O459" i="12" s="1"/>
  <c r="A458" i="12"/>
  <c r="O458" i="12" s="1"/>
  <c r="A457" i="12"/>
  <c r="O457" i="12" s="1"/>
  <c r="J45" i="20"/>
  <c r="J102" i="20"/>
  <c r="AO460" i="12" l="1"/>
  <c r="AO458" i="12"/>
  <c r="AO461" i="12"/>
  <c r="AO457" i="12"/>
  <c r="AO459" i="12"/>
  <c r="AO462" i="12"/>
  <c r="J47" i="20"/>
  <c r="J48" i="20"/>
  <c r="J43" i="20"/>
  <c r="I401" i="12" l="1"/>
  <c r="G401" i="12"/>
  <c r="A506" i="12" l="1"/>
  <c r="O506" i="12" s="1"/>
  <c r="C17" i="2"/>
  <c r="A508" i="12" l="1"/>
  <c r="O508" i="12" s="1"/>
  <c r="E555" i="12"/>
  <c r="H555" i="12" s="1"/>
  <c r="D555" i="12"/>
  <c r="D545" i="12"/>
  <c r="E545" i="12"/>
  <c r="H545" i="12" s="1"/>
  <c r="AO506" i="12"/>
  <c r="BM10" i="12"/>
  <c r="BL9" i="12"/>
  <c r="BL10" i="12"/>
  <c r="BL6" i="12"/>
  <c r="BM9" i="12"/>
  <c r="BM8" i="12"/>
  <c r="BL8" i="12"/>
  <c r="BM6" i="12"/>
  <c r="BM7" i="12"/>
  <c r="BL7" i="12"/>
  <c r="P30" i="12"/>
  <c r="P33" i="12"/>
  <c r="P31" i="12"/>
  <c r="P32" i="12"/>
  <c r="F551" i="12"/>
  <c r="H551" i="12"/>
  <c r="F511" i="12"/>
  <c r="D511" i="12" s="1"/>
  <c r="O170" i="12"/>
  <c r="O168" i="12"/>
  <c r="O169" i="12"/>
  <c r="O167" i="12"/>
  <c r="O166" i="12"/>
  <c r="A165" i="12"/>
  <c r="O165" i="12" s="1"/>
  <c r="O163" i="12"/>
  <c r="A164" i="12"/>
  <c r="O164" i="12" s="1"/>
  <c r="F510" i="12"/>
  <c r="D510" i="12" s="1"/>
  <c r="BM5" i="12"/>
  <c r="BL4" i="12"/>
  <c r="BM4" i="12"/>
  <c r="H510" i="12"/>
  <c r="BL5" i="12"/>
  <c r="H552" i="12"/>
  <c r="H511" i="12"/>
  <c r="F552" i="12"/>
  <c r="J555" i="12" l="1"/>
  <c r="L511" i="12"/>
  <c r="I545" i="12"/>
  <c r="J545" i="12"/>
  <c r="E510" i="12"/>
  <c r="J510" i="12" s="1"/>
  <c r="L510" i="12"/>
  <c r="L552" i="12"/>
  <c r="L551" i="12"/>
  <c r="AO508" i="12"/>
  <c r="E511" i="12"/>
  <c r="J511" i="12" s="1"/>
  <c r="F555" i="12"/>
  <c r="G555" i="12" s="1"/>
  <c r="I555" i="12"/>
  <c r="AO164" i="12"/>
  <c r="AO166" i="12"/>
  <c r="AO165" i="12"/>
  <c r="AO169" i="12"/>
  <c r="AO167" i="12"/>
  <c r="AO168" i="12"/>
  <c r="AO170" i="12"/>
  <c r="AO163" i="12"/>
  <c r="BM12" i="12"/>
  <c r="BO14" i="12" s="1"/>
  <c r="BL12" i="12"/>
  <c r="BN14" i="12" s="1"/>
  <c r="G511" i="12"/>
  <c r="A409" i="12"/>
  <c r="O409" i="12" s="1"/>
  <c r="A178" i="12"/>
  <c r="O178" i="12" s="1"/>
  <c r="A177" i="12"/>
  <c r="O177" i="12" s="1"/>
  <c r="A176" i="12"/>
  <c r="O176" i="12" s="1"/>
  <c r="G551" i="12"/>
  <c r="F554" i="12"/>
  <c r="D551" i="12"/>
  <c r="I510" i="12"/>
  <c r="D552" i="12"/>
  <c r="G552" i="12"/>
  <c r="H554" i="12"/>
  <c r="E551" i="12"/>
  <c r="I551" i="12"/>
  <c r="I511" i="12"/>
  <c r="G510" i="12"/>
  <c r="E552" i="12"/>
  <c r="I552" i="12"/>
  <c r="Z501" i="13" a="1"/>
  <c r="L555" i="12" l="1"/>
  <c r="L554" i="12"/>
  <c r="J552" i="12"/>
  <c r="J551" i="12"/>
  <c r="AO409" i="12"/>
  <c r="AO177" i="12"/>
  <c r="AO176" i="12"/>
  <c r="AO178" i="12"/>
  <c r="BM18" i="12"/>
  <c r="Z501" i="13"/>
  <c r="A404" i="12"/>
  <c r="O404" i="12" s="1"/>
  <c r="A403" i="12"/>
  <c r="O403" i="12" s="1"/>
  <c r="A179" i="12"/>
  <c r="O179" i="12" s="1"/>
  <c r="D554" i="12"/>
  <c r="G554" i="12"/>
  <c r="I554" i="12"/>
  <c r="E554" i="12"/>
  <c r="Z506" i="13" a="1"/>
  <c r="Z504" i="13" a="1"/>
  <c r="Z516" i="13" a="1"/>
  <c r="Z512" i="13" a="1"/>
  <c r="Z509" i="13" a="1"/>
  <c r="Z515" i="13" a="1"/>
  <c r="Z511" i="13" a="1"/>
  <c r="Z514" i="13" a="1"/>
  <c r="Z503" i="13" a="1"/>
  <c r="Z507" i="13" a="1"/>
  <c r="Z510" i="13" a="1"/>
  <c r="Z513" i="13" a="1"/>
  <c r="Z502" i="13" a="1"/>
  <c r="Z508" i="13" a="1"/>
  <c r="Z505" i="13" a="1"/>
  <c r="J554" i="12" l="1"/>
  <c r="AO404" i="12"/>
  <c r="AO403"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8" i="12" l="1"/>
  <c r="L561" i="12" l="1"/>
  <c r="F558" i="12" l="1"/>
  <c r="L558" i="12" s="1"/>
  <c r="D558" i="12" l="1"/>
  <c r="J558" i="12" s="1"/>
  <c r="F545" i="12" l="1"/>
  <c r="L545" i="12" s="1"/>
  <c r="G545" i="12" l="1"/>
  <c r="D95" i="20" l="1"/>
  <c r="D82" i="20" l="1" a="1"/>
  <c r="D82" i="20" s="1"/>
  <c r="D96" i="20"/>
  <c r="D83" i="20" s="1" a="1"/>
  <c r="D83" i="20" s="1"/>
  <c r="D88" i="20" l="1"/>
  <c r="D91" i="20" s="1"/>
  <c r="D92" i="20" s="1"/>
  <c r="D84" i="20" s="1" a="1"/>
  <c r="D84" i="20" s="1"/>
  <c r="D102" i="20" s="1"/>
  <c r="D97" i="20"/>
  <c r="D33" i="20" l="1"/>
  <c r="D31" i="20" s="1"/>
  <c r="D45" i="20"/>
  <c r="D47" i="20" l="1"/>
  <c r="A391" i="12"/>
  <c r="O391" i="12" s="1"/>
  <c r="A379" i="12"/>
  <c r="O379" i="12" s="1"/>
  <c r="A392" i="12"/>
  <c r="O392" i="12" s="1"/>
  <c r="A387" i="12"/>
  <c r="O387" i="12" s="1"/>
  <c r="A389" i="12"/>
  <c r="O389" i="12" s="1"/>
  <c r="A393" i="12"/>
  <c r="O393" i="12" s="1"/>
  <c r="A388" i="12"/>
  <c r="O388" i="12" s="1"/>
  <c r="A377" i="12"/>
  <c r="O377" i="12" s="1"/>
  <c r="A382" i="12"/>
  <c r="O382" i="12" s="1"/>
  <c r="A380" i="12"/>
  <c r="O380" i="12" s="1"/>
  <c r="A390" i="12"/>
  <c r="O390" i="12" s="1"/>
  <c r="A385" i="12"/>
  <c r="O385" i="12" s="1"/>
  <c r="A381" i="12"/>
  <c r="O381" i="12" s="1"/>
  <c r="D43" i="20"/>
  <c r="A378" i="12"/>
  <c r="O378" i="12" s="1"/>
  <c r="A383" i="12"/>
  <c r="O383" i="12" s="1"/>
  <c r="A386" i="12"/>
  <c r="O386" i="12" s="1"/>
  <c r="D48" i="20"/>
  <c r="AO383" i="12" l="1"/>
  <c r="AO378" i="12"/>
  <c r="AO381" i="12"/>
  <c r="AO385" i="12"/>
  <c r="AO390" i="12"/>
  <c r="AO380" i="12"/>
  <c r="AO382" i="12"/>
  <c r="AO377" i="12"/>
  <c r="AO388" i="12"/>
  <c r="AO393" i="12"/>
  <c r="AO389" i="12"/>
  <c r="AO387" i="12"/>
  <c r="AO392" i="12"/>
  <c r="AO379" i="12"/>
  <c r="AO386" i="12"/>
  <c r="AO391" i="12"/>
  <c r="C5" i="6" l="1"/>
  <c r="K68" i="2"/>
  <c r="K69" i="2"/>
  <c r="K67" i="2"/>
  <c r="A556" i="12"/>
  <c r="F556" i="12" l="1"/>
  <c r="AO556" i="12"/>
  <c r="O556" i="12"/>
  <c r="G556" i="12"/>
  <c r="H556" i="12"/>
  <c r="I556" i="12"/>
  <c r="E556" i="12" l="1"/>
  <c r="L556" i="12"/>
  <c r="D556" i="12"/>
  <c r="J556" i="12" s="1"/>
  <c r="AF491" i="13"/>
  <c r="AF490" i="13"/>
  <c r="DP489" i="13"/>
  <c r="CU489" i="13"/>
  <c r="AW491" i="13"/>
  <c r="CH491" i="13"/>
  <c r="AU491" i="13"/>
  <c r="DK489" i="13"/>
  <c r="CU491" i="13"/>
  <c r="BL490" i="13"/>
  <c r="BU491" i="13"/>
  <c r="BV489" i="13"/>
  <c r="BC491" i="13"/>
  <c r="BH489" i="13"/>
  <c r="BW490" i="13"/>
  <c r="AO491" i="13"/>
  <c r="CG491" i="13"/>
  <c r="AG489" i="13"/>
  <c r="CH490" i="13"/>
  <c r="DG491" i="13"/>
  <c r="BI490" i="13"/>
  <c r="DI490" i="13"/>
  <c r="BX489" i="13"/>
  <c r="BN490" i="13"/>
  <c r="CP489" i="13"/>
  <c r="AR489" i="13"/>
  <c r="DL489" i="13"/>
  <c r="BH490" i="13"/>
  <c r="CF489" i="13"/>
  <c r="BN491" i="13"/>
  <c r="DU489" i="13"/>
  <c r="BD491" i="13"/>
  <c r="BA489" i="13"/>
  <c r="DP490" i="13"/>
  <c r="BZ489" i="13"/>
  <c r="BM490" i="13"/>
  <c r="BG491" i="13"/>
  <c r="CZ490" i="13"/>
  <c r="CO490" i="13"/>
  <c r="AO490" i="13"/>
  <c r="BL491" i="13"/>
  <c r="BB491" i="13"/>
  <c r="DI491" i="13"/>
  <c r="CX491" i="13"/>
  <c r="CJ490" i="13"/>
  <c r="AT490" i="13"/>
  <c r="BF490" i="13"/>
  <c r="DL491" i="13"/>
  <c r="BE490" i="13"/>
  <c r="DV491" i="13"/>
  <c r="DV490" i="13"/>
  <c r="BL489" i="13"/>
  <c r="AT489" i="13"/>
  <c r="CT490" i="13"/>
  <c r="AR491" i="13"/>
  <c r="AP490" i="13"/>
  <c r="AG491" i="13"/>
  <c r="BR489" i="13"/>
  <c r="DJ489" i="13"/>
  <c r="BU490" i="13"/>
  <c r="EA489" i="13"/>
  <c r="DS490" i="13"/>
  <c r="BD490" i="13"/>
  <c r="CZ489" i="13"/>
  <c r="CF490" i="13"/>
  <c r="EA491" i="13"/>
  <c r="CE491" i="13"/>
  <c r="CK491" i="13"/>
  <c r="DF491" i="13"/>
  <c r="DH491" i="13"/>
  <c r="DO489" i="13"/>
  <c r="DM490" i="13"/>
  <c r="BK489" i="13"/>
  <c r="DI489" i="13"/>
  <c r="BE489" i="13"/>
  <c r="DW490" i="13"/>
  <c r="CT491" i="13"/>
  <c r="DS489" i="13"/>
  <c r="DC489" i="13"/>
  <c r="BJ491" i="13"/>
  <c r="AV489" i="13"/>
  <c r="AJ490" i="13"/>
  <c r="BT491" i="13"/>
  <c r="CB490" i="13"/>
  <c r="DX491" i="13"/>
  <c r="BU489" i="13"/>
  <c r="AG490" i="13"/>
  <c r="BG490" i="13"/>
  <c r="DB490" i="13"/>
  <c r="DT490" i="13"/>
  <c r="BS490" i="13"/>
  <c r="AJ491" i="13"/>
  <c r="DE489" i="13"/>
  <c r="CB491" i="13"/>
  <c r="BY490" i="13"/>
  <c r="CW490" i="13"/>
  <c r="DE491" i="13"/>
  <c r="BX491" i="13"/>
  <c r="DA489" i="13"/>
  <c r="CL489" i="13"/>
  <c r="BQ490" i="13"/>
  <c r="CI490" i="13"/>
  <c r="CD491" i="13"/>
  <c r="CZ491" i="13"/>
  <c r="BJ490" i="13"/>
  <c r="CO491" i="13"/>
  <c r="BW489" i="13"/>
  <c r="AO489" i="13"/>
  <c r="BP491" i="13"/>
  <c r="CV491" i="13"/>
  <c r="CO489" i="13"/>
  <c r="CN489" i="13"/>
  <c r="CA491" i="13"/>
  <c r="BZ491" i="13"/>
  <c r="CL491" i="13"/>
  <c r="AI490" i="13"/>
  <c r="BN489" i="13"/>
  <c r="DX489" i="13"/>
  <c r="DN490" i="13"/>
  <c r="AU489" i="13"/>
  <c r="CK490" i="13"/>
  <c r="BG489" i="13"/>
  <c r="CN490" i="13"/>
  <c r="DO490" i="13"/>
  <c r="DR489" i="13"/>
  <c r="AW489" i="13"/>
  <c r="DM491" i="13"/>
  <c r="CX489" i="13"/>
  <c r="CW491" i="13"/>
  <c r="CR490" i="13"/>
  <c r="AH491" i="13"/>
  <c r="AY490" i="13"/>
  <c r="AP489" i="13"/>
  <c r="DJ491" i="13"/>
  <c r="AI489" i="13"/>
  <c r="CD489" i="13"/>
  <c r="CM490" i="13"/>
  <c r="DF489" i="13"/>
  <c r="AL491" i="13"/>
  <c r="AT491" i="13"/>
  <c r="BX490" i="13"/>
  <c r="DG490" i="13"/>
  <c r="CY490" i="13"/>
  <c r="BT489" i="13"/>
  <c r="CI491" i="13"/>
  <c r="AZ491" i="13"/>
  <c r="CF491" i="13"/>
  <c r="BQ489" i="13"/>
  <c r="AY489" i="13"/>
  <c r="AR490" i="13"/>
  <c r="DD489" i="13"/>
  <c r="AY491" i="13"/>
  <c r="AV491" i="13"/>
  <c r="DZ491" i="13"/>
  <c r="AL490" i="13"/>
  <c r="BA491" i="13"/>
  <c r="CK489" i="13"/>
  <c r="AX489" i="13"/>
  <c r="BS491" i="13"/>
  <c r="DT491" i="13"/>
  <c r="AV490" i="13"/>
  <c r="BY489" i="13"/>
  <c r="DZ490" i="13"/>
  <c r="CH489" i="13"/>
  <c r="AM489" i="13"/>
  <c r="BP490" i="13"/>
  <c r="CC491" i="13"/>
  <c r="DY490" i="13"/>
  <c r="CJ489" i="13"/>
  <c r="CM491" i="13"/>
  <c r="BR491" i="13"/>
  <c r="DK490" i="13"/>
  <c r="AH490" i="13"/>
  <c r="AW490" i="13"/>
  <c r="BT490" i="13"/>
  <c r="CP490" i="13"/>
  <c r="DR491" i="13"/>
  <c r="AS491" i="13"/>
  <c r="AN489" i="13"/>
  <c r="DW491" i="13"/>
  <c r="AZ490" i="13"/>
  <c r="DP491" i="13"/>
  <c r="CB489" i="13"/>
  <c r="BO490" i="13"/>
  <c r="CY491" i="13"/>
  <c r="CS490" i="13"/>
  <c r="CX490" i="13"/>
  <c r="CR491" i="13"/>
  <c r="DA491" i="13"/>
  <c r="AS489" i="13"/>
  <c r="AM491" i="13"/>
  <c r="DJ490" i="13"/>
  <c r="CJ491" i="13"/>
  <c r="CC490" i="13"/>
  <c r="AH489" i="13"/>
  <c r="BD489" i="13"/>
  <c r="DU490" i="13"/>
  <c r="AS490" i="13"/>
  <c r="AK489" i="13"/>
  <c r="DH490" i="13"/>
  <c r="AX490" i="13"/>
  <c r="DB489" i="13"/>
  <c r="CL490" i="13"/>
  <c r="CY489" i="13"/>
  <c r="BI489" i="13"/>
  <c r="AJ489" i="13"/>
  <c r="AX491" i="13"/>
  <c r="BC489" i="13"/>
  <c r="DC490" i="13"/>
  <c r="CS489" i="13"/>
  <c r="BK490" i="13"/>
  <c r="BP489" i="13"/>
  <c r="DN489" i="13"/>
  <c r="DD490" i="13"/>
  <c r="DT489" i="13"/>
  <c r="CQ490" i="13"/>
  <c r="CI489" i="13"/>
  <c r="BW491" i="13"/>
  <c r="AP491" i="13"/>
  <c r="AQ490" i="13"/>
  <c r="AQ491" i="13"/>
  <c r="BH491" i="13"/>
  <c r="BO489" i="13"/>
  <c r="BM491" i="13"/>
  <c r="BB490" i="13"/>
  <c r="CT489" i="13"/>
  <c r="BM489" i="13"/>
  <c r="BK491" i="13"/>
  <c r="BF489" i="13"/>
  <c r="AN490" i="13"/>
  <c r="BO491" i="13"/>
  <c r="DY489" i="13"/>
  <c r="BC490" i="13"/>
  <c r="BI491" i="13"/>
  <c r="DH489" i="13"/>
  <c r="CC489" i="13"/>
  <c r="DF490" i="13"/>
  <c r="BF491" i="13"/>
  <c r="CS491" i="13"/>
  <c r="AN491" i="13"/>
  <c r="CW489" i="13"/>
  <c r="DK491" i="13"/>
  <c r="CQ491" i="13"/>
  <c r="AL489" i="13"/>
  <c r="AK491" i="13"/>
  <c r="CP491" i="13"/>
  <c r="AU490" i="13"/>
  <c r="BV490" i="13"/>
  <c r="BE491" i="13"/>
  <c r="DA490" i="13"/>
  <c r="AM490" i="13"/>
  <c r="CM489" i="13"/>
  <c r="AQ489" i="13"/>
  <c r="BQ491" i="13"/>
  <c r="BS489" i="13"/>
  <c r="DO491" i="13"/>
  <c r="BA490" i="13"/>
  <c r="CR489" i="13"/>
  <c r="DC491" i="13"/>
  <c r="CN491" i="13"/>
  <c r="DR490" i="13"/>
  <c r="CQ489" i="13"/>
  <c r="DU491" i="13"/>
  <c r="CD490" i="13"/>
  <c r="DW489" i="13"/>
  <c r="CV490" i="13"/>
  <c r="CV489" i="13"/>
  <c r="BR490" i="13"/>
  <c r="DV489" i="13"/>
  <c r="CE489" i="13"/>
  <c r="DE490" i="13"/>
  <c r="DB491" i="13"/>
  <c r="CU490" i="13"/>
  <c r="CG490" i="13"/>
  <c r="BZ490" i="13"/>
  <c r="DN491" i="13"/>
  <c r="BY491" i="13"/>
  <c r="BV491" i="13"/>
  <c r="DX490" i="13"/>
  <c r="DQ489" i="13"/>
  <c r="DQ490" i="13"/>
  <c r="CG489" i="13"/>
  <c r="DL490" i="13"/>
  <c r="CA490" i="13"/>
  <c r="AZ489" i="13"/>
  <c r="DD491" i="13"/>
  <c r="DY491" i="13"/>
  <c r="BJ489" i="13"/>
  <c r="DS491" i="13"/>
  <c r="CA489" i="13"/>
  <c r="DQ491" i="13"/>
  <c r="AI491" i="13"/>
  <c r="EA490" i="13"/>
  <c r="AK490" i="13"/>
  <c r="BB489" i="13"/>
  <c r="DZ489" i="13"/>
  <c r="DG489" i="13"/>
  <c r="DM489" i="13"/>
  <c r="CE490" i="13"/>
  <c r="AF489" i="13"/>
  <c r="EC489" i="13" l="1"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GZ490" i="13" s="1"/>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ID489" i="13" l="1"/>
  <c r="GV489" i="13"/>
  <c r="FQ490" i="13"/>
  <c r="GI490" i="13"/>
  <c r="GR489" i="13"/>
  <c r="FW489" i="13"/>
  <c r="EQ489" i="13"/>
  <c r="GA490" i="13"/>
  <c r="EE485" i="13"/>
  <c r="EZ491" i="13"/>
  <c r="EY491" i="13"/>
  <c r="HA491" i="13"/>
  <c r="GO491" i="13"/>
  <c r="FB491" i="13"/>
  <c r="GU491" i="13"/>
  <c r="II491" i="13"/>
  <c r="FF491" i="13"/>
  <c r="EQ491" i="13"/>
  <c r="HI491" i="13"/>
  <c r="GX491" i="13"/>
  <c r="FC491" i="13"/>
  <c r="EP491" i="13"/>
  <c r="FU491" i="13"/>
  <c r="GF491" i="13"/>
  <c r="HG491" i="13"/>
  <c r="GB491" i="13"/>
  <c r="FY491" i="13"/>
  <c r="EN491" i="13"/>
  <c r="GM491" i="13"/>
  <c r="EU491" i="13"/>
  <c r="GP491" i="13"/>
  <c r="IE491" i="13"/>
  <c r="EV491" i="13"/>
  <c r="HS491" i="13"/>
  <c r="EX491" i="13"/>
  <c r="FQ491" i="13"/>
  <c r="FK491" i="13"/>
  <c r="FZ491" i="13"/>
  <c r="ES491" i="13"/>
  <c r="HB491" i="13"/>
  <c r="FV491" i="13"/>
  <c r="HR491" i="13"/>
  <c r="HL491" i="13"/>
  <c r="FE491" i="13"/>
  <c r="HD491" i="13"/>
  <c r="HY491" i="13"/>
  <c r="GC491" i="13"/>
  <c r="GA491" i="13"/>
  <c r="GK491" i="13"/>
  <c r="HM491" i="13"/>
  <c r="GH491" i="13"/>
  <c r="IH491" i="13"/>
  <c r="GW491" i="13"/>
  <c r="HZ491" i="13"/>
  <c r="FW491" i="13"/>
  <c r="FH491" i="13"/>
  <c r="HJ491" i="13"/>
  <c r="ID491" i="13"/>
  <c r="FS491" i="13"/>
  <c r="FX491" i="13"/>
  <c r="HF491" i="13"/>
  <c r="FR491" i="13"/>
  <c r="HC491" i="13"/>
  <c r="IG491" i="13"/>
  <c r="GN491" i="13"/>
  <c r="GZ491" i="13"/>
  <c r="HU491" i="13"/>
  <c r="FP491" i="13"/>
  <c r="FG491" i="13"/>
  <c r="HT491" i="13"/>
  <c r="FN491" i="13"/>
  <c r="HE491" i="13"/>
  <c r="GD491" i="13"/>
  <c r="GJ491" i="13"/>
  <c r="GE491" i="13"/>
  <c r="FT491" i="13"/>
  <c r="HH491" i="13"/>
  <c r="GI491" i="13"/>
  <c r="HN491" i="13"/>
  <c r="IF491" i="13"/>
  <c r="HQ491" i="13"/>
  <c r="GL491" i="13"/>
  <c r="HV491" i="13"/>
  <c r="GY491" i="13"/>
  <c r="FJ491" i="13"/>
  <c r="GS491" i="13"/>
  <c r="HK491" i="13"/>
  <c r="IC491" i="13"/>
  <c r="IB491" i="13"/>
  <c r="FL491" i="13"/>
  <c r="IA491" i="13"/>
  <c r="ET491" i="13"/>
  <c r="HX491" i="13"/>
  <c r="GT491" i="13"/>
  <c r="HW491" i="13"/>
  <c r="FM491" i="13"/>
  <c r="HO491" i="13"/>
  <c r="FA491" i="13"/>
  <c r="FO491" i="13"/>
  <c r="GR491" i="13"/>
  <c r="EW491" i="13"/>
  <c r="HP491" i="13"/>
  <c r="GV491" i="13"/>
  <c r="FI491" i="13"/>
  <c r="GQ491" i="13"/>
  <c r="GG491" i="13"/>
  <c r="ER491" i="13"/>
  <c r="EO491" i="13"/>
  <c r="FD491" i="13"/>
  <c r="FF490" i="13"/>
  <c r="HF490" i="13"/>
  <c r="EN478" i="13"/>
  <c r="IK478" i="13" s="1" a="1"/>
  <c r="IK478" i="13" s="1"/>
  <c r="EN477" i="13"/>
  <c r="IK477" i="13" s="1" a="1"/>
  <c r="IK477" i="13" s="1"/>
  <c r="EE491" i="13"/>
  <c r="EE490" i="13"/>
  <c r="EE478" i="13"/>
  <c r="EE489" i="13"/>
  <c r="EE479" i="13"/>
  <c r="EE483" i="13"/>
  <c r="EE484" i="13"/>
  <c r="IK485" i="13" a="1"/>
  <c r="IK485" i="13" s="1"/>
  <c r="IK483" i="13" a="1"/>
  <c r="IK483" i="13" s="1"/>
  <c r="IK489" i="13" a="1"/>
  <c r="IK489" i="13" s="1"/>
  <c r="IK484" i="13" a="1"/>
  <c r="IK484" i="13" s="1"/>
  <c r="IK479" i="13" a="1"/>
  <c r="IK479" i="13" s="1"/>
  <c r="IK490" i="13" l="1" a="1"/>
  <c r="IK490" i="13" s="1"/>
  <c r="IK491" i="13" a="1"/>
  <c r="IK491" i="13" s="1"/>
  <c r="EE474" i="13"/>
  <c r="EG474" i="13"/>
  <c r="IK474" i="13" l="1"/>
  <c r="IL484" i="13" s="1" a="1"/>
  <c r="IL484" i="13" s="1"/>
  <c r="EF474" i="13"/>
  <c r="EH474" i="13" s="1"/>
  <c r="IL478" i="13" l="1" a="1"/>
  <c r="IL478" i="13" s="1"/>
  <c r="IL477" i="13" a="1"/>
  <c r="IL477" i="13" s="1"/>
  <c r="IL491" i="13" a="1"/>
  <c r="IL491" i="13" s="1"/>
  <c r="IL489" i="13" a="1"/>
  <c r="IL489" i="13" s="1"/>
  <c r="IL483" i="13" a="1"/>
  <c r="IL483" i="13" s="1"/>
  <c r="IL490" i="13" a="1"/>
  <c r="IL490" i="13" s="1"/>
  <c r="IL485" i="13" a="1"/>
  <c r="IL485" i="13" s="1"/>
  <c r="IL479" i="13" a="1"/>
  <c r="IL479" i="13" s="1"/>
  <c r="IL474" i="13" l="1"/>
  <c r="E25" i="6" s="1"/>
  <c r="IM478" i="13" l="1"/>
  <c r="IM491" i="13"/>
  <c r="IM483" i="13"/>
  <c r="IM477" i="13"/>
  <c r="IM489" i="13"/>
  <c r="IM490" i="13"/>
  <c r="IM485" i="13"/>
  <c r="IM479" i="13"/>
  <c r="IM484" i="13"/>
  <c r="IO474" i="13" l="1"/>
  <c r="IM474" i="13"/>
  <c r="L1" i="12"/>
  <c r="A495" i="12" s="1"/>
  <c r="A338" i="12"/>
  <c r="A336" i="12"/>
  <c r="A337" i="12"/>
  <c r="E23" i="20"/>
  <c r="IN474" i="13"/>
  <c r="IP474" i="13" s="1"/>
  <c r="A264" i="12" s="1"/>
  <c r="AC493" i="13" l="1"/>
  <c r="N1" i="12" s="1"/>
  <c r="E27" i="20"/>
  <c r="A271" i="12"/>
  <c r="A282" i="12"/>
  <c r="AO282" i="12" s="1"/>
  <c r="A261" i="12"/>
  <c r="A275" i="12"/>
  <c r="A262" i="12"/>
  <c r="A278" i="12"/>
  <c r="A266" i="12"/>
  <c r="A280" i="12"/>
  <c r="A263" i="12"/>
  <c r="A273" i="12"/>
  <c r="A265" i="12"/>
  <c r="A269" i="12"/>
  <c r="G23" i="20"/>
  <c r="G27" i="20" s="1"/>
  <c r="H23" i="20"/>
  <c r="H27" i="20" s="1"/>
  <c r="F23" i="20"/>
  <c r="F27" i="20" s="1"/>
  <c r="O337" i="12"/>
  <c r="AO337" i="12"/>
  <c r="O495" i="12"/>
  <c r="AO495" i="12"/>
  <c r="AO338" i="12"/>
  <c r="O338" i="12"/>
  <c r="AO336" i="12"/>
  <c r="O336" i="12"/>
  <c r="AD493" i="13" l="1"/>
  <c r="AC478" i="13" s="1"/>
  <c r="O282" i="12"/>
  <c r="AC483" i="13"/>
  <c r="AC484" i="13"/>
  <c r="AC490" i="13"/>
  <c r="L104" i="20"/>
  <c r="K104" i="20"/>
  <c r="AO266" i="12"/>
  <c r="O266" i="12"/>
  <c r="AO273" i="12"/>
  <c r="O273" i="12"/>
  <c r="AO271" i="12"/>
  <c r="O271" i="12"/>
  <c r="AO275" i="12"/>
  <c r="O275" i="12"/>
  <c r="O265" i="12"/>
  <c r="AO265" i="12"/>
  <c r="O261" i="12"/>
  <c r="A371" i="12"/>
  <c r="AO261" i="12"/>
  <c r="A412" i="12"/>
  <c r="E9" i="20"/>
  <c r="O263" i="12"/>
  <c r="AO263" i="12"/>
  <c r="O278" i="12"/>
  <c r="AO278" i="12"/>
  <c r="F35" i="20"/>
  <c r="F29" i="20"/>
  <c r="F80" i="20" a="1"/>
  <c r="F80" i="20" s="1"/>
  <c r="F76" i="20" a="1"/>
  <c r="F76" i="20" s="1"/>
  <c r="F77" i="20" a="1"/>
  <c r="F77" i="20" s="1"/>
  <c r="O269" i="12"/>
  <c r="AO269" i="12"/>
  <c r="O262" i="12"/>
  <c r="AO262" i="12"/>
  <c r="O280" i="12"/>
  <c r="AO280" i="12"/>
  <c r="O264" i="12"/>
  <c r="AO264"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C479" i="13" l="1"/>
  <c r="AC491" i="13"/>
  <c r="AC485" i="13"/>
  <c r="AC489" i="13"/>
  <c r="AC477" i="13"/>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2" i="12"/>
  <c r="AO412" i="12"/>
  <c r="H79" i="20"/>
  <c r="H99" i="20"/>
  <c r="H75" i="20" a="1"/>
  <c r="H75" i="20" s="1"/>
  <c r="H78" i="20" s="1"/>
  <c r="H103" i="20"/>
  <c r="H101" i="20"/>
  <c r="H34" i="20"/>
  <c r="H98" i="20"/>
  <c r="H100" i="20"/>
  <c r="H33" i="20"/>
  <c r="H102" i="20"/>
  <c r="AO371" i="12"/>
  <c r="O371"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D491" i="13" l="1"/>
  <c r="AE491" i="13" s="1"/>
  <c r="AD490" i="13" s="1"/>
  <c r="AE490" i="13" s="1"/>
  <c r="AD489" i="13" s="1"/>
  <c r="AD485" i="13" s="1"/>
  <c r="AE485"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84" i="13" l="1"/>
  <c r="AE484" i="13" s="1"/>
  <c r="AD483" i="13" s="1"/>
  <c r="AE483" i="13" s="1"/>
  <c r="AE489" i="13"/>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9" i="13" l="1"/>
  <c r="AE479" i="13" s="1"/>
  <c r="AD478" i="13" s="1"/>
  <c r="AE478" i="13" s="1"/>
  <c r="AD477" i="13" s="1"/>
  <c r="AE477" i="13" s="1"/>
  <c r="E88" i="20"/>
  <c r="E91" i="20" s="1"/>
  <c r="E92" i="20" s="1"/>
  <c r="E104" i="20"/>
  <c r="E97" i="20"/>
  <c r="F83" i="20" a="1"/>
  <c r="F83" i="20" s="1"/>
  <c r="G82" i="20" a="1"/>
  <c r="G82" i="20" s="1"/>
  <c r="G96" i="20" s="1"/>
  <c r="G83" i="20" s="1" a="1"/>
  <c r="G83" i="20" s="1"/>
  <c r="H83" i="20" a="1"/>
  <c r="H83" i="20" s="1"/>
  <c r="A367" i="12" l="1"/>
  <c r="G88" i="20"/>
  <c r="G91" i="20" s="1"/>
  <c r="G92" i="20" s="1"/>
  <c r="G104" i="20"/>
  <c r="G97" i="20"/>
  <c r="H88" i="20"/>
  <c r="H91" i="20" s="1"/>
  <c r="H92" i="20" s="1"/>
  <c r="H104" i="20"/>
  <c r="H97" i="20"/>
  <c r="F88" i="20"/>
  <c r="F91" i="20" s="1"/>
  <c r="F92" i="20" s="1"/>
  <c r="F104" i="20"/>
  <c r="A368" i="12" s="1"/>
  <c r="F97" i="20"/>
  <c r="A370" i="12" l="1"/>
  <c r="AO370" i="12" s="1"/>
  <c r="C2" i="12"/>
  <c r="A369" i="12"/>
  <c r="A397" i="12" s="1"/>
  <c r="A541" i="12" s="1"/>
  <c r="O368" i="12"/>
  <c r="AO368" i="12"/>
  <c r="AO367" i="12"/>
  <c r="O367" i="12"/>
  <c r="O370" i="12" l="1"/>
  <c r="AO541" i="12"/>
  <c r="O541" i="12"/>
  <c r="H541" i="12"/>
  <c r="I541" i="12"/>
  <c r="O397" i="12"/>
  <c r="AO397" i="12"/>
  <c r="AO369" i="12"/>
  <c r="O369" i="12"/>
  <c r="A2" i="12" a="1"/>
  <c r="A2" i="12" s="1"/>
  <c r="F541" i="12" s="1"/>
  <c r="L541" i="12" l="1"/>
  <c r="E541" i="12"/>
  <c r="A557" i="12"/>
  <c r="A551" i="12"/>
  <c r="G541" i="12"/>
  <c r="D541" i="12" s="1"/>
  <c r="J541" i="12" s="1"/>
  <c r="O551" i="12" l="1"/>
  <c r="AO551"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7" i="12"/>
  <c r="F557" i="12"/>
  <c r="I557" i="12"/>
  <c r="O557" i="12"/>
  <c r="G557" i="12"/>
  <c r="AO557" i="12"/>
  <c r="D557" i="12" l="1"/>
  <c r="L557" i="12"/>
  <c r="E557"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7"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<sst xmlns="http://schemas.openxmlformats.org/spreadsheetml/2006/main" count="5565" uniqueCount="2842">
  <si>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</si>
  <si>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</si>
  <si>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</si>
  <si>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</si>
  <si>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</si>
  <si>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</si>
  <si>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</si>
  <si>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</si>
  <si>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</si>
  <si>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</si>
  <si>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</si>
  <si>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</si>
  <si>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</si>
  <si>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</si>
  <si>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</si>
  <si>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</si>
  <si>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</si>
  <si>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</si>
  <si>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</si>
  <si>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</si>
  <si>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</si>
  <si>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</si>
  <si>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</si>
  <si>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</si>
  <si>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</si>
  <si>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</si>
  <si>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</si>
  <si>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</si>
  <si>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</si>
  <si>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</si>
  <si>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</si>
  <si>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</si>
  <si>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</si>
  <si>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</si>
  <si>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</si>
  <si>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</si>
  <si>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</si>
  <si>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</si>
  <si>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</si>
  <si>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</si>
  <si>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</si>
  <si>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</si>
  <si>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</si>
  <si>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</si>
  <si>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</si>
  <si>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</si>
  <si>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</si>
  <si>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</si>
  <si>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</si>
  <si>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</si>
  <si>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</si>
  <si>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</si>
  <si>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</si>
  <si>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</si>
  <si>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</si>
  <si>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</si>
  <si>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</si>
  <si>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</si>
  <si>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</si>
  <si>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</si>
  <si>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</si>
  <si>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</si>
  <si>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</si>
  <si>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</si>
  <si>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</si>
  <si>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</si>
  <si>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</si>
  <si>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</si>
  <si>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</si>
  <si>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</si>
  <si>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</si>
  <si>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</si>
  <si>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</si>
  <si>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</si>
  <si>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</si>
  <si>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</si>
  <si>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</si>
  <si>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</si>
  <si>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</si>
  <si>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</si>
  <si>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</si>
  <si>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</si>
  <si>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</si>
  <si>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</si>
  <si>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</si>
  <si>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</si>
  <si>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</si>
  <si>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</si>
  <si>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</si>
  <si>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</si>
  <si>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</si>
  <si>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</si>
  <si>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</si>
  <si>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</si>
  <si>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</si>
  <si>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</si>
  <si>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</si>
  <si>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</si>
  <si>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</si>
  <si>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</si>
  <si>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</si>
  <si>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</si>
  <si>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</si>
  <si>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</si>
  <si>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</si>
  <si>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</si>
  <si>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</si>
  <si>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</si>
  <si>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</si>
  <si>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</si>
  <si>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</si>
  <si>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</si>
  <si>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</si>
  <si>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</si>
  <si>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</si>
  <si>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</si>
  <si>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</si>
  <si>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</si>
  <si>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</si>
  <si>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</si>
  <si>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</si>
  <si>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</si>
  <si>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</si>
  <si>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</si>
  <si>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</si>
  <si>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</si>
  <si>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</si>
  <si>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</si>
  <si>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</si>
  <si>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</si>
  <si>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</si>
  <si>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</si>
  <si>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</si>
  <si>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</si>
  <si>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</si>
  <si>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</si>
  <si>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</si>
  <si>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</si>
  <si>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</si>
  <si>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</si>
  <si>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</si>
  <si>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</si>
  <si>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</si>
  <si>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</si>
  <si>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</si>
  <si>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</si>
  <si>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</si>
  <si>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</si>
  <si>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</si>
  <si>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</si>
  <si>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</si>
  <si>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</si>
  <si>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</si>
  <si>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</si>
  <si>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</si>
  <si>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</si>
  <si>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</si>
  <si>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</si>
  <si>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</si>
  <si>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</si>
  <si>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</si>
  <si>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</si>
  <si>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</si>
  <si>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</si>
  <si>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</si>
  <si>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</si>
  <si>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</si>
  <si>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</si>
  <si>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</si>
  <si>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</si>
  <si>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</si>
  <si>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</si>
  <si>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</si>
  <si>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</si>
  <si>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</si>
  <si>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</si>
  <si>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</si>
  <si>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</si>
  <si>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</si>
  <si>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</si>
  <si>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</si>
  <si>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</si>
  <si>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</si>
  <si>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</si>
  <si>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</si>
  <si>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</si>
  <si>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</si>
  <si>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</si>
  <si>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</si>
  <si>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</si>
  <si>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</si>
  <si>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</si>
  <si>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</si>
  <si>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</si>
  <si>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</si>
  <si>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</si>
  <si>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</si>
  <si>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</si>
  <si>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</si>
  <si>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</si>
  <si>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</si>
  <si>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</si>
  <si>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</si>
  <si>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</si>
  <si>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</si>
  <si>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</si>
  <si>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</si>
  <si>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</si>
  <si>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</si>
  <si>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</si>
  <si>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</si>
  <si>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</si>
  <si>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</si>
  <si>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</si>
  <si>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</si>
  <si>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</si>
  <si>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</si>
  <si>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</si>
  <si>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</si>
  <si>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</si>
  <si>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</si>
  <si>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</si>
  <si>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</si>
  <si>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</si>
  <si>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</si>
  <si>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</si>
  <si>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</si>
  <si>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</si>
  <si>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</si>
  <si>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</si>
  <si>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</si>
  <si>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</si>
  <si>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</si>
  <si>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</si>
  <si>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</si>
  <si>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</si>
  <si>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</si>
  <si>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</si>
  <si>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</si>
  <si>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</si>
  <si>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</si>
  <si>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</si>
  <si>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</si>
  <si>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</si>
  <si>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</si>
  <si>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</si>
  <si>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</si>
  <si>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</si>
  <si>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</si>
  <si>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</si>
  <si>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</si>
  <si>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</si>
  <si>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</si>
  <si>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</si>
  <si>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</si>
  <si>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</si>
  <si>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</si>
  <si>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</si>
  <si>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</si>
  <si>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</si>
  <si>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</si>
  <si>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</si>
  <si>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</si>
  <si>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</si>
  <si>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</si>
  <si>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</si>
  <si>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</si>
  <si>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</si>
  <si>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</si>
  <si>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</si>
  <si>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</si>
  <si>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</si>
  <si>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</si>
  <si>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</si>
  <si>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</si>
  <si>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</si>
  <si>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</si>
  <si>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</si>
  <si>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</si>
  <si>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</si>
  <si>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</si>
  <si>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</si>
  <si>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</si>
  <si>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</si>
  <si>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</si>
  <si>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</si>
  <si>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</si>
  <si>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</si>
  <si>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</si>
  <si>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</si>
  <si>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</si>
  <si>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</si>
  <si>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</si>
  <si>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</si>
  <si>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</si>
  <si>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</si>
  <si>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</si>
  <si>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</si>
  <si>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</si>
  <si>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</si>
  <si>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</si>
  <si>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</si>
  <si>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</si>
  <si>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</si>
  <si>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</si>
  <si>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</si>
  <si>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</si>
  <si>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</si>
  <si>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</si>
  <si>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</si>
  <si>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</si>
  <si>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</si>
  <si>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</si>
  <si>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</si>
  <si>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</si>
  <si>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</si>
  <si>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</si>
  <si>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</si>
  <si>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</si>
  <si>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</si>
  <si>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</si>
  <si>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</si>
  <si>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</si>
  <si>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</si>
  <si>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</si>
  <si>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</si>
  <si>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</si>
  <si>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</si>
  <si>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</si>
  <si>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</si>
  <si>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</si>
  <si>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</si>
  <si>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</si>
  <si>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</si>
  <si>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</si>
  <si>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</si>
  <si>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</si>
  <si>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</si>
  <si>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</si>
  <si>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</si>
  <si>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</si>
  <si>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</si>
  <si>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</si>
  <si>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</si>
  <si>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</si>
  <si>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</si>
  <si>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</si>
  <si>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</si>
  <si>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</si>
  <si>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</si>
  <si>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</si>
  <si>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</si>
  <si>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</si>
  <si>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</si>
  <si>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</si>
  <si>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</si>
  <si>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</si>
  <si>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</si>
  <si>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</si>
  <si>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</si>
  <si>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</si>
  <si>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</si>
  <si>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</si>
  <si>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</si>
  <si>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</si>
  <si>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</si>
  <si>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</si>
  <si>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</si>
  <si>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</si>
  <si>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</si>
  <si>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</si>
  <si>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</si>
  <si>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</si>
  <si>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</si>
  <si>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</si>
  <si>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</si>
  <si>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</si>
  <si>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</si>
  <si>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</si>
  <si>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</si>
  <si>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</si>
  <si>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</si>
  <si>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</si>
  <si>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</si>
  <si>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</si>
  <si>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</si>
  <si>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</si>
  <si>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</si>
  <si>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</si>
  <si>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</si>
  <si>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</si>
  <si>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</si>
  <si>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</si>
  <si>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</si>
  <si>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</si>
  <si>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</si>
  <si>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</si>
  <si>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</si>
  <si>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</si>
  <si>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</si>
  <si>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</si>
  <si>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</si>
  <si>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</si>
  <si>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</si>
  <si>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</si>
  <si>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</si>
  <si>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</si>
  <si>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</si>
  <si>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</si>
  <si>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</si>
  <si>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</si>
  <si>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</si>
  <si>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</si>
  <si>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</si>
  <si>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</si>
  <si>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</si>
  <si>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</si>
  <si>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</si>
  <si>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</si>
  <si>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</si>
  <si>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</si>
  <si>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</si>
  <si>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</si>
  <si>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</si>
  <si>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</si>
  <si>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</si>
  <si>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</si>
  <si>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</si>
  <si>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</si>
  <si>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</si>
  <si>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</si>
  <si>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</si>
  <si>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</si>
  <si>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</si>
  <si>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</si>
  <si>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</si>
  <si>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</si>
  <si>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</si>
  <si>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</si>
  <si>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</si>
  <si>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</si>
  <si>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</si>
  <si>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</si>
  <si>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</si>
  <si>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</si>
  <si>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</si>
  <si>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</si>
  <si>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</si>
  <si>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</si>
  <si>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</si>
  <si>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</si>
  <si>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</si>
  <si>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</si>
  <si>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</si>
  <si>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</si>
  <si>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</si>
  <si>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</si>
  <si>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</si>
  <si>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</si>
  <si>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</si>
  <si>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</si>
  <si>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</si>
  <si>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</si>
  <si>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</si>
  <si>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</si>
  <si>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</si>
  <si>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</si>
  <si>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</si>
  <si>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</si>
  <si>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</si>
  <si>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</si>
  <si>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</si>
  <si>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</si>
  <si>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</si>
  <si>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</si>
  <si>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</si>
  <si>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</si>
  <si>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</si>
  <si>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</si>
  <si>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</si>
  <si>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</si>
  <si>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</si>
  <si>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</si>
  <si>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</si>
  <si>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</si>
  <si>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</si>
  <si>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</si>
  <si>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</si>
  <si>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</si>
  <si>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</si>
  <si>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</si>
  <si>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</si>
  <si>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</si>
  <si>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</si>
  <si>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</si>
  <si>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</si>
  <si>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</si>
  <si>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</si>
  <si>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</si>
  <si>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</si>
  <si>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</si>
  <si>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</si>
  <si>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</si>
  <si>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</si>
  <si>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</si>
  <si>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</si>
  <si>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</si>
  <si>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</si>
  <si>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</si>
  <si>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</si>
  <si>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</si>
  <si>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</si>
  <si>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</si>
  <si>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</si>
  <si>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</si>
  <si>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</si>
  <si>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</si>
  <si>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</si>
  <si>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</si>
  <si>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</si>
  <si>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</si>
  <si>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</si>
  <si>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</si>
  <si>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</si>
  <si>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</si>
  <si>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</si>
  <si>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</si>
  <si>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</si>
  <si>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</si>
  <si>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</si>
  <si>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</si>
  <si>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</si>
  <si>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</si>
  <si>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</si>
  <si>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</si>
  <si>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</si>
  <si>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</si>
  <si>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</si>
  <si>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</si>
  <si>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</si>
  <si>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</si>
  <si>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</si>
  <si>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</si>
  <si>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</si>
  <si>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</si>
  <si>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</si>
  <si>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</si>
  <si>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</si>
  <si>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</si>
  <si>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</si>
  <si>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</si>
  <si>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</si>
  <si>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</si>
  <si>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</si>
  <si>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</si>
  <si>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</si>
  <si>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</si>
  <si>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</si>
  <si>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</si>
  <si>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</si>
  <si>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</si>
  <si>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</si>
  <si>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</si>
  <si>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</si>
  <si>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</si>
  <si>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</si>
  <si>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</si>
  <si>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</si>
  <si>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</si>
  <si>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</si>
  <si>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</si>
  <si>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</si>
  <si>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</si>
  <si>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</si>
  <si>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</si>
  <si>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</si>
  <si>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</si>
  <si>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</si>
  <si>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</si>
  <si>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</si>
  <si>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</si>
  <si>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</si>
  <si>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</si>
  <si>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</si>
  <si>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</si>
  <si>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</si>
  <si>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</si>
  <si>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</si>
  <si>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</si>
  <si>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</si>
  <si>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</si>
  <si>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</si>
  <si>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</si>
  <si>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</si>
  <si>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</si>
  <si>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</si>
  <si>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</si>
  <si>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</si>
  <si>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</si>
  <si>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</si>
  <si>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</si>
  <si>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</si>
  <si>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</si>
  <si>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</si>
  <si>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</si>
  <si>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</si>
  <si>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</si>
  <si>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</si>
  <si>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</si>
  <si>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</si>
  <si>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</si>
  <si>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</si>
  <si>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</si>
  <si>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</si>
  <si>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</si>
  <si>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</si>
  <si>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</si>
  <si>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</si>
  <si>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</si>
  <si>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</si>
  <si>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</si>
  <si>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</si>
  <si>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</si>
  <si>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</si>
  <si>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</si>
  <si>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</si>
  <si>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</si>
  <si>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</si>
  <si>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</si>
  <si>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</si>
  <si>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</si>
  <si>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</si>
  <si>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</si>
  <si>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</si>
  <si>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</si>
  <si>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</si>
  <si>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</si>
  <si>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</si>
  <si>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</si>
  <si>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</si>
  <si>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</si>
  <si>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</si>
  <si>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</si>
  <si>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</si>
  <si>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</si>
  <si>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</si>
  <si>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</si>
  <si>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</si>
  <si>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</si>
  <si>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</si>
  <si>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</si>
  <si>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</si>
  <si>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</si>
  <si>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</si>
  <si>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</si>
  <si>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</si>
  <si>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</si>
  <si>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</si>
  <si>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</si>
  <si>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</si>
  <si>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</si>
  <si>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</si>
  <si>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</si>
  <si>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</si>
  <si>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</si>
  <si>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</si>
  <si>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</si>
  <si>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</si>
  <si>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</si>
  <si>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</si>
  <si>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</si>
  <si>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</si>
  <si>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</si>
  <si>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</si>
  <si>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</si>
  <si>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</si>
  <si>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</si>
  <si>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</si>
  <si>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</si>
  <si>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</si>
  <si>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</si>
  <si>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</si>
  <si>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</si>
  <si>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</si>
  <si>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</si>
  <si>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</si>
  <si>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</si>
  <si>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</si>
  <si>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</si>
  <si>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</si>
  <si>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</si>
  <si>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</si>
  <si>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</si>
  <si>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</si>
  <si>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</si>
  <si>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</si>
  <si>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</si>
  <si>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</si>
  <si>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</si>
  <si>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</si>
  <si>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</si>
  <si>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</si>
  <si>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</si>
  <si>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</si>
  <si>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</si>
  <si>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</si>
  <si>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</si>
  <si>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</si>
  <si>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</si>
  <si>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</si>
  <si>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</si>
  <si>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</si>
  <si>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</si>
  <si>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</si>
  <si>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</si>
  <si>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</si>
  <si>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</si>
  <si>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</si>
  <si>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</si>
  <si>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</si>
  <si>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</si>
  <si>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</si>
  <si>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</si>
  <si>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</si>
  <si>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</si>
  <si>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</si>
  <si>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</si>
  <si>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</si>
  <si>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</si>
  <si>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</si>
  <si>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</si>
  <si>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</si>
  <si>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</si>
  <si>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</si>
  <si>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</si>
  <si>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</si>
  <si>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</si>
  <si>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</si>
  <si>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</si>
  <si>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</si>
  <si>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</si>
  <si>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</si>
  <si>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</si>
  <si>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</si>
  <si>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</si>
  <si>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</si>
  <si>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</si>
  <si>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</si>
  <si>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</si>
  <si>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</si>
  <si>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</si>
  <si>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</si>
  <si>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</si>
  <si>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</si>
  <si>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</si>
  <si>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</si>
  <si>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</si>
  <si>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</si>
  <si>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</si>
  <si>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</si>
  <si>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</si>
  <si>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</si>
  <si>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</si>
  <si>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</si>
  <si>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</si>
  <si>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</si>
  <si>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</si>
  <si>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</si>
  <si>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</si>
  <si>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</si>
  <si>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</si>
  <si>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</si>
  <si>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</si>
  <si>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</si>
  <si>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</si>
  <si>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</si>
  <si>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</si>
  <si>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</si>
  <si>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</si>
  <si>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</si>
  <si>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</si>
  <si>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</si>
  <si>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</si>
  <si>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</si>
  <si>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</si>
  <si>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</si>
  <si>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</si>
  <si>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</si>
  <si>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</si>
  <si>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</si>
  <si>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</si>
  <si>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</si>
  <si>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</si>
  <si>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</si>
  <si>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</si>
  <si>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</si>
  <si>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</si>
  <si>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</si>
  <si>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</si>
  <si>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</si>
  <si>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</si>
  <si>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</si>
  <si>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</si>
  <si>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</si>
  <si>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</si>
  <si>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</si>
  <si>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</si>
  <si>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</si>
  <si>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</si>
  <si>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</si>
  <si>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</si>
  <si>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</si>
  <si>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</si>
  <si>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</si>
  <si>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</si>
  <si>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</si>
  <si>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</si>
  <si>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</si>
  <si>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</si>
  <si>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</si>
  <si>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</si>
  <si>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</si>
  <si>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</si>
  <si>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</si>
  <si>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</si>
  <si>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</si>
  <si>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</si>
  <si>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</si>
  <si>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</si>
  <si>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</si>
  <si>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</si>
  <si>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</si>
  <si>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</si>
  <si>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</si>
  <si>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</si>
  <si>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</si>
  <si>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</si>
  <si>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</si>
  <si>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</si>
  <si>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</si>
  <si>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</si>
  <si>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</si>
  <si>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</si>
  <si>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</si>
  <si>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</si>
  <si>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</si>
  <si>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</si>
  <si>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</si>
  <si>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</si>
  <si>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</si>
  <si>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</si>
  <si>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</si>
  <si>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</si>
  <si>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</si>
  <si>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</si>
  <si>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</si>
  <si>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</si>
  <si>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</si>
  <si>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</si>
  <si>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</si>
  <si>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</si>
  <si>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</si>
  <si>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</si>
  <si>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</si>
  <si>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</si>
  <si>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</si>
  <si>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</si>
  <si>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</si>
  <si>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</si>
  <si>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</si>
  <si>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</si>
  <si>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</si>
  <si>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</si>
  <si>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</si>
  <si>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</si>
  <si>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</si>
  <si>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</si>
  <si>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</si>
  <si>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</si>
  <si>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</si>
  <si>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</si>
  <si>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</si>
  <si>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</si>
  <si>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</si>
  <si>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</si>
  <si>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</si>
  <si>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</si>
  <si>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</si>
  <si>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</si>
  <si>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</si>
  <si>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</si>
  <si>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</si>
  <si>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</si>
  <si>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</si>
  <si>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</si>
  <si>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</si>
  <si>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</si>
  <si>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</si>
  <si>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</si>
  <si>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</si>
  <si>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</si>
  <si>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</si>
  <si>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</si>
  <si>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</si>
  <si>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</si>
  <si>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</si>
  <si>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</si>
  <si>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</si>
  <si>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</si>
  <si>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</si>
  <si>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</si>
  <si>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</si>
  <si>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</si>
  <si>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</si>
  <si>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</si>
  <si>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</si>
  <si>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</si>
  <si>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</si>
  <si>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</si>
  <si>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</si>
  <si>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</si>
  <si>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</si>
  <si>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</si>
  <si>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</si>
  <si>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</si>
  <si>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</si>
  <si>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</si>
  <si>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</si>
  <si>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</si>
  <si>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</si>
  <si>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</si>
  <si>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</si>
  <si>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</si>
  <si>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</si>
  <si>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</si>
  <si>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</si>
  <si>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</si>
  <si>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</si>
  <si>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</si>
  <si>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</si>
  <si>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</si>
  <si>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</si>
  <si>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</si>
  <si>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</si>
  <si>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</si>
  <si>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</si>
  <si>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</si>
  <si>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</si>
  <si>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</si>
  <si>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</si>
  <si>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</si>
  <si>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</si>
  <si>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</si>
  <si>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</si>
  <si>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</si>
  <si>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</si>
  <si>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</si>
  <si>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</si>
  <si>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</si>
  <si>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</si>
  <si>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</si>
  <si>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</si>
  <si>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</si>
  <si>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</si>
  <si>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</si>
  <si>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</si>
  <si>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</si>
  <si>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</si>
  <si>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</si>
  <si>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</si>
  <si>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</si>
  <si>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</si>
  <si>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</si>
  <si>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</si>
  <si>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</si>
  <si>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</si>
  <si>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</si>
  <si>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</si>
  <si>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</si>
  <si>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</si>
  <si>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</si>
  <si>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</si>
  <si>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</si>
  <si>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</si>
  <si>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</si>
  <si>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</si>
  <si>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</si>
  <si>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</si>
  <si>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</si>
  <si>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</si>
  <si>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</si>
  <si>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</si>
  <si>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</si>
  <si>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</si>
  <si>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</si>
  <si>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</si>
  <si>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</si>
  <si>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</si>
  <si>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</si>
  <si>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</si>
  <si>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</si>
  <si>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</si>
  <si>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</si>
  <si>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</si>
  <si>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</si>
  <si>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</si>
  <si>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</si>
  <si>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</si>
  <si>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</si>
  <si>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</si>
  <si>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</si>
  <si>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</si>
  <si>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</si>
  <si>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</si>
  <si>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</si>
  <si>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</si>
  <si>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</si>
  <si>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</si>
  <si>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</si>
  <si>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</si>
  <si>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</si>
  <si>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</si>
  <si>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</si>
  <si>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</si>
  <si>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</si>
  <si>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</si>
  <si>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</si>
  <si>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</si>
  <si>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</si>
  <si>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</si>
  <si>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</si>
  <si>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</si>
  <si>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</si>
  <si>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</si>
  <si>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</si>
  <si>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</si>
  <si>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</si>
  <si>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</si>
  <si>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</si>
  <si>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</si>
  <si>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</si>
  <si>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</si>
  <si>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</si>
  <si>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</si>
  <si>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</si>
  <si>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</si>
  <si>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</si>
  <si>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</si>
  <si>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</si>
  <si>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</si>
  <si>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</si>
  <si>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</si>
  <si>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</si>
  <si>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</si>
  <si>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</si>
  <si>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</si>
  <si>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</si>
  <si>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</si>
  <si>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</si>
  <si>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</si>
  <si>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</si>
  <si>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</si>
  <si>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</si>
  <si>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</si>
  <si>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</si>
  <si>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</si>
  <si>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</si>
  <si>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</si>
  <si>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</si>
  <si>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</si>
  <si>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</si>
  <si>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</si>
  <si>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</si>
  <si>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</si>
  <si>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</si>
  <si>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</si>
  <si>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</si>
  <si>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</si>
  <si>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</si>
  <si>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</si>
  <si>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</si>
  <si>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</si>
  <si>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</si>
  <si>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</si>
  <si>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</si>
  <si>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</si>
  <si>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</si>
  <si>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</si>
  <si>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</si>
  <si>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</si>
  <si>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</si>
  <si>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</si>
  <si>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</si>
  <si>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</si>
  <si>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</si>
  <si>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</si>
  <si>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</si>
  <si>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</si>
  <si>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</si>
  <si>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</si>
  <si>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</si>
  <si>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</si>
  <si>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</si>
  <si>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</si>
  <si>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</si>
  <si>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</si>
  <si>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</si>
  <si>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</si>
  <si>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</si>
  <si>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</si>
  <si>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</si>
  <si>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</si>
  <si>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</si>
  <si>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</si>
  <si>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</si>
  <si>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</si>
  <si>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</si>
  <si>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</si>
  <si>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</si>
  <si>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</si>
  <si>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</si>
  <si>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</si>
  <si>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</si>
  <si>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</si>
  <si>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</si>
  <si>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</si>
  <si>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</si>
  <si>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</si>
  <si>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</si>
  <si>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</si>
  <si>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</si>
  <si>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</si>
  <si>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</si>
  <si>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</si>
  <si>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</si>
  <si>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</si>
  <si>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</si>
  <si>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</si>
  <si>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</si>
  <si>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</si>
  <si>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</si>
  <si>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</si>
  <si>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</si>
  <si>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</si>
  <si>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</si>
  <si>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</si>
  <si>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</si>
  <si>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</si>
  <si>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</si>
  <si>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</si>
  <si>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</si>
  <si>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</si>
  <si>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</si>
  <si>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</si>
  <si>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</si>
  <si>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</si>
  <si>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</si>
  <si>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</si>
  <si>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</si>
  <si>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</si>
  <si>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</si>
  <si>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</si>
  <si>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</si>
  <si>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</si>
  <si>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</si>
  <si>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</si>
  <si>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</si>
  <si>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</si>
  <si>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</si>
  <si>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</si>
  <si>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</si>
  <si>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</si>
  <si>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</si>
  <si>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</si>
  <si>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</si>
  <si>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</si>
  <si>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</si>
  <si>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</si>
  <si>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</si>
  <si>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</si>
  <si>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</si>
  <si>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</si>
  <si>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</si>
  <si>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</si>
  <si>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</si>
  <si>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</si>
  <si>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</si>
  <si>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</si>
  <si>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</si>
  <si>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</si>
  <si>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</si>
  <si>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</si>
  <si>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</si>
  <si>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</si>
  <si>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</si>
  <si>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</si>
  <si>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</si>
  <si>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</si>
  <si>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</si>
  <si>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</si>
  <si>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</si>
  <si>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</si>
  <si>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</si>
  <si>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</si>
  <si>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</si>
  <si>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</si>
  <si>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</si>
  <si>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</si>
  <si>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</si>
  <si>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</si>
  <si>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</si>
  <si>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</si>
  <si>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</si>
  <si>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</si>
  <si>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</si>
  <si>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</si>
  <si>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</si>
  <si>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</si>
  <si>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</si>
  <si>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</si>
  <si>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</si>
  <si>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</si>
  <si>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</si>
  <si>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</si>
  <si>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</si>
  <si>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</si>
  <si>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</si>
  <si>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</si>
  <si>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</si>
  <si>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</si>
  <si>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</si>
  <si>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</si>
  <si>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</si>
  <si>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</si>
  <si>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</si>
  <si>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</si>
  <si>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</si>
  <si>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</si>
  <si>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</si>
  <si>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</si>
  <si>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</si>
  <si>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</si>
  <si>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</si>
  <si>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</si>
  <si>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</si>
  <si>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</si>
  <si>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</si>
  <si>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</si>
  <si>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</si>
  <si>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</si>
  <si>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</si>
  <si>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</si>
  <si>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</si>
  <si>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</si>
  <si>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</si>
  <si>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</si>
  <si>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</si>
  <si>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</si>
  <si>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</si>
  <si>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</si>
  <si>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</si>
  <si>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</si>
  <si>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</si>
  <si>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</si>
  <si>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</si>
  <si>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</si>
  <si>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</si>
  <si>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</si>
  <si>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</si>
  <si>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</si>
  <si>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</si>
  <si>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</si>
  <si>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</si>
  <si>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</si>
  <si>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</si>
  <si>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</si>
  <si>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</si>
  <si>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</si>
  <si>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</si>
  <si>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</si>
  <si>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</si>
  <si>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</si>
  <si>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</si>
  <si>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</si>
  <si>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</si>
  <si>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</si>
  <si>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</si>
  <si>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</si>
  <si>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</si>
  <si>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</si>
  <si>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</si>
  <si>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</si>
  <si>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</si>
  <si>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</si>
  <si>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</si>
  <si>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</si>
  <si>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</si>
  <si>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</si>
  <si>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</si>
  <si>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</si>
  <si>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</si>
  <si>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</si>
  <si>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</si>
  <si>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</si>
  <si>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</si>
  <si>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</si>
  <si>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</si>
  <si>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</si>
  <si>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</si>
  <si>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</si>
  <si>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</si>
  <si>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</si>
  <si>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</si>
  <si>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</si>
  <si>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</si>
  <si>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</si>
  <si>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</si>
  <si>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</si>
  <si>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</si>
  <si>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</si>
  <si>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</si>
  <si>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</si>
  <si>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</si>
  <si>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</si>
  <si>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</si>
  <si>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</si>
  <si>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</si>
  <si>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</si>
  <si>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</si>
  <si>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</si>
  <si>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</si>
  <si>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</si>
  <si>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</si>
  <si>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</si>
  <si>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</si>
  <si>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</si>
  <si>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</si>
  <si>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</si>
  <si>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</si>
  <si>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</si>
  <si>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</si>
  <si>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</si>
  <si>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</si>
  <si>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</si>
  <si>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</si>
  <si>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</si>
  <si>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</si>
  <si>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</si>
  <si>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</si>
  <si>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</si>
  <si>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</si>
  <si>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</si>
  <si>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</si>
  <si>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</si>
  <si>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</si>
  <si>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</si>
  <si>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</si>
  <si>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</si>
  <si>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</si>
  <si>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</si>
  <si>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</si>
  <si>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</si>
  <si>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</si>
  <si>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</si>
  <si>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</si>
  <si>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</si>
  <si>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</si>
  <si>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</si>
  <si>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</si>
  <si>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</si>
  <si>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</si>
  <si>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</si>
  <si>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</si>
  <si>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</si>
  <si>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</si>
  <si>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</si>
  <si>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</si>
  <si>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</si>
  <si>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</si>
  <si>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</si>
  <si>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</si>
  <si>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</si>
  <si>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</si>
  <si>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</si>
  <si>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</si>
  <si>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</si>
  <si>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</si>
  <si>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</si>
  <si>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</si>
  <si>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</si>
  <si>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</si>
  <si>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</si>
  <si>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</si>
  <si>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</si>
  <si>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</si>
  <si>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</si>
  <si>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</si>
  <si>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</si>
  <si>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</si>
  <si>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</si>
  <si>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</si>
  <si>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</si>
  <si>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</si>
  <si>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</si>
  <si>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</si>
  <si>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</si>
  <si>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</si>
  <si>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</si>
  <si>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</si>
  <si>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</si>
  <si>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</si>
  <si>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</si>
  <si>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</si>
  <si>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</si>
  <si>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</si>
  <si>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</si>
  <si>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</si>
  <si>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</si>
  <si>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</si>
  <si>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</si>
  <si>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</si>
  <si>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</si>
  <si>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</si>
  <si>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</si>
  <si>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</si>
  <si>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</si>
  <si>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</si>
  <si>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</si>
  <si>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</si>
  <si>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</si>
  <si>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</si>
  <si>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</si>
  <si>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</si>
  <si>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</si>
  <si>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</si>
  <si>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</si>
  <si>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</si>
  <si>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</si>
  <si>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</si>
  <si>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</si>
  <si>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</si>
  <si>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</si>
  <si>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</si>
  <si>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</si>
  <si>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</si>
  <si>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</si>
  <si>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</si>
  <si>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</si>
  <si>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</si>
  <si>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</si>
  <si>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</si>
  <si>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</si>
  <si>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</si>
  <si>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</si>
  <si>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</si>
  <si>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</si>
  <si>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</si>
  <si>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</si>
  <si>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</si>
  <si>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</si>
  <si>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</si>
  <si>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</si>
  <si>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</si>
  <si>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</si>
  <si>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</si>
  <si>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</si>
  <si>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</si>
  <si>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</si>
  <si>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</si>
  <si>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</si>
  <si>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</si>
  <si>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</si>
  <si>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</si>
  <si>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</si>
  <si>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</si>
  <si>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</si>
  <si>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</si>
  <si>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</si>
  <si>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</si>
  <si>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</si>
  <si>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</si>
  <si>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</si>
  <si>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</si>
  <si>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</si>
  <si>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</si>
  <si>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</si>
  <si>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</si>
  <si>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</si>
  <si>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</si>
  <si>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</si>
  <si>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</si>
  <si>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</si>
  <si>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</si>
  <si>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</si>
  <si>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</si>
  <si>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</si>
  <si>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</si>
  <si>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</si>
  <si>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</si>
  <si>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</si>
  <si>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</si>
  <si>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</si>
  <si>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</si>
  <si>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</si>
  <si>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</si>
  <si>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</si>
  <si>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</si>
  <si>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</si>
  <si>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</si>
  <si>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</si>
  <si>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</si>
  <si>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</si>
  <si>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</si>
  <si>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</si>
  <si>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</si>
  <si>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</si>
  <si>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</si>
  <si>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</si>
  <si>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</si>
  <si>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</si>
  <si>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</si>
  <si>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</si>
  <si>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</si>
  <si>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</si>
  <si>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</si>
  <si>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</si>
  <si>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</si>
  <si>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</si>
  <si>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</si>
  <si>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</si>
  <si>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</si>
  <si>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</si>
  <si>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</si>
  <si>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</si>
  <si>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</si>
  <si>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</si>
  <si>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</si>
  <si>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</si>
  <si>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</si>
  <si>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</si>
  <si>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</si>
  <si>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</si>
  <si>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</si>
  <si>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</si>
  <si>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</si>
  <si>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</si>
  <si>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</si>
  <si>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</si>
  <si>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</si>
  <si>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</si>
  <si>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</si>
  <si>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</si>
  <si>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</si>
  <si>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</si>
  <si>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</si>
  <si>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</si>
  <si>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</si>
  <si>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</si>
  <si>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</si>
  <si>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</si>
  <si>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</si>
  <si>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</si>
  <si>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</si>
  <si>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</si>
  <si>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</si>
  <si>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</si>
  <si>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</si>
  <si>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</si>
  <si>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</si>
  <si>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</si>
  <si>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</si>
  <si>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</si>
  <si>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</si>
  <si>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</si>
  <si>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</si>
  <si>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</si>
  <si>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</si>
  <si>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</si>
  <si>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</si>
  <si>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</si>
  <si>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</si>
  <si>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</si>
  <si>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</si>
  <si>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</si>
  <si>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</si>
  <si>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</si>
  <si>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</si>
  <si>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</si>
  <si>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</si>
  <si>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</si>
  <si>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</si>
  <si>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</si>
  <si>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</si>
  <si>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</si>
  <si>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</si>
  <si>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</si>
  <si>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</si>
  <si>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</si>
  <si>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</si>
  <si>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</si>
  <si>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</si>
  <si>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</si>
  <si>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</si>
  <si>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</si>
  <si>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</si>
  <si>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</si>
  <si>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</si>
  <si>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</si>
  <si>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</si>
  <si>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</si>
  <si>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</si>
  <si>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</si>
  <si>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</si>
  <si>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</si>
  <si>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</si>
  <si>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</si>
  <si>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</si>
  <si>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</si>
  <si>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</si>
  <si>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</si>
  <si>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</si>
  <si>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</si>
  <si>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</si>
  <si>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</si>
  <si>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</si>
  <si>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</si>
  <si>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</si>
  <si>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</si>
  <si>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</si>
  <si>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</si>
  <si>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</si>
  <si>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</si>
  <si>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</si>
  <si>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</si>
  <si>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</si>
  <si>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</si>
  <si>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</si>
  <si>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</si>
  <si>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</si>
  <si>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</si>
  <si>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</si>
  <si>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</si>
  <si>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</si>
  <si>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</si>
  <si>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</si>
  <si>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</si>
  <si>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</si>
  <si>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</si>
  <si>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</si>
  <si>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</si>
  <si>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</si>
  <si>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</si>
  <si>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</si>
  <si>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</si>
  <si>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</si>
  <si>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</si>
  <si>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</si>
  <si>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</si>
  <si>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</si>
  <si>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</si>
  <si>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</si>
  <si>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</si>
  <si>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</si>
  <si>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</si>
  <si>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</si>
  <si>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</si>
  <si>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</si>
  <si>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</si>
  <si>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</si>
  <si>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</si>
  <si>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</si>
  <si>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</si>
  <si>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</si>
  <si>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</si>
  <si>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</si>
  <si>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</si>
  <si>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</si>
  <si>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</si>
  <si>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</si>
  <si>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</si>
  <si>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</si>
  <si>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</si>
  <si>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</si>
  <si>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</si>
  <si>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</si>
  <si>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</si>
  <si>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</si>
  <si>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</si>
  <si>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</si>
  <si>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</si>
  <si>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</si>
  <si>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</si>
  <si>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</si>
  <si>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</si>
  <si>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</si>
  <si>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</si>
  <si>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</si>
  <si>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</si>
  <si>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</si>
  <si>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</si>
  <si>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</si>
  <si>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</si>
  <si>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</si>
  <si>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</si>
  <si>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</si>
  <si>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</si>
  <si>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</si>
  <si>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</si>
  <si>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</si>
  <si>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</si>
  <si>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</si>
  <si>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</si>
  <si>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</si>
  <si>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</si>
  <si>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</si>
  <si>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</si>
  <si>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</si>
  <si>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</si>
  <si>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</si>
  <si>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</si>
  <si>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</si>
  <si>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</si>
  <si>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</si>
  <si>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</si>
  <si>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</si>
  <si>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</si>
  <si>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</si>
  <si>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</si>
  <si>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</si>
  <si>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</si>
  <si>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</si>
  <si>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</si>
  <si>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</si>
  <si>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</si>
  <si>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</si>
  <si>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</si>
  <si>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</si>
  <si>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</si>
  <si>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</si>
  <si>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</si>
  <si>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</si>
  <si>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</si>
  <si>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</si>
  <si>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</si>
  <si>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</si>
  <si>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</si>
  <si>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</si>
  <si>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</si>
  <si>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</si>
  <si>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</si>
  <si>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</si>
  <si>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</si>
  <si>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</si>
  <si>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</si>
  <si>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</si>
  <si>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</si>
  <si>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</si>
  <si>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</si>
  <si>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</si>
  <si>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</si>
  <si>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</si>
  <si>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</si>
  <si>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</si>
  <si>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</si>
  <si>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</si>
  <si>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</si>
  <si>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</si>
  <si>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</si>
  <si>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</si>
  <si>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</si>
  <si>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</si>
  <si>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</si>
  <si>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</si>
  <si>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</si>
  <si>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</si>
  <si>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</si>
  <si>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</si>
  <si>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</si>
  <si>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</si>
  <si>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</si>
  <si>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</si>
  <si>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</si>
  <si>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</si>
  <si>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</si>
  <si>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</si>
  <si>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</si>
  <si>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</si>
  <si>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</si>
  <si>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</si>
  <si>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</si>
  <si>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</si>
  <si>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</si>
  <si>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</si>
  <si>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</si>
  <si>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</si>
  <si>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</si>
  <si>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</si>
  <si>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</si>
  <si>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</si>
  <si>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</si>
  <si>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</si>
  <si>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</si>
  <si>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</si>
  <si>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</si>
  <si>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</si>
  <si>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</si>
  <si>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</si>
  <si>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</si>
  <si>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</si>
  <si>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</si>
  <si>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</si>
  <si>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</si>
  <si>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</si>
  <si>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</si>
  <si>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</si>
  <si>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</si>
  <si>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</si>
  <si>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</si>
  <si>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</si>
  <si>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</si>
  <si>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</si>
  <si>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</si>
  <si>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</si>
  <si>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</si>
  <si>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</si>
  <si>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</si>
  <si>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</si>
  <si>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</si>
  <si>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</si>
  <si>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</si>
  <si>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</si>
  <si>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</si>
  <si>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</si>
  <si>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</si>
  <si>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</si>
  <si>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</si>
  <si>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</si>
  <si>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</si>
  <si>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</si>
  <si>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</si>
  <si>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</si>
  <si>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</si>
  <si>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</si>
  <si>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</si>
  <si>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</si>
  <si>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</si>
  <si>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</si>
  <si>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</si>
  <si>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</si>
  <si>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</si>
  <si>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</si>
  <si>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</si>
  <si>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</si>
  <si>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</si>
  <si>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</si>
  <si>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</si>
  <si>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</si>
  <si>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</si>
  <si>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</si>
  <si>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</si>
  <si>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</si>
  <si>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</si>
  <si>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</si>
  <si>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</si>
  <si>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</si>
  <si>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</si>
  <si>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</si>
  <si>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</si>
  <si>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</si>
  <si>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</si>
  <si>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</si>
  <si>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</si>
  <si>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</si>
  <si>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</si>
  <si>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</si>
  <si>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</si>
  <si>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</si>
  <si>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</si>
  <si>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</si>
  <si>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</si>
  <si>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</si>
  <si>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</si>
  <si>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</si>
  <si>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</si>
  <si>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</si>
  <si>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</si>
  <si>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</si>
  <si>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</si>
  <si>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</si>
  <si>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</si>
  <si>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</si>
  <si>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</si>
  <si>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</si>
  <si>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</si>
  <si>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</si>
  <si>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</si>
  <si>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</si>
  <si>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</si>
  <si>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</si>
  <si>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</si>
  <si>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</si>
  <si>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</si>
  <si>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</si>
  <si>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</si>
  <si>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</si>
  <si>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</si>
  <si>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</si>
  <si>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</si>
  <si>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</si>
  <si>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</si>
  <si>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</si>
  <si>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</si>
  <si>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</si>
  <si>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</si>
  <si>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</si>
  <si>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</si>
  <si>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</si>
  <si>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</si>
  <si>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</si>
  <si>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</si>
  <si>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</si>
  <si>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</si>
  <si>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</si>
  <si>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</si>
  <si>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</si>
  <si>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</si>
  <si>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</si>
  <si>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</si>
  <si>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</si>
  <si>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</si>
  <si>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</si>
  <si>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</si>
  <si>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</si>
  <si>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</si>
  <si>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</si>
  <si>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</si>
  <si>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</si>
  <si>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</si>
  <si>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</si>
  <si>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</si>
  <si>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</si>
  <si>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</si>
  <si>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</si>
  <si>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</si>
  <si>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</si>
  <si>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</si>
  <si>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</si>
  <si>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</si>
  <si>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</si>
  <si>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</si>
  <si>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</si>
  <si>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</si>
  <si>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</si>
  <si>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</si>
  <si>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</si>
  <si>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</si>
  <si>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</si>
  <si>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</si>
  <si>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</si>
  <si>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</si>
  <si>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</si>
  <si>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</si>
  <si>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</si>
  <si>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</si>
  <si>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</si>
  <si>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</si>
  <si>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</si>
  <si>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</si>
  <si>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</si>
  <si>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</si>
  <si>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</si>
  <si>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</si>
  <si>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</si>
  <si>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</si>
  <si>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</si>
  <si>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</si>
  <si>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</si>
  <si>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</si>
  <si>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</si>
  <si>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</si>
  <si>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</si>
  <si>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</si>
  <si>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</si>
  <si>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</si>
  <si>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</si>
  <si>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</si>
  <si>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</si>
  <si>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</si>
  <si>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</si>
  <si>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</si>
  <si>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</si>
  <si>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</si>
  <si>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</si>
  <si>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</si>
  <si>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</si>
  <si>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</si>
  <si>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</si>
  <si>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</si>
  <si>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</si>
  <si>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</si>
  <si>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</si>
  <si>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</si>
  <si>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</si>
  <si>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</si>
  <si>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</si>
  <si>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</si>
  <si>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</si>
  <si>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</si>
  <si>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</si>
  <si>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</si>
  <si>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</si>
  <si>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</si>
  <si>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</si>
  <si>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</si>
  <si>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</si>
  <si>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</si>
  <si>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</si>
  <si>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</si>
  <si>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</si>
  <si>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</si>
  <si>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</si>
  <si>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</si>
  <si>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</si>
  <si>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</si>
  <si>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</si>
  <si>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</si>
  <si>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</si>
  <si>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</si>
  <si>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</si>
  <si>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</si>
  <si>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</si>
  <si>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</si>
  <si>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</si>
  <si>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</si>
  <si>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</si>
  <si>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</si>
  <si>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</si>
  <si>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</si>
  <si>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</si>
  <si>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</si>
  <si>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</si>
  <si>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</si>
  <si>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</si>
  <si>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</si>
  <si>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</si>
  <si>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</si>
  <si>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</si>
  <si>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</si>
  <si>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</si>
  <si>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</si>
  <si>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</si>
  <si>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</si>
  <si>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</si>
  <si>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</si>
  <si>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</si>
  <si>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</si>
  <si>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</si>
  <si>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</si>
  <si>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</si>
  <si>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</si>
  <si>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</si>
  <si>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</si>
  <si>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</si>
  <si>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</si>
  <si>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</si>
  <si>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</si>
  <si>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</si>
  <si>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</si>
  <si>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</si>
  <si>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</si>
  <si>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</si>
  <si>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</si>
  <si>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</si>
  <si>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</si>
  <si>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</si>
  <si>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</si>
  <si>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</si>
  <si>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</si>
  <si>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</si>
  <si>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</si>
  <si>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</si>
  <si>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</si>
  <si>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</si>
  <si>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</si>
  <si>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</si>
  <si>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</si>
  <si>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</si>
  <si>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</si>
  <si>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</si>
  <si>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</si>
  <si>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</si>
  <si>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</si>
  <si>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</si>
  <si>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</si>
  <si>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</si>
  <si>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</si>
  <si>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</si>
  <si>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</si>
  <si>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</si>
  <si>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</si>
  <si>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</si>
  <si>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</si>
  <si>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</si>
  <si>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</si>
  <si>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</si>
  <si>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</si>
  <si>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</si>
  <si>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</si>
  <si>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</si>
  <si>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</si>
  <si>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</si>
  <si>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</si>
  <si>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</si>
  <si>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</si>
  <si>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</si>
  <si>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</si>
  <si>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</si>
  <si>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</si>
  <si>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</si>
  <si>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</si>
  <si>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</si>
  <si>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</si>
  <si>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</si>
  <si>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</si>
  <si>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</si>
  <si>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</si>
  <si>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</si>
  <si>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</si>
  <si>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</si>
  <si>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</si>
  <si>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</si>
  <si>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</si>
  <si>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</si>
  <si>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</si>
  <si>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</si>
  <si>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</si>
  <si>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</si>
  <si>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</si>
  <si>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</si>
  <si>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</si>
  <si>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</si>
  <si>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</si>
  <si>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</si>
  <si>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</si>
  <si>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</si>
  <si>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</si>
  <si>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</si>
  <si>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</si>
  <si>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</si>
  <si>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</si>
  <si>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</si>
  <si>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</si>
  <si>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</si>
  <si>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</si>
  <si>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</si>
  <si>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</si>
  <si>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</si>
  <si>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</si>
  <si>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</si>
  <si>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</si>
  <si>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</si>
  <si>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</si>
  <si>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</si>
  <si>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</si>
  <si>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</si>
  <si>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</si>
  <si>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</si>
  <si>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</si>
  <si>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</si>
  <si>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</si>
  <si>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</si>
  <si>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</si>
  <si>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</si>
  <si>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</si>
  <si>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</si>
  <si>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</si>
  <si>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</si>
  <si>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</si>
  <si>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</si>
  <si>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</si>
  <si>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</si>
  <si>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</si>
  <si>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</si>
  <si>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</si>
  <si>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</si>
  <si>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</si>
  <si>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</si>
  <si>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</si>
  <si>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</si>
  <si>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</si>
  <si>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</si>
  <si>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</si>
  <si>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</si>
  <si>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</si>
  <si>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</si>
  <si>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</si>
  <si>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</si>
  <si>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</si>
  <si>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</si>
  <si>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</si>
  <si>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</si>
  <si>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</si>
  <si>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</si>
  <si>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</si>
  <si>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</si>
  <si>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</si>
  <si>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</si>
  <si>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</si>
  <si>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</si>
  <si>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</si>
  <si>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</si>
  <si>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</si>
  <si>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</si>
  <si>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</si>
  <si>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</si>
  <si>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</si>
  <si>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</si>
  <si>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</si>
  <si>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</si>
  <si>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</si>
  <si>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</si>
  <si>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</si>
  <si>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</si>
  <si>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</si>
  <si>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</si>
  <si>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</si>
  <si>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</si>
  <si>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</si>
  <si>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</si>
  <si>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</si>
  <si>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</si>
  <si>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</si>
  <si>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</si>
  <si>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</si>
  <si>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</si>
  <si>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</si>
  <si>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</si>
  <si>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</si>
  <si>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</si>
  <si>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</si>
  <si>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</si>
  <si>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</si>
  <si>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</si>
  <si>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</si>
  <si>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</si>
  <si>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</si>
  <si>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</si>
  <si>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</si>
  <si>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</si>
  <si>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</si>
  <si>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</si>
  <si>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</si>
  <si>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</si>
  <si>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</si>
  <si>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</si>
  <si>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</si>
  <si>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</si>
  <si>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</si>
  <si>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</si>
  <si>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</si>
  <si>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</si>
  <si>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</si>
  <si>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</si>
  <si>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</si>
  <si>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</si>
  <si>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</si>
  <si>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</si>
  <si>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</si>
  <si>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</si>
  <si>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</si>
  <si>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</si>
  <si>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</si>
  <si>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</si>
  <si>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</si>
  <si>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</si>
  <si>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</si>
  <si>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</si>
  <si>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</si>
  <si>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</si>
  <si>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</si>
  <si>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</si>
  <si>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</si>
  <si>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</si>
  <si>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</si>
  <si>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</si>
  <si>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</si>
  <si>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</si>
  <si>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</si>
  <si>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</si>
  <si>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</si>
  <si>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</si>
  <si>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</si>
  <si>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</si>
  <si>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</si>
  <si>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</si>
  <si>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</si>
  <si>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</si>
  <si>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</si>
  <si>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</si>
  <si>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</si>
  <si>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</si>
  <si>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</si>
  <si>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</si>
  <si>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</si>
  <si>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</si>
  <si>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</si>
  <si>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</si>
  <si>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</si>
  <si>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</si>
  <si>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</si>
  <si>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</si>
  <si>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</si>
  <si>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</si>
  <si>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</si>
  <si>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</si>
  <si>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</si>
  <si>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</si>
  <si>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</si>
  <si>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</si>
  <si>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</si>
  <si>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</si>
  <si>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</si>
  <si>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</si>
  <si>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</si>
  <si>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</si>
  <si>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</si>
  <si>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</si>
  <si>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</si>
  <si>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</si>
  <si>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</si>
  <si>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</si>
  <si>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</si>
  <si>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</si>
  <si>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</si>
  <si>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</si>
  <si>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</si>
  <si>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</si>
  <si>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</si>
  <si>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</si>
  <si>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</si>
  <si>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</si>
  <si>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</si>
  <si>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</si>
  <si>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</si>
  <si>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</si>
  <si>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</si>
  <si>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</si>
  <si>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</si>
  <si>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</si>
  <si>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</si>
  <si>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</si>
  <si>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</si>
  <si>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</si>
  <si>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</si>
  <si>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</si>
  <si>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</si>
  <si>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</si>
  <si>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</si>
  <si>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</si>
  <si>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</si>
  <si>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</si>
  <si>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</si>
  <si>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</si>
  <si>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</si>
  <si>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</si>
  <si>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</si>
  <si>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</si>
  <si>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</si>
  <si>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</si>
  <si>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</si>
  <si>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</si>
  <si>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</si>
  <si>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</si>
  <si>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</si>
  <si>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</si>
  <si>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</si>
  <si>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</si>
  <si>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</si>
  <si>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</si>
  <si>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</si>
  <si>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</si>
  <si>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</si>
  <si>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</si>
  <si>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</si>
  <si>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</si>
  <si>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</si>
  <si>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</si>
  <si>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</si>
  <si>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</si>
  <si>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</si>
  <si>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</si>
  <si>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</si>
  <si>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</si>
  <si>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</si>
  <si>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</si>
  <si>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</si>
  <si>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</si>
  <si>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</si>
  <si>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</si>
  <si>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</si>
  <si>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</si>
  <si>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</si>
  <si>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</si>
  <si>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</si>
  <si>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</si>
  <si>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</si>
  <si>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</si>
  <si>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</si>
  <si>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</si>
  <si>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</si>
  <si>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</si>
  <si>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</si>
  <si>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</si>
  <si>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</si>
  <si>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</si>
  <si>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</si>
  <si>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</si>
  <si>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</si>
  <si>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</si>
  <si>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</si>
  <si>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</si>
  <si>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</si>
  <si>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</si>
  <si>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</si>
  <si>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</si>
  <si>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</si>
  <si>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</si>
  <si>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</si>
  <si>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</si>
  <si>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</si>
  <si>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</si>
  <si>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</si>
  <si>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</si>
  <si>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</si>
  <si>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</si>
  <si>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</si>
  <si>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</si>
  <si>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</si>
  <si>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</si>
  <si>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</si>
  <si>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</si>
  <si>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</si>
  <si>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</si>
  <si>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</si>
  <si>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</si>
  <si>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</si>
  <si>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</si>
  <si>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</si>
  <si>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</si>
  <si>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</si>
  <si>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</si>
  <si>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</si>
  <si>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</si>
  <si>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</si>
  <si>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</si>
  <si>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</si>
  <si>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</si>
  <si>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</si>
  <si>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</si>
  <si>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</si>
  <si>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</si>
  <si>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</si>
  <si>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</si>
  <si>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</si>
  <si>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</si>
  <si>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</si>
  <si>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</si>
  <si>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</si>
  <si>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</si>
  <si>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</si>
  <si>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</si>
  <si>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</si>
  <si>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</si>
  <si>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</si>
  <si>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</si>
  <si>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</si>
  <si>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</si>
  <si>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</si>
  <si>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</si>
  <si>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</si>
  <si>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</si>
  <si>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</si>
  <si>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</si>
  <si>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</si>
  <si>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</si>
  <si>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</si>
  <si>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</si>
  <si>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</si>
  <si>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</si>
  <si>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</si>
  <si>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</si>
  <si>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</si>
  <si>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</si>
  <si>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</si>
  <si>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</si>
  <si>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</si>
  <si>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</si>
  <si>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</si>
  <si>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</si>
  <si>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</si>
  <si>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</si>
  <si>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</si>
  <si>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</si>
  <si>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</si>
  <si>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</si>
  <si>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</si>
  <si>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</si>
  <si>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</si>
  <si>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</si>
  <si>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</si>
  <si>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</si>
  <si>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</si>
  <si>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</si>
  <si>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</si>
  <si>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</si>
  <si>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</si>
  <si>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</si>
  <si>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</si>
  <si>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</si>
  <si>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</si>
  <si>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</si>
  <si>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</si>
  <si>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</si>
  <si>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</si>
  <si>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</si>
  <si>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</si>
  <si>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</si>
  <si>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</si>
  <si>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</si>
  <si>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</si>
  <si>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</si>
  <si>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</si>
  <si>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</si>
  <si>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</si>
  <si>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</si>
  <si>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</si>
  <si>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</si>
  <si>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</si>
  <si>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</si>
  <si>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</si>
  <si>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</si>
  <si>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</si>
  <si>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</si>
  <si>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</si>
  <si>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</si>
  <si>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</si>
  <si>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</si>
  <si>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</si>
  <si>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</si>
  <si>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</si>
  <si>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</si>
  <si>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</si>
  <si>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</si>
  <si>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</si>
  <si>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</si>
  <si>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</si>
  <si>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</si>
  <si>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</si>
  <si>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</si>
  <si>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</si>
  <si>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</si>
  <si>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</si>
  <si>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</si>
  <si>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</si>
  <si>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</si>
  <si>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</si>
  <si>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</si>
  <si>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</si>
  <si>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</si>
  <si>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</si>
  <si>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</si>
  <si>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</si>
  <si>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</si>
  <si>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</si>
  <si>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</si>
  <si>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</si>
  <si>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</si>
  <si>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</si>
  <si>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</si>
  <si>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</si>
  <si>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</si>
  <si>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</si>
  <si>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</si>
  <si>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</si>
  <si>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</si>
  <si>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</si>
  <si>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</si>
  <si>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</si>
  <si>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</si>
  <si>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</si>
  <si>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</si>
  <si>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</si>
  <si>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</si>
  <si>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</si>
  <si>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</si>
  <si>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</si>
  <si>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</si>
  <si>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</si>
  <si>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</si>
  <si>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</si>
  <si>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</si>
  <si>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</si>
  <si>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</si>
  <si>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</si>
  <si>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</si>
  <si>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</si>
  <si>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</si>
  <si>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</si>
  <si>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</si>
  <si>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</si>
  <si>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</si>
  <si>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</si>
  <si>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</si>
  <si>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</si>
  <si>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</si>
  <si>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</si>
  <si>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</si>
  <si>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</si>
  <si>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</si>
  <si>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</si>
  <si>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</si>
  <si>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</si>
  <si>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</si>
  <si>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</si>
  <si>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</si>
  <si>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</si>
  <si>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</si>
  <si>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</si>
  <si>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</si>
  <si>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</si>
  <si>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</si>
  <si>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</si>
  <si>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</si>
  <si>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</si>
  <si>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</si>
  <si>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</si>
  <si>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</si>
  <si>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</si>
  <si>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</si>
  <si>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</si>
  <si>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</si>
  <si>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</si>
  <si>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</si>
  <si>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</si>
  <si>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</si>
  <si>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</si>
  <si>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</si>
  <si>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</si>
  <si>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</si>
  <si>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</si>
  <si>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</si>
  <si>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</si>
  <si>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</si>
  <si>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</si>
  <si>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</si>
  <si>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</si>
  <si>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</si>
  <si>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</si>
  <si>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</si>
  <si>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</si>
  <si>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</si>
  <si>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</si>
  <si>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</si>
  <si>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</si>
  <si>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</si>
  <si>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</si>
  <si>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</si>
  <si>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</si>
  <si>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</si>
  <si>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</si>
  <si>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</si>
  <si>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</si>
  <si>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</si>
  <si>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</si>
  <si>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</si>
  <si>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</si>
  <si>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</si>
  <si>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</si>
  <si>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</si>
  <si>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</si>
  <si>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</si>
  <si>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</si>
  <si>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</si>
  <si>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</si>
  <si>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</si>
  <si>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</si>
  <si>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</si>
  <si>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</si>
  <si>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</si>
  <si>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</si>
  <si>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</si>
  <si>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</si>
  <si>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</si>
  <si>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</si>
  <si>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</si>
  <si>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</si>
  <si>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</si>
  <si>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</si>
  <si>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</si>
  <si>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</si>
  <si>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</si>
  <si>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</si>
  <si>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</si>
  <si>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</si>
  <si>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</si>
  <si>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</si>
  <si>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</si>
  <si>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</si>
  <si>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</si>
  <si>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</si>
  <si>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</si>
  <si>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</si>
  <si>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</si>
  <si>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</si>
  <si>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</si>
  <si>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</si>
  <si>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</si>
  <si>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</si>
  <si>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</si>
  <si>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</si>
  <si>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</si>
  <si>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</si>
  <si>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</si>
  <si>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</si>
  <si>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</si>
  <si>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</si>
  <si>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</si>
  <si>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</si>
  <si>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</si>
  <si>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</si>
  <si>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</si>
  <si>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</si>
  <si>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</si>
  <si>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</si>
  <si>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</si>
  <si>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</si>
  <si>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</si>
  <si>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</si>
  <si>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</si>
  <si>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</si>
  <si>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</si>
  <si>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</si>
  <si>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</si>
  <si>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</si>
  <si>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</si>
  <si>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</si>
  <si>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</si>
  <si>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</si>
  <si>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</si>
  <si>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</si>
  <si>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</si>
  <si>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</si>
  <si>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</si>
  <si>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</si>
  <si>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</si>
  <si>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</si>
  <si>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</si>
  <si>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</si>
  <si>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</si>
  <si>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</si>
  <si>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</si>
  <si>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</si>
  <si>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</si>
  <si>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</si>
  <si>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</si>
  <si>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</si>
  <si>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</si>
  <si>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</si>
  <si>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</si>
  <si>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</si>
  <si>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</si>
  <si>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</si>
  <si>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</si>
  <si>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</si>
  <si>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</si>
  <si>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</si>
  <si>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</si>
  <si>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</si>
  <si>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</si>
  <si>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</si>
  <si>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</si>
  <si>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</si>
  <si>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</si>
  <si>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</si>
  <si>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</si>
  <si>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</si>
  <si>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</si>
  <si>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</si>
  <si>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</si>
  <si>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</si>
  <si>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</si>
  <si>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</si>
  <si>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</si>
  <si>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</si>
  <si>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</si>
  <si>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</si>
  <si>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</si>
  <si>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</si>
  <si>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</si>
  <si>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</si>
  <si>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</si>
  <si>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</si>
  <si>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</si>
  <si>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</si>
  <si>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</si>
  <si>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</si>
  <si>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</si>
  <si>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</si>
  <si>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</si>
  <si>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</si>
  <si>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</si>
  <si>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</si>
  <si>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</si>
  <si>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</si>
  <si>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</si>
  <si>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</si>
  <si>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</si>
  <si>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</si>
  <si>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</si>
  <si>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</si>
  <si>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</si>
  <si>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</si>
  <si>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</si>
  <si>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</si>
  <si>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</si>
  <si>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</si>
  <si>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</si>
  <si>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</si>
  <si>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</si>
  <si>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Scope: Solar to cater for all gadgets in facility</t>
  </si>
  <si>
    <t>INVOICE</t>
  </si>
  <si>
    <t>Victron GX Touch 50</t>
  </si>
  <si>
    <t>AUTOMATE</t>
  </si>
  <si>
    <t>JA Solar JAM66-S45 600 Watts Solar Panel</t>
  </si>
  <si>
    <t>600W Mono</t>
  </si>
  <si>
    <r>
      <rPr>
        <b/>
        <sz val="12"/>
        <color theme="1"/>
        <rFont val="Times New Roman"/>
        <family val="1"/>
      </rPr>
      <t>Warranty: 7</t>
    </r>
    <r>
      <rPr>
        <sz val="12"/>
        <color theme="1"/>
        <rFont val="Times New Roman"/>
        <family val="1"/>
      </rPr>
      <t xml:space="preserve"> year for battery, 5 years for inverter and accessories, 12 years for solar panels</t>
    </r>
  </si>
  <si>
    <r>
      <rPr>
        <b/>
        <sz val="12"/>
        <color theme="1"/>
        <rFont val="Times New Roman"/>
        <family val="1"/>
      </rPr>
      <t xml:space="preserve">Warranty: </t>
    </r>
    <r>
      <rPr>
        <sz val="12"/>
        <color theme="1"/>
        <rFont val="Times New Roman"/>
        <family val="1"/>
      </rPr>
      <t>10 years for battery, 5 years for inverter and accessories, 12 years for solar panels</t>
    </r>
  </si>
  <si>
    <r>
      <rPr>
        <b/>
        <sz val="12"/>
        <color theme="1"/>
        <rFont val="Times New Roman"/>
        <family val="1"/>
      </rPr>
      <t xml:space="preserve">Warranty: </t>
    </r>
    <r>
      <rPr>
        <sz val="12"/>
        <color theme="1"/>
        <rFont val="Times New Roman"/>
        <family val="1"/>
      </rPr>
      <t>1 year for battery, 5 years for inverter and accessories, 12 years for solar panels</t>
    </r>
  </si>
  <si>
    <r>
      <rPr>
        <b/>
        <sz val="12"/>
        <color theme="1"/>
        <rFont val="Times New Roman"/>
        <family val="1"/>
      </rPr>
      <t xml:space="preserve">Warranty: </t>
    </r>
    <r>
      <rPr>
        <sz val="12"/>
        <color theme="1"/>
        <rFont val="Times New Roman"/>
        <family val="1"/>
      </rPr>
      <t>5 years for inverter and accessories, 12 years for solar panels</t>
    </r>
  </si>
  <si>
    <t>Warranty: 7 year for battery, 5 years for inverter and accessories, 12 years for solar panels</t>
  </si>
  <si>
    <t>605W Mono</t>
  </si>
  <si>
    <t>JA Solar JAM66-S45 605 Watts Solar Panel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</si>
</sst>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1">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rgb="FF9C0006"/>
      </font>
      <fill>
        <patternFill>
          <bgColor rgb="FFFFC7CE"/>
        </patternFill>
      </fill>
    </dxf>
    <dxf>
      <font>
        <strike val="0"/>
        <color theme="8" tint="0.39994506668294322"/>
      </font>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0" dataDxfId="469">
  <autoFilter ref="B32:J50" xr:uid="{00000000-0009-0000-0100-000001000000}"/>
  <tableColumns count="9">
    <tableColumn id="1" xr3:uid="{A5A6DDE8-644E-B645-9B31-774C6797337A}" name="Ref A      1-Phase" dataDxfId="468"/>
    <tableColumn id="2" xr3:uid="{5D2C410F-BD87-9E49-95F1-4416B31F01CA}" name="Ref A      3-Phase" dataDxfId="467"/>
    <tableColumn id="3" xr3:uid="{DDA67CFB-0BF8-0D47-8177-27F0A393C879}" name="Ref B      1-Phase" dataDxfId="466"/>
    <tableColumn id="4" xr3:uid="{22F4E3A3-299A-B64D-8636-11BDF77B5419}" name="Ref B      3-Phase" dataDxfId="465"/>
    <tableColumn id="5" xr3:uid="{3E00CFF8-2195-5742-B8E3-25463BAD433E}" name="Ref C      1-Phase" dataDxfId="464"/>
    <tableColumn id="6" xr3:uid="{65AB633F-BECC-4E4A-9B00-006F478AFF70}" name="Ref C       3-Phase" dataDxfId="463"/>
    <tableColumn id="7" xr3:uid="{DBA997D8-96A1-1B47-A8CC-A9140FD62C59}" name="Ref E      1-Phase" dataDxfId="462"/>
    <tableColumn id="8" xr3:uid="{BC868A03-2C0B-7B4C-B087-A5E1350A5099}" name="Ref E       3-Phase" dataDxfId="461"/>
    <tableColumn id="9" xr3:uid="{56A9FE2A-81EE-7443-898C-C4DF0C51E914}" name="Cable Size" dataDxfId="46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9" dataDxfId="458">
  <autoFilter ref="B5:M27" xr:uid="{00000000-0009-0000-0100-000002000000}"/>
  <tableColumns count="12">
    <tableColumn id="1" xr3:uid="{5C06527D-77C9-B546-9AB2-6EC17F04B200}" name="Ref A      1-Phase" dataDxfId="457"/>
    <tableColumn id="2" xr3:uid="{9DB9C4F4-B5BE-3D42-9FA6-E719EA89B54D}" name="Ref A      3-Phase" dataDxfId="456"/>
    <tableColumn id="3" xr3:uid="{4F7686AF-D48B-C444-B41F-B9CE078C91ED}" name="Ref B      1-Phase" dataDxfId="455"/>
    <tableColumn id="4" xr3:uid="{C80BCB45-48A2-6649-91B7-EC4C30168FE6}" name="Ref B      3-Phase" dataDxfId="454"/>
    <tableColumn id="5" xr3:uid="{29B05CD9-1DBC-3649-BC36-854EE621D2B3}" name="Ref C      Touching 1-Phase Flat" dataDxfId="453"/>
    <tableColumn id="6" xr3:uid="{CEAECAB6-F10C-D144-89F6-D38D78A30974}" name="Ref C      Touching 3-Phase" dataDxfId="452"/>
    <tableColumn id="7" xr3:uid="{23A9B015-F0F1-A247-BB37-68A552781076}" name="Ref F      Touching 1-Phase Flat" dataDxfId="451"/>
    <tableColumn id="8" xr3:uid="{B1BF9084-22A0-2744-8735-C1271BF97214}" name="Ref F      Touching 3-Phase Flat" dataDxfId="450"/>
    <tableColumn id="9" xr3:uid="{C3645EAC-3AD3-1549-A27E-7BE1E6BE5E86}" name="Ref F      Touching 3-Phase Trefoil" dataDxfId="449"/>
    <tableColumn id="10" xr3:uid="{28F7DF2A-F36C-8B41-A5C4-947BA6644CCF}" name="Ref F      Spaced    Flat Horizontal" dataDxfId="448"/>
    <tableColumn id="11" xr3:uid="{314CF27A-AD57-7540-BE25-AA8988EA02CA}" name="Ref F      Spaced   Flat Vertical" dataDxfId="447"/>
    <tableColumn id="12" xr3:uid="{A2F6A710-73AF-6A4B-AD64-576FB8D4D121}" name="Cable Size" dataDxfId="44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5" dataDxfId="444">
  <autoFilter ref="B55:M68" xr:uid="{00000000-0009-0000-0100-000003000000}"/>
  <tableColumns count="12">
    <tableColumn id="1" xr3:uid="{8F56D565-4DBE-134B-A783-9E3202E43BD6}" name="Ref C      Touching 1-Phase Flat" dataDxfId="443"/>
    <tableColumn id="2" xr3:uid="{B4E810FA-0946-CE43-BAAC-9FFF8C869AB4}" name="Ref C      Touching 3-Phase Flat" dataDxfId="442"/>
    <tableColumn id="3" xr3:uid="{9505943B-4DB3-3249-B909-488D6AFB3261}" name="Ref F      Touching 1-Phase Flat" dataDxfId="441"/>
    <tableColumn id="4" xr3:uid="{9B4F775E-F876-AD47-B8B2-762C1787D834}" name="Ref F      Touching 3-Phase Flat" dataDxfId="440"/>
    <tableColumn id="5" xr3:uid="{70FD5798-BEAA-644A-ADA7-B483122AA72A}" name="Ref F      Touching 3-Phase Trefoil" dataDxfId="439"/>
    <tableColumn id="6" xr3:uid="{1D79B934-9CD2-C543-919C-9637F4CC509C}" name="Ref F      Spaced   D.C.   Horizontal" dataDxfId="438"/>
    <tableColumn id="7" xr3:uid="{AC056145-8E01-ED4F-91CC-4803354D17C8}" name="Ref F      Spaced   D.C.   Vertical" dataDxfId="437"/>
    <tableColumn id="8" xr3:uid="{4937B457-2102-FC42-B281-C6729DBFD3FD}" name="Ref F      Spaced     1-Phase   Horizontal" dataDxfId="436"/>
    <tableColumn id="9" xr3:uid="{D64FB8E3-0445-ED4C-B5F1-6B179D9D0B49}" name="Ref F      Spaced   1-Phase   Vertical" dataDxfId="435"/>
    <tableColumn id="10" xr3:uid="{61797ED1-B72E-DF4C-B81D-DBD99AD81D9B}" name="Ref F      Spaced     3-Phase   Horizontal" dataDxfId="434"/>
    <tableColumn id="11" xr3:uid="{D60525F3-3629-7C4C-B5D3-ED38803EC137}" name="Ref F      Spaced     3-Phase   Vertical" dataDxfId="433"/>
    <tableColumn id="12" xr3:uid="{CB42BC2B-CC8D-F04F-B50E-9AE44768EC45}" name="Cable Size" dataDxfId="4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1" dataDxfId="430">
  <autoFilter ref="B73:H90" xr:uid="{00000000-0009-0000-0100-000004000000}"/>
  <tableColumns count="7">
    <tableColumn id="1" xr3:uid="{4CBC3141-7EF2-E44F-B44A-CB40591B5906}" name="Ref C      1-Phase" dataDxfId="429"/>
    <tableColumn id="2" xr3:uid="{6F6E3EF0-8496-2E4B-9178-A9144373A78B}" name="Ref C     3-Phase" dataDxfId="428"/>
    <tableColumn id="3" xr3:uid="{F65744A9-E645-1343-B427-E350DC2DD900}" name="Ref E      1-Phase" dataDxfId="427"/>
    <tableColumn id="4" xr3:uid="{33F323D5-AB20-C44C-82F9-4236AC584AC0}" name="Ref E      3-Phase" dataDxfId="426"/>
    <tableColumn id="5" xr3:uid="{6E88914E-E8DE-6B47-888E-54BDED9D9CCC}" name="Ref D      1-Phase2" dataDxfId="425"/>
    <tableColumn id="6" xr3:uid="{CC09EA98-FD58-A14E-BCBC-BE1963B4E391}" name="Ref D       3-Phase" dataDxfId="424"/>
    <tableColumn id="9" xr3:uid="{610C94DD-7FD7-7545-85B6-A79F566866FD}" name="Cable Size" dataDxfId="42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2" dataDxfId="421">
  <autoFilter ref="B95:I102" xr:uid="{00000000-0009-0000-0100-000005000000}"/>
  <tableColumns count="8">
    <tableColumn id="1" xr3:uid="{8FB351C3-C113-2946-A5C8-9C16DF222FA2}" name="Method 100" dataDxfId="420"/>
    <tableColumn id="2" xr3:uid="{5C732C79-2C0A-A745-895C-C450A0445D07}" name="Method 101" dataDxfId="419"/>
    <tableColumn id="3" xr3:uid="{28A94422-D28E-0A42-AEB1-81DA8253B205}" name="Method 102" dataDxfId="418"/>
    <tableColumn id="4" xr3:uid="{FA300742-14C1-C742-BAFA-0A05A3116FCC}" name="Method 103" dataDxfId="417"/>
    <tableColumn id="5" xr3:uid="{F42C8BC2-9646-D94F-9CFD-5F752EE81F6F}" name="Ref C      " dataDxfId="416"/>
    <tableColumn id="6" xr3:uid="{63CCA8E7-8F73-A74C-AC0D-1A595CF2066F}" name="Ref A" dataDxfId="415"/>
    <tableColumn id="11" xr3:uid="{19E2CE50-0627-2441-9B42-1CEBBAC201C0}" name="Voltage Drop" dataDxfId="414"/>
    <tableColumn id="12" xr3:uid="{DCFDE463-2F30-A745-83D6-50242C7B5E2E}" name="Cable Size" dataDxfId="41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2" dataDxfId="411">
  <autoFilter ref="B107:M129" xr:uid="{00000000-0009-0000-0100-000006000000}"/>
  <tableColumns count="12">
    <tableColumn id="1" xr3:uid="{69876B71-738A-4843-B22F-4678EA2DFFBD}" name="Ref A      1-Phase" dataDxfId="410"/>
    <tableColumn id="2" xr3:uid="{0584E925-BABB-154B-909C-59D606F02965}" name="Ref A      3-Phase" dataDxfId="409"/>
    <tableColumn id="3" xr3:uid="{A3C314AC-AC7C-DE46-AD29-4C881941345E}" name="Ref B      1-Phase" dataDxfId="408"/>
    <tableColumn id="4" xr3:uid="{2027E9C0-B081-764A-92B9-3425DAB598FA}" name="Ref B      3-Phase" dataDxfId="407"/>
    <tableColumn id="5" xr3:uid="{881EC58B-27EC-C740-8104-21DB488464FA}" name="Ref C      Touching 1-Phase Flat" dataDxfId="406"/>
    <tableColumn id="6" xr3:uid="{1122F6BB-146A-4E42-B356-AE6DF575EADA}" name="Ref C      Touching 3-Phase" dataDxfId="405"/>
    <tableColumn id="7" xr3:uid="{F78FB527-5C4C-D849-B4C0-892CF0DBFFDF}" name="Ref F      Touching 1-Phase Flat" dataDxfId="404"/>
    <tableColumn id="8" xr3:uid="{BC97B3AE-77A7-C847-A15E-FD131691FD4A}" name="Ref F      Touching 3-Phase Flat" dataDxfId="403"/>
    <tableColumn id="9" xr3:uid="{FB8F73BA-6EF6-5147-BEF9-6B6069576E11}" name="Ref F      Touching 3-Phase Trefoil" dataDxfId="402"/>
    <tableColumn id="10" xr3:uid="{4A8C5A2F-1E67-2E43-9627-F1FF6A758159}" name="Ref F      Spaced   Flat Horizontal" dataDxfId="401"/>
    <tableColumn id="11" xr3:uid="{F7E9141A-6CDC-0147-9BB9-AA2C96EE1BFB}" name="Ref F      Spaced   Flat Vertical" dataDxfId="400"/>
    <tableColumn id="12" xr3:uid="{098BEAAB-704A-3047-896C-FCC18998BF4B}" name="Cable Size" dataDxfId="39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8" dataDxfId="397">
  <autoFilter ref="B134:J152" xr:uid="{00000000-0009-0000-0100-000007000000}"/>
  <tableColumns count="9">
    <tableColumn id="1" xr3:uid="{F2AC4F0A-8F37-E640-BFDA-3E7ADBB12ABA}" name="Ref A      1-Phase" dataDxfId="396"/>
    <tableColumn id="2" xr3:uid="{7BC4515A-B88B-8947-99FB-F0D78629F4D7}" name="Ref A      3-Phase" dataDxfId="395"/>
    <tableColumn id="3" xr3:uid="{706E4CE4-FBDB-2443-839E-56841473F7EA}" name="Ref B      1-Phase" dataDxfId="394"/>
    <tableColumn id="4" xr3:uid="{F89297AC-B01A-C443-A753-0312BC5644F7}" name="Ref B      3-Phase" dataDxfId="393"/>
    <tableColumn id="5" xr3:uid="{2F640B1A-FC15-E541-8B29-98C16486B789}" name="Ref C      1-Phase" dataDxfId="392"/>
    <tableColumn id="6" xr3:uid="{2819E63D-1391-6346-8FD7-E6CDA6F3D277}" name="Ref C      3-Phase" dataDxfId="391"/>
    <tableColumn id="7" xr3:uid="{39EFFEAC-971D-124B-BE7D-1891681D8B09}" name="Ref E      1-Phase" dataDxfId="390"/>
    <tableColumn id="8" xr3:uid="{6BFA4C82-5B3E-F345-ACD2-80292358D991}" name="Ref E     3-Phase" dataDxfId="389"/>
    <tableColumn id="9" xr3:uid="{BFF7D58E-270E-6745-8DC1-E314C93EB662}" name="Cable Size" dataDxfId="388"/>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7" dataDxfId="386">
  <autoFilter ref="B157:M170" xr:uid="{00000000-0009-0000-0100-000008000000}"/>
  <tableColumns count="12">
    <tableColumn id="1" xr3:uid="{82CEC370-C125-F940-A4D7-6254549BDD3D}" name="Ref C      Touching 1-Phase Flat" dataDxfId="385"/>
    <tableColumn id="2" xr3:uid="{068FCE23-09BF-514D-B68F-74CE7E133243}" name="Ref C      Touching 3-Phase Flat" dataDxfId="384"/>
    <tableColumn id="3" xr3:uid="{E8CCC19E-5185-DB4A-9357-6438BEA9BC0A}" name="Ref F      Touching 1-Phase Flat" dataDxfId="383"/>
    <tableColumn id="4" xr3:uid="{9A690EFF-14BB-104E-B006-BCD1FFD99761}" name="Ref F      Touching 3-Phase Flat" dataDxfId="382"/>
    <tableColumn id="5" xr3:uid="{0BAF8325-0E0C-2B4E-9EC5-31845BF42D8D}" name="Ref F      Touching 3-Phase Trefoil" dataDxfId="381"/>
    <tableColumn id="6" xr3:uid="{BBF3BFF1-A03F-164C-ACEE-61D71FD9B26A}" name="Ref F      Spaced   D.C.   Horizontal" dataDxfId="380"/>
    <tableColumn id="7" xr3:uid="{7A2369B8-A87E-204B-B36D-A203DC118AAF}" name="Ref F      Spaced   D.C.   Vertical" dataDxfId="379"/>
    <tableColumn id="8" xr3:uid="{9C855780-7BFC-4648-9469-EFB84E90B69A}" name="Ref F      Spaced     1-Phase   Horizontal" dataDxfId="378"/>
    <tableColumn id="9" xr3:uid="{602498A4-0F4B-214D-B336-00FCADEE478B}" name="Ref F      Spaced   1-Phase   Vertical" dataDxfId="377"/>
    <tableColumn id="10" xr3:uid="{FD44C38F-72DA-A54C-A720-E7E458934B10}" name="Ref F      Spaced     3-Phase   Horizontal" dataDxfId="376"/>
    <tableColumn id="11" xr3:uid="{525CA405-9E96-154B-A391-06539FFAA2CF}" name="Ref F      Spaced     3-Phase   Vertical" dataDxfId="375"/>
    <tableColumn id="12" xr3:uid="{0B90640E-86E9-E342-AA6E-9FF42D688682}" name="Cable Size" dataDxfId="374"/>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3" dataDxfId="372">
  <autoFilter ref="B175:H192" xr:uid="{00000000-0009-0000-0100-000009000000}"/>
  <tableColumns count="7">
    <tableColumn id="1" xr3:uid="{D4F598C6-F774-A245-9243-2B4B03CD40D2}" name="Ref C      1-Phase" dataDxfId="371"/>
    <tableColumn id="2" xr3:uid="{04C29071-6D86-8440-878B-F7B1BB6E2E27}" name="Ref C     3-Phase" dataDxfId="370"/>
    <tableColumn id="3" xr3:uid="{F21D7E28-3152-9A43-95F2-2B869937953F}" name="Ref E      1-Phase" dataDxfId="369"/>
    <tableColumn id="4" xr3:uid="{F98FC7C4-C27D-7642-8297-8E5EE5E4F817}" name="Ref E      3-Phase" dataDxfId="368"/>
    <tableColumn id="5" xr3:uid="{50D5D0E9-4216-D74E-83B0-7484886EB992}" name="Ref D      1-Phase2" dataDxfId="367"/>
    <tableColumn id="6" xr3:uid="{6FE7DD63-352B-6745-860B-1A07CF74C71A}" name="Ref D       3-Phase" dataDxfId="366"/>
    <tableColumn id="9" xr3:uid="{9E0DDEA8-CB86-3447-8CEA-A67A617129C6}" name="Cable Size" dataDxfId="36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4" dataDxfId="363">
  <autoFilter ref="B197:E214" xr:uid="{00000000-0009-0000-0100-00000A000000}"/>
  <tableColumns count="4">
    <tableColumn id="1" xr3:uid="{DCCB7E08-04C2-4242-93A9-BDE92FB6A283}" name="1-Phase Two-core " dataDxfId="362"/>
    <tableColumn id="2" xr3:uid="{4B9FCF36-8D0C-4042-922A-9BC44C3D1F05}" name="3-Phase" dataDxfId="361"/>
    <tableColumn id="3" xr3:uid="{B6A3816F-CDE4-3943-9BB2-B35F4AD865DF}" name="1-Phase Single-core" dataDxfId="360"/>
    <tableColumn id="9" xr3:uid="{B03F009D-7194-2641-99E5-B903C8AEA279}" name="Cable Size" dataDxfId="359"/>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8" dataDxfId="357">
  <autoFilter ref="B219:E236" xr:uid="{00000000-0009-0000-0100-00000B000000}"/>
  <tableColumns count="4">
    <tableColumn id="1" xr3:uid="{C7BC598E-574E-8248-AAFC-405454E47A95}" name="1-Phase Two-core " dataDxfId="356"/>
    <tableColumn id="2" xr3:uid="{E54C70CA-6079-1642-B08E-0FA28F62AA58}" name="3-Phase" dataDxfId="355"/>
    <tableColumn id="3" xr3:uid="{0CA2C46F-6469-6545-B702-1AD0F47F273D}" name="1-Phase Single-core" dataDxfId="354"/>
    <tableColumn id="9" xr3:uid="{65D163C7-B8F0-DD41-B720-C2BF90BBA2E9}" name="Cable Size" dataDxfId="353"/>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2" dataDxfId="351">
  <autoFilter ref="B253:J275" xr:uid="{00000000-0009-0000-0100-00000C000000}"/>
  <tableColumns count="9">
    <tableColumn id="1" xr3:uid="{DFBC639F-9667-8047-9149-8C7396024340}" name="Ref C      1-Phase" dataDxfId="350"/>
    <tableColumn id="2" xr3:uid="{194A8F82-8175-EA44-93C8-507354B7CCAB}" name="Ref C      3-Phase Trefoil" dataDxfId="349"/>
    <tableColumn id="3" xr3:uid="{4650777B-B819-5B47-B466-615965EF1FD0}" name="Ref C     3-Phase Flat" dataDxfId="348"/>
    <tableColumn id="4" xr3:uid="{F63D3B77-F6F3-B846-A8C5-F04AC142A537}" name="Ref E,F,G      1-Phase" dataDxfId="347"/>
    <tableColumn id="5" xr3:uid="{550849B2-8B8F-2447-B8DC-08D6C058F9E8}" name="Ref E,F,G      3-Phase Trefoil" dataDxfId="346"/>
    <tableColumn id="6" xr3:uid="{3427F223-0BD0-F344-8635-674EB8F0A51A}" name="Ref E,F,G      Touching 3-Phase Flat" dataDxfId="345"/>
    <tableColumn id="7" xr3:uid="{BF267E42-7B42-BA47-A4AB-443B140DE1AD}" name="Ref E,F,G      Spaced     3-Phase Flat Vertical" dataDxfId="344"/>
    <tableColumn id="8" xr3:uid="{86425269-6F9D-9144-8FDC-2499835A6159}" name="Ref E,F,G      Spaced     3-Phase Flat Horizontal" dataDxfId="343"/>
    <tableColumn id="12" xr3:uid="{7DADAD61-FABB-5C49-B275-CD128F2D207E}" name="Cable Size" dataDxfId="342"/>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1" dataDxfId="340">
  <autoFilter ref="B280:J302" xr:uid="{00000000-0009-0000-0100-00000D000000}"/>
  <tableColumns count="9">
    <tableColumn id="1" xr3:uid="{E255A2DA-B172-854A-9A27-23E502BCFD7E}" name="Ref C      1-Phase" dataDxfId="339"/>
    <tableColumn id="2" xr3:uid="{0EC491FE-F50F-2B42-96AA-32AA7FECF1DA}" name="Ref C      3-Phase Trefoil" dataDxfId="338"/>
    <tableColumn id="3" xr3:uid="{677087E4-9AEE-F14B-B8B6-6C8E43F0402B}" name="Ref C     3-Phase Flat" dataDxfId="337"/>
    <tableColumn id="4" xr3:uid="{DD93A0DD-B99F-064A-B4D1-509740BE6D31}" name="Ref E,F,G      1-Phase" dataDxfId="336"/>
    <tableColumn id="5" xr3:uid="{01F60A36-D73C-6B48-99DF-6CD3E42EF749}" name="Ref E,F,G      3-Phase Trefoil" dataDxfId="335"/>
    <tableColumn id="6" xr3:uid="{B1C34053-0880-DB41-8E11-052187B999EA}" name="Ref E,F,G      Touching 3-Phase Flat" dataDxfId="334"/>
    <tableColumn id="7" xr3:uid="{33D99F2B-A68F-B241-A635-485EF462D77E}" name="Ref E,F,G      Spaced     3-Phase Flat Vertical" dataDxfId="333"/>
    <tableColumn id="8" xr3:uid="{E073D6ED-43BC-6B4F-A6D3-0DD3EF8FE162}" name="Ref E,F,G      Spaced     3-Phase Flat Horizontal" dataDxfId="332"/>
    <tableColumn id="12" xr3:uid="{8354A0F5-78CC-884C-9283-BEF837D5CB48}" name="Cable Size" dataDxfId="331"/>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0" dataDxfId="329">
  <autoFilter ref="B326:J337" xr:uid="{00000000-0009-0000-0100-00000E000000}"/>
  <tableColumns count="9">
    <tableColumn id="1" xr3:uid="{0DC71F84-F504-1749-8CE0-0482348332AF}" name="Ref A      1-Phase" dataDxfId="328"/>
    <tableColumn id="2" xr3:uid="{DFD03A18-96FC-6247-A14E-455FA79576B9}" name="Ref A      3-Phase" dataDxfId="327"/>
    <tableColumn id="3" xr3:uid="{65DFBBAE-B2B0-6744-BD4E-A4430419F917}" name="Ref B      1-Phase" dataDxfId="326"/>
    <tableColumn id="4" xr3:uid="{22453F02-142C-454D-A722-726F3356B39C}" name="Ref B      3-Phase" dataDxfId="325"/>
    <tableColumn id="5" xr3:uid="{A45D7D5E-CD53-9F46-94A8-64C638B3FB7C}" name="Ref C      1-Phase" dataDxfId="324"/>
    <tableColumn id="6" xr3:uid="{67A89AF4-9C52-F349-9D5A-BE8DC7835430}" name="Ref C       3-Phase" dataDxfId="323"/>
    <tableColumn id="7" xr3:uid="{024429F7-115E-9849-8319-157FDA92113D}" name="Ref E      1-Phase" dataDxfId="322"/>
    <tableColumn id="8" xr3:uid="{560F5836-21A1-FD4C-9910-4E8372E5215F}" name="Ref E       3-Phase" dataDxfId="321"/>
    <tableColumn id="9" xr3:uid="{0D0CA484-DB56-0347-A90E-CC2896A77496}" name="Cable Size" dataDxfId="320"/>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9" dataDxfId="318">
  <autoFilter ref="B307:M321" xr:uid="{00000000-0009-0000-0100-00000F000000}"/>
  <tableColumns count="12">
    <tableColumn id="1" xr3:uid="{4C5FE5CC-34BA-2C49-8C1E-D642993EFE8E}" name="Ref A      1-Phase" dataDxfId="317"/>
    <tableColumn id="2" xr3:uid="{A90C4450-FF7E-9747-A032-6B50AB0D544D}" name="Ref A      3-Phase" dataDxfId="316"/>
    <tableColumn id="3" xr3:uid="{2357887B-4CAF-6D42-A089-0D6F958336A7}" name="Ref B      1-Phase" dataDxfId="315"/>
    <tableColumn id="4" xr3:uid="{89B25D8F-D806-C147-A1C1-12D6C6BA7659}" name="Ref B      3-Phase" dataDxfId="314"/>
    <tableColumn id="5" xr3:uid="{2BA067DB-13C5-1F43-8164-C2A02D2DFEAF}" name="Ref C      Touching 1-Phase Flat" dataDxfId="313"/>
    <tableColumn id="6" xr3:uid="{316AF11A-58DC-5143-8ADD-874FAF0F0C50}" name="Ref C      Touching 3-Phase" dataDxfId="312"/>
    <tableColumn id="7" xr3:uid="{930FEBC5-AB03-BA42-AA01-0E7C1ED6DE3B}" name="Ref F      Touching 1-Phase Flat" dataDxfId="311"/>
    <tableColumn id="8" xr3:uid="{0360649E-E3E1-AA4A-8E31-C63245CA0DD0}" name="Ref F      Touching 3-Phase Flat" dataDxfId="310"/>
    <tableColumn id="9" xr3:uid="{68799CA0-DA49-2A41-A3CA-6FA2BFB21CC6}" name="Ref F      Touching 3-Phase Trefoil" dataDxfId="309"/>
    <tableColumn id="10" xr3:uid="{2D8E902C-8D09-4E4E-9116-7DDC88C8A2B9}" name="Ref F      Spaced    Flat Horizontal" dataDxfId="308"/>
    <tableColumn id="11" xr3:uid="{3DA555C5-AA5A-864B-87A8-717BC26C010A}" name="Ref F      Spaced   Flat Vertical" dataDxfId="307"/>
    <tableColumn id="12" xr3:uid="{D1875A26-631E-7745-99AA-272BF8B513D0}" name="Cable Size" dataDxfId="306"/>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5" dataDxfId="304">
  <autoFilter ref="B342:M356" xr:uid="{00000000-0009-0000-0100-000010000000}"/>
  <tableColumns count="12">
    <tableColumn id="1" xr3:uid="{6543A18A-EA9F-5A4F-AADF-FB5E22E3B550}" name="Ref C      Touching 1-Phase Flat" dataDxfId="303"/>
    <tableColumn id="2" xr3:uid="{93F1E9A1-708F-314E-82A2-75464D79932A}" name="Ref C      Touching 3-Phase Flat" dataDxfId="302"/>
    <tableColumn id="3" xr3:uid="{049EBDDD-C52C-D24B-A591-7BF99301F7D1}" name="Ref F      Touching 1-Phase Flat" dataDxfId="301"/>
    <tableColumn id="4" xr3:uid="{B9D30280-A4A1-F946-9ED2-3CCAEC73868C}" name="Ref F      Touching 3-Phase Flat" dataDxfId="300"/>
    <tableColumn id="5" xr3:uid="{FE9C2CD6-FC4D-1042-8F85-86062E74E777}" name="Ref F      Touching 3-Phase Trefoil" dataDxfId="299"/>
    <tableColumn id="6" xr3:uid="{58BFF602-0AA0-334A-A509-07D843A9BC48}" name="Ref F      Spaced   D.C.   Horizontal" dataDxfId="298"/>
    <tableColumn id="7" xr3:uid="{8A5FC9D8-C52F-614E-BBAF-7038D85E6ABB}" name="Ref F      Spaced   D.C.   Vertical" dataDxfId="297"/>
    <tableColumn id="8" xr3:uid="{FC6663CB-16C0-B74A-9436-0125CEE3DA87}" name="Ref F      Spaced     1-Phase   Horizontal" dataDxfId="296"/>
    <tableColumn id="9" xr3:uid="{64329233-5E20-4247-B033-66B6AD207F3F}" name="Ref F      Spaced   1-Phase   Vertical" dataDxfId="295"/>
    <tableColumn id="10" xr3:uid="{7A1FA81B-2C30-D54C-8C4D-EFF994106290}" name="Ref F      Spaced     3-Phase   Horizontal" dataDxfId="294"/>
    <tableColumn id="11" xr3:uid="{D4F555BE-2EF4-DA48-BB4F-75BCC1C5BDE8}" name="Ref F      Spaced     3-Phase   Vertical" dataDxfId="293"/>
    <tableColumn id="12" xr3:uid="{26F5D117-9E9A-FA4F-A477-D35214877032}" name="Cable Size" dataDxfId="292"/>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1" dataDxfId="290">
  <autoFilter ref="B361:H372" xr:uid="{00000000-0009-0000-0100-000011000000}"/>
  <tableColumns count="7">
    <tableColumn id="1" xr3:uid="{F63729E2-B0B4-E448-B0F1-A334443D0596}" name="Ref C      1-Phase" dataDxfId="289"/>
    <tableColumn id="2" xr3:uid="{3845F0FD-1350-7445-9D37-DED49DD677CA}" name="Ref C     3-Phase" dataDxfId="288"/>
    <tableColumn id="3" xr3:uid="{EFF6438D-2BD3-BE49-B084-048204EF5ACF}" name="Ref E      1-Phase" dataDxfId="287"/>
    <tableColumn id="4" xr3:uid="{E9D00104-FE6B-4C43-B329-6953BAAC7C99}" name="Ref E      3-Phase" dataDxfId="286"/>
    <tableColumn id="5" xr3:uid="{6BF0A041-CB9C-704F-B2F1-74E4C0F8833C}" name="Ref D      1-Phase2" dataDxfId="285"/>
    <tableColumn id="6" xr3:uid="{D94928BE-1DEA-A94C-8758-DEB254EDB949}" name="Ref D       3-Phase" dataDxfId="284"/>
    <tableColumn id="9" xr3:uid="{67D46232-A09C-1D49-9F11-7A5D91F621C4}" name="Cable Size" dataDxfId="28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2" dataDxfId="281">
  <autoFilter ref="B377:M391" xr:uid="{00000000-0009-0000-0100-000012000000}"/>
  <tableColumns count="12">
    <tableColumn id="1" xr3:uid="{977DC0F5-D51C-9E4D-9DDB-3165F08F489F}" name="Ref A      1-Phase" dataDxfId="280"/>
    <tableColumn id="2" xr3:uid="{48A7A9DE-A71C-9349-9B53-588A2D60991C}" name="Ref A      3-Phase" dataDxfId="279"/>
    <tableColumn id="3" xr3:uid="{31AB2D17-2A5A-7644-856B-C1F0A7C503D2}" name="Ref B      1-Phase" dataDxfId="278"/>
    <tableColumn id="4" xr3:uid="{1951BC6E-C885-C740-BEF5-093198D02098}" name="Ref B      3-Phase" dataDxfId="277"/>
    <tableColumn id="5" xr3:uid="{B22405E2-BB86-8C4C-8ECC-4D36F6E28444}" name="Ref C      Touching 1-Phase Flat" dataDxfId="276"/>
    <tableColumn id="6" xr3:uid="{A01DCA7F-4B23-8540-A0E1-E6F2F02840EB}" name="Ref C      Touching 3-Phase" dataDxfId="275"/>
    <tableColumn id="7" xr3:uid="{419C3070-4E0C-8A48-A33A-18211FEF0775}" name="Ref F      Touching 1-Phase Flat" dataDxfId="274"/>
    <tableColumn id="8" xr3:uid="{8262FCCD-78C0-6543-BF6D-8502E999731D}" name="Ref F      Touching 3-Phase Flat" dataDxfId="273"/>
    <tableColumn id="9" xr3:uid="{6AF71A5C-520D-9B41-B0AB-39A2950036E1}" name="Ref F      Touching 3-Phase Trefoil" dataDxfId="272"/>
    <tableColumn id="10" xr3:uid="{CD9ADE49-922A-6442-AC3C-B251F8E1947D}" name="Ref F      Spaced   Flat Horizontal" dataDxfId="271"/>
    <tableColumn id="11" xr3:uid="{1B609165-20D2-D440-B290-AC0904B15A47}" name="Ref F      Spaced   Flat Vertical" dataDxfId="270"/>
    <tableColumn id="12" xr3:uid="{D3B76686-9B4F-8A4F-8DA3-B4FF02DC9EEE}" name="Cable Size" dataDxfId="269"/>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8" dataDxfId="267">
  <autoFilter ref="B396:J407" xr:uid="{00000000-0009-0000-0100-000013000000}"/>
  <tableColumns count="9">
    <tableColumn id="1" xr3:uid="{1673942B-2C50-B841-A02B-1E16D7260D01}" name="Ref A      1-Phase" dataDxfId="266"/>
    <tableColumn id="2" xr3:uid="{A2F33BA8-22C0-914E-B0A3-96186C89D34A}" name="Ref A      3-Phase" dataDxfId="265"/>
    <tableColumn id="3" xr3:uid="{EA4577CB-C163-384C-9074-9D185EB16D59}" name="Ref B      1-Phase" dataDxfId="264"/>
    <tableColumn id="4" xr3:uid="{FE33DECC-9DAA-1744-8511-DE65626F4B88}" name="Ref B      3-Phase" dataDxfId="263"/>
    <tableColumn id="5" xr3:uid="{8EB2439F-2A5B-6C49-B76F-5385ECEE2CFA}" name="Ref C      1-Phase" dataDxfId="262"/>
    <tableColumn id="6" xr3:uid="{E8B87F04-0AA3-7743-A532-3B980DD91F53}" name="Ref C      3-Phase" dataDxfId="261"/>
    <tableColumn id="7" xr3:uid="{5AC1E31C-C239-BF43-8F8C-078304BAFD38}" name="Ref E      1-Phase" dataDxfId="260"/>
    <tableColumn id="8" xr3:uid="{1E22B2D1-E135-0940-ADB4-DEF469D1733C}" name="Ref E     3-Phase" dataDxfId="259"/>
    <tableColumn id="9" xr3:uid="{730135D8-55EB-4D4D-80DF-8C04C7521219}" name="Cable Size" dataDxfId="258"/>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7" dataDxfId="256">
  <autoFilter ref="B412:M426" xr:uid="{00000000-0009-0000-0100-000014000000}"/>
  <tableColumns count="12">
    <tableColumn id="1" xr3:uid="{1A9B1545-1974-D54C-98B4-F6FE3DF44029}" name="Ref C      Touching 1-Phase Flat" dataDxfId="255"/>
    <tableColumn id="2" xr3:uid="{FB3E3318-AFF2-564D-868D-7F3B643F0C13}" name="Ref C      Touching 3-Phase Flat" dataDxfId="254"/>
    <tableColumn id="3" xr3:uid="{5512CC60-89A0-6B47-9E6B-C459F2D3DF97}" name="Ref F      Touching 1-Phase Flat" dataDxfId="253"/>
    <tableColumn id="4" xr3:uid="{40A93E0F-E7DF-1F4B-BBC0-2F2290CCDEA1}" name="Ref F      Touching 3-Phase Flat" dataDxfId="252"/>
    <tableColumn id="5" xr3:uid="{CEAEA337-6735-3F40-8DB2-BD6F8E306460}" name="Ref F      Touching 3-Phase Trefoil" dataDxfId="251"/>
    <tableColumn id="6" xr3:uid="{32C0E437-860B-0B44-9E5A-C66261751BE3}" name="Ref F      Spaced   D.C.   Horizontal" dataDxfId="250"/>
    <tableColumn id="7" xr3:uid="{8FFCE900-B1AD-824F-91E1-4954148831BD}" name="Ref F      Spaced   D.C.   Vertical" dataDxfId="249"/>
    <tableColumn id="8" xr3:uid="{06CDE74A-BCE0-6C45-ACD4-6E3ACBE20753}" name="Ref F      Spaced     1-Phase   Horizontal" dataDxfId="248"/>
    <tableColumn id="9" xr3:uid="{46361111-7236-5F49-A66F-51C76D045135}" name="Ref F      Spaced   1-Phase   Vertical" dataDxfId="247"/>
    <tableColumn id="10" xr3:uid="{7A194A52-8EC6-ED4F-919D-420900969308}" name="Ref F      Spaced     3-Phase   Horizontal" dataDxfId="246"/>
    <tableColumn id="11" xr3:uid="{C56EA2DC-DCB1-6044-A111-5BCCB5D5133F}" name="Ref F      Spaced     3-Phase   Vertical" dataDxfId="245"/>
    <tableColumn id="12" xr3:uid="{57BD4B49-E112-8249-8596-53B8209ADEFE}" name="Cable Size" dataDxfId="244"/>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3" dataDxfId="242">
  <autoFilter ref="B431:H442" xr:uid="{00000000-0009-0000-0100-000015000000}"/>
  <tableColumns count="7">
    <tableColumn id="1" xr3:uid="{E437BF8C-5DA4-AB4F-8B17-0935A2B563FE}" name="Ref C      1-Phase" dataDxfId="241"/>
    <tableColumn id="2" xr3:uid="{E4550746-79B7-874F-890C-8BBA74D60D32}" name="Ref C     3-Phase" dataDxfId="240"/>
    <tableColumn id="3" xr3:uid="{80E819D3-282A-5F46-A290-834A000C7115}" name="Ref E      1-Phase" dataDxfId="239"/>
    <tableColumn id="4" xr3:uid="{FFC03573-1388-E64A-8E2D-B76A27A1F819}" name="Ref E      3-Phase" dataDxfId="238"/>
    <tableColumn id="5" xr3:uid="{D3E8E9A2-AEAA-014A-A600-0B7DE7E73584}" name="Ref D      1-Phase2" dataDxfId="237"/>
    <tableColumn id="6" xr3:uid="{FD8CBCC2-C2EE-524C-99B9-3D7D615E1CBA}" name="Ref D       3-Phase" dataDxfId="236"/>
    <tableColumn id="9" xr3:uid="{420EBFD7-5E6E-FD46-B24A-98EF9736E88D}" name="Cable Size" dataDxfId="235"/>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4" dataDxfId="233">
  <autoFilter ref="B241:E248" xr:uid="{00000000-0009-0000-0100-000016000000}"/>
  <tableColumns count="4">
    <tableColumn id="1" xr3:uid="{1BBE7E2E-5F58-9F4E-A904-8BACFEB0D12C}" name="1-Phase " dataDxfId="232"/>
    <tableColumn id="2" xr3:uid="{37354591-3C7E-464C-BA14-D775C105E3A3}" name="3-Phase" dataDxfId="231"/>
    <tableColumn id="3" xr3:uid="{CC938B2D-3DF8-4443-81BD-F548FEC5A192}" name="Mass Support" dataDxfId="230"/>
    <tableColumn id="9" xr3:uid="{E33CAB35-2C00-D448-924A-38978C9E6657}" name="Cable Size" dataDxfId="229"/>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8" dataDxfId="227">
  <autoFilter ref="U5:AC27" xr:uid="{00000000-0009-0000-0100-000017000000}"/>
  <tableColumns count="9">
    <tableColumn id="1" xr3:uid="{442775B6-B70A-364D-AFA6-5852AD544214}" name="Ref A      1-Phase" dataDxfId="226"/>
    <tableColumn id="2" xr3:uid="{701A09C9-7476-6046-B633-66291D7BF8C1}" name="Ref A      3-Phase" dataDxfId="225"/>
    <tableColumn id="3" xr3:uid="{483EDBDD-EDC7-F245-827A-1FE7919942C9}" name="Ref B      1-Phase" dataDxfId="224"/>
    <tableColumn id="4" xr3:uid="{6778384E-C5AA-E34A-8630-F1937A0E03A3}" name="Ref B      3-Phase" dataDxfId="223"/>
    <tableColumn id="5" xr3:uid="{6D3945F5-5A70-9C4F-8F75-EF734A292399}" name="Ref C      1-Phase" dataDxfId="222"/>
    <tableColumn id="6" xr3:uid="{6D09A362-74DC-0A45-8307-1D3A71F176C2}" name="Ref C       3-Phase" dataDxfId="221"/>
    <tableColumn id="7" xr3:uid="{1C66AF4D-BD57-7C40-BC70-74F2A490E70C}" name="Ref E      1-Phase" dataDxfId="220"/>
    <tableColumn id="8" xr3:uid="{AFDE039E-5C83-0B44-9039-846561275FE6}" name="Ref E       3-Phase" dataDxfId="219"/>
    <tableColumn id="9" xr3:uid="{43DA4CB7-3BAD-684F-9A1B-10462DF4256F}" name="Cable Size" dataDxfId="2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7" dataDxfId="216">
  <autoFilter ref="U32:X50" xr:uid="{00000000-0009-0000-0100-000018000000}"/>
  <tableColumns count="4">
    <tableColumn id="1" xr3:uid="{71D2A83C-2BCB-B243-BD55-2ECFCF6ABE49}" name="1-Phase Two-core " dataDxfId="215"/>
    <tableColumn id="2" xr3:uid="{CB1B4D2C-17D8-D74F-90A3-B7EE84A5EA46}" name="3-Phase" dataDxfId="214"/>
    <tableColumn id="3" xr3:uid="{3161F2E9-016F-3449-A627-1F9AE60307C8}" name="1-Phase Single-core" dataDxfId="213"/>
    <tableColumn id="9" xr3:uid="{4D814E3F-CD96-7348-A939-FAA2AABFB37F}" name="Cable Size" dataDxfId="212"/>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1" dataDxfId="210">
  <autoFilter ref="U55:AA68" xr:uid="{00000000-0009-0000-0100-000019000000}"/>
  <tableColumns count="7">
    <tableColumn id="1" xr3:uid="{2CA16CE5-2329-E544-9B65-03DE2A0D06FC}" name="Ref A      1-Phase" dataDxfId="209"/>
    <tableColumn id="2" xr3:uid="{5D0F6663-5F90-6D43-A6FD-C2805030777A}" name="Ref A      3-Phase" dataDxfId="208"/>
    <tableColumn id="3" xr3:uid="{7898948B-8B28-474B-9F22-BD129275EDE4}" name="Ref B      1-Phase" dataDxfId="207"/>
    <tableColumn id="4" xr3:uid="{5C6F239B-6334-8048-B711-D02F5043A392}" name="Ref B      3-Phase" dataDxfId="206"/>
    <tableColumn id="5" xr3:uid="{4D7C5C12-A3B5-8A41-9B38-C147F9C58CDC}" name="Ref C      1-Phase" dataDxfId="205"/>
    <tableColumn id="6" xr3:uid="{412E0794-DFBE-3C4A-9CE8-ED3186893C96}" name="Ref C       3-Phase" dataDxfId="204"/>
    <tableColumn id="9" xr3:uid="{2862A2A8-8FC9-0841-918D-B758A69C5279}" name="Cable Size" dataDxfId="203"/>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2" dataDxfId="201">
  <autoFilter ref="U73:X90" xr:uid="{00000000-0009-0000-0100-00001A000000}"/>
  <tableColumns count="4">
    <tableColumn id="1" xr3:uid="{805BC523-2031-A747-B3C5-0CEF394607B7}" name="1-Phase Two-core " dataDxfId="200"/>
    <tableColumn id="2" xr3:uid="{C3C6DD1A-A36E-1D4B-BDAA-EB8E3466F724}" name="3-Phase" dataDxfId="199"/>
    <tableColumn id="3" xr3:uid="{76681962-D54C-E848-AA60-8150FED3638B}" name="1-Phase Single-core" dataDxfId="198"/>
    <tableColumn id="9" xr3:uid="{F0DAB1C6-85DF-8E4F-B416-F04412A55E1A}" name="Cable Size" dataDxfId="19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6" dataDxfId="195">
  <autoFilter ref="U107:AC129" xr:uid="{00000000-0009-0000-0100-00001B000000}"/>
  <tableColumns count="9">
    <tableColumn id="1" xr3:uid="{CD264298-C41B-B94F-9D9A-C30E55A7F082}" name="Ref A      1-Phase" dataDxfId="194"/>
    <tableColumn id="2" xr3:uid="{7AB0986D-E76A-EB4A-90E7-EDFCD2575D10}" name="Ref A      3-Phase" dataDxfId="193"/>
    <tableColumn id="3" xr3:uid="{33E2B133-0463-8B48-9331-E62065EAFCB1}" name="Ref B      1-Phase" dataDxfId="192"/>
    <tableColumn id="4" xr3:uid="{1B68A3F2-A410-E147-8EA6-2722B0531A6A}" name="Ref B      3-Phase" dataDxfId="191"/>
    <tableColumn id="5" xr3:uid="{64FA6EEE-31D9-4043-B880-8EF1B001AA37}" name="Ref C      1-Phase" dataDxfId="190"/>
    <tableColumn id="6" xr3:uid="{7DC397DD-466B-0443-825A-EBDD19096741}" name="Ref C       3-Phase" dataDxfId="189"/>
    <tableColumn id="7" xr3:uid="{F9C00A81-A0BA-D44C-820C-ADD707FB27D7}" name="Ref E      1-Phase" dataDxfId="188"/>
    <tableColumn id="8" xr3:uid="{19A4B9BD-22AC-5B4B-BC98-65EAA8BD95B1}" name="Ref E       3-Phase" dataDxfId="187"/>
    <tableColumn id="9" xr3:uid="{EFE6A836-769B-3E46-849B-7878C4D3C557}" name="Cable Size" dataDxfId="186"/>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5" dataDxfId="184">
  <autoFilter ref="U134:X152" xr:uid="{00000000-0009-0000-0100-00001C000000}"/>
  <tableColumns count="4">
    <tableColumn id="1" xr3:uid="{286CC2F4-10EB-714E-A1C7-C9126272023A}" name="1-Phase Two-core " dataDxfId="183"/>
    <tableColumn id="2" xr3:uid="{41A3CAFC-1BF6-9841-8427-46F42DA43E05}" name="3-Phase" dataDxfId="182"/>
    <tableColumn id="3" xr3:uid="{96190F94-65C1-404B-9A44-DB5DB4C5D48C}" name="1-Phase Single-core" dataDxfId="181"/>
    <tableColumn id="9" xr3:uid="{FF89EF52-3E74-8C47-B0DE-07DD29D8C413}" name="Cable Size" dataDxfId="180"/>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9" dataDxfId="178">
  <autoFilter ref="U157:AA170" xr:uid="{00000000-0009-0000-0100-00001D000000}"/>
  <tableColumns count="7">
    <tableColumn id="1" xr3:uid="{88244552-406E-0D41-8343-5F2F21AD93E3}" name="Ref A      1-Phase" dataDxfId="177"/>
    <tableColumn id="2" xr3:uid="{23B0923A-6016-6B4B-8EF4-0196414F8202}" name="Ref A      3-Phase" dataDxfId="176"/>
    <tableColumn id="3" xr3:uid="{26C803A5-56E0-FA4B-9105-93FD1117ABFC}" name="Ref B      1-Phase" dataDxfId="175"/>
    <tableColumn id="4" xr3:uid="{7C85C8DB-1FA5-C541-872D-112E685550A4}" name="Ref B      3-Phase" dataDxfId="174"/>
    <tableColumn id="5" xr3:uid="{E48B910A-D3E8-0340-94D6-F72A13DAD772}" name="Ref C      1-Phase" dataDxfId="173"/>
    <tableColumn id="6" xr3:uid="{6A92A41D-B5D0-9E46-ABD8-FDBE4C5BBB93}" name="Ref C       3-Phase" dataDxfId="172"/>
    <tableColumn id="9" xr3:uid="{ED47B4E4-8201-6B47-9CC9-40F8AB70EBC4}" name="Cable Size" dataDxfId="171"/>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0" dataDxfId="169">
  <autoFilter ref="U175:X192" xr:uid="{00000000-0009-0000-0100-00001E000000}"/>
  <tableColumns count="4">
    <tableColumn id="1" xr3:uid="{6C1DD6A4-51AB-B047-B3B6-EBDC7DB8CC3D}" name="1-Phase Two-core " dataDxfId="168"/>
    <tableColumn id="2" xr3:uid="{67A9DE25-6DDA-AA47-A614-908C221007A4}" name="3-Phase" dataDxfId="167"/>
    <tableColumn id="3" xr3:uid="{1E46A9AA-1975-2C43-B5F3-BE552E58B13C}" name="1-Phase Single-core" dataDxfId="166"/>
    <tableColumn id="9" xr3:uid="{6CC414B1-E2DE-4B48-9A1B-0A9143B4346A}" name="Cable Size" dataDxfId="165"/>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4" dataDxfId="163">
  <autoFilter ref="U197:Z214" xr:uid="{00000000-0009-0000-0100-00001F000000}"/>
  <tableColumns count="6">
    <tableColumn id="1" xr3:uid="{6839D94C-0751-3049-8347-BFADF4A131C3}" name="Ref A      1-Phase" dataDxfId="162"/>
    <tableColumn id="2" xr3:uid="{851784FD-ED3E-0D40-959D-506271E178BF}" name="Ref A      3-Phase" dataDxfId="161"/>
    <tableColumn id="3" xr3:uid="{06CFB962-A74E-5343-8FCF-7168A62B582F}" name="Ref B      1-Phase" dataDxfId="160"/>
    <tableColumn id="4" xr3:uid="{E376AF64-DEF9-4D4D-A57E-CCA00E5B4F87}" name="Ref B      3-Phase" dataDxfId="159"/>
    <tableColumn id="5" xr3:uid="{24622E45-356F-EC4C-B4FF-E916E424FDA4}" name="Ref C      1-Phase" dataDxfId="158"/>
    <tableColumn id="9" xr3:uid="{1320BF40-CA67-FC4A-B637-B9701CE70F37}" name="Cable Size" dataDxfId="15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6" dataDxfId="155">
  <autoFilter ref="U219:Y236" xr:uid="{00000000-0009-0000-0100-000020000000}"/>
  <tableColumns count="5">
    <tableColumn id="1" xr3:uid="{D0AE4E37-EC70-2843-AFBC-461F77FB177A}" name="Ref A      1-Phase" dataDxfId="154"/>
    <tableColumn id="2" xr3:uid="{92008B8B-D102-D043-806A-8E05AA4E29CF}" name="Ref A      3-Phase" dataDxfId="153"/>
    <tableColumn id="3" xr3:uid="{B95C18D8-8E65-844A-9B77-CEACE0DBCAB2}" name="Ref B      1-Phase" dataDxfId="152"/>
    <tableColumn id="4" xr3:uid="{5F744D7F-AF21-2445-89DA-590DA395B762}" name="Ref B      3-Phase" dataDxfId="151"/>
    <tableColumn id="9" xr3:uid="{EB48D9DA-6EC7-594A-84F5-3AEC7125AC1B}" name="Cable Size" dataDxfId="150"/>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9" dataDxfId="148">
  <autoFilter ref="U241:W248" xr:uid="{00000000-0009-0000-0100-000021000000}"/>
  <tableColumns count="3">
    <tableColumn id="1" xr3:uid="{3F6A6880-AC94-3647-8A85-D5A203894DA8}" name="Ref A      1-Phase" dataDxfId="147"/>
    <tableColumn id="2" xr3:uid="{146399FF-4C07-544F-99B6-777CA87E38BD}" name="Ref A      3-Phase" dataDxfId="146"/>
    <tableColumn id="9" xr3:uid="{CA97158B-BD6D-2948-9C8C-E2D3606858B2}" name="Cable Size" dataDxfId="145"/>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4" dataDxfId="143">
  <autoFilter ref="U253:AA269" xr:uid="{00000000-0009-0000-0100-000022000000}"/>
  <tableColumns count="7">
    <tableColumn id="1" xr3:uid="{0DD43760-916D-E045-9276-784738D9CF46}" name="Ref A      1-Phase" dataDxfId="142"/>
    <tableColumn id="2" xr3:uid="{AE646303-8EDF-1C45-87A9-98BDCD8E4AD4}" name="Ref A      3-Phase" dataDxfId="141"/>
    <tableColumn id="3" xr3:uid="{8FC7715F-F33C-5C42-8CD2-408760852A4D}" name="Ref B      1-Phase" dataDxfId="140"/>
    <tableColumn id="4" xr3:uid="{E7500A6C-3A01-AF49-AECC-43CB9F4B3306}" name="Ref B      3-Phase" dataDxfId="139"/>
    <tableColumn id="5" xr3:uid="{8BF20898-863A-E043-87DE-A37F45BEFEF8}" name="Ref C      1-Phase" dataDxfId="138"/>
    <tableColumn id="6" xr3:uid="{978C7074-349D-DF4C-9AC8-BB23EFFEDCDF}" name="Ref C       3-Phase" dataDxfId="137"/>
    <tableColumn id="9" xr3:uid="{69D26A98-D975-F244-996F-40C60BBBC181}" name="Cable Size" dataDxfId="13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5" dataDxfId="134">
  <autoFilter ref="U280:AA296" xr:uid="{00000000-0009-0000-0100-000023000000}"/>
  <tableColumns count="7">
    <tableColumn id="1" xr3:uid="{2A69F06F-33D6-C94F-AC05-47AF903FEF18}" name="Ref A      1-Phase" dataDxfId="133"/>
    <tableColumn id="2" xr3:uid="{781D8D34-40A6-734F-B968-7E38FCE5B2F1}" name="Ref A      3-Phase" dataDxfId="132"/>
    <tableColumn id="3" xr3:uid="{9594DB4F-A46C-5E42-A34A-64E30FF3A786}" name="Ref B      1-Phase" dataDxfId="131"/>
    <tableColumn id="4" xr3:uid="{EF91A6F7-9752-F546-9D4A-6C9B8280B50A}" name="Ref B      3-Phase" dataDxfId="130"/>
    <tableColumn id="5" xr3:uid="{41B000A5-F5F8-524B-B496-0ABF56257F4A}" name="Ref C      1-Phase" dataDxfId="129"/>
    <tableColumn id="6" xr3:uid="{97F2885B-DC71-DD4D-B680-FB44F6ADB184}" name="Ref C       3-Phase" dataDxfId="128"/>
    <tableColumn id="9" xr3:uid="{2167D0D9-A80C-1244-9C54-F05DC247BECF}" name="Cable Size" dataDxfId="127"/>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6" dataDxfId="125">
  <autoFilter ref="U307:AC321" xr:uid="{00000000-0009-0000-0100-000024000000}"/>
  <tableColumns count="9">
    <tableColumn id="1" xr3:uid="{6D1FC2C1-E26F-7240-88CA-54880799F5E6}" name="Ref A      1-Phase" dataDxfId="124"/>
    <tableColumn id="2" xr3:uid="{C5E743AF-51A2-CF46-AB33-5D297AA0ABB7}" name="Ref A      3-Phase" dataDxfId="123"/>
    <tableColumn id="3" xr3:uid="{DA0F157C-C0DA-594A-B7D6-7043EB9BABBC}" name="Ref B      1-Phase" dataDxfId="122"/>
    <tableColumn id="4" xr3:uid="{DD814B35-0B80-D942-A5FB-30C8EA7B039F}" name="Ref B      3-Phase" dataDxfId="121"/>
    <tableColumn id="5" xr3:uid="{907F9B0D-05CC-9145-8121-8066E2A7B815}" name="Ref C      1-Phase" dataDxfId="120"/>
    <tableColumn id="6" xr3:uid="{2FC8BD82-2CE4-D847-A84D-C6C89C98B5EE}" name="Ref C       3-Phase" dataDxfId="119"/>
    <tableColumn id="8" xr3:uid="{EE7E0B79-3899-8B46-BDFF-55EEB0C89132}" name="Column2" dataDxfId="118"/>
    <tableColumn id="7" xr3:uid="{86FC327A-BFB8-BE45-9FCA-18D5C2E1C8D3}" name="Column1" dataDxfId="117"/>
    <tableColumn id="9" xr3:uid="{55BA9153-8617-084D-8072-2BDEA873C11D}" name="Cable Size" dataDxfId="116"/>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5" dataDxfId="114">
  <autoFilter ref="U326:X337" xr:uid="{00000000-0009-0000-0100-000025000000}"/>
  <tableColumns count="4">
    <tableColumn id="1" xr3:uid="{92AF1925-C073-CF43-BAFA-02B96BBF0E3B}" name="Ref A      1-Phase" dataDxfId="113"/>
    <tableColumn id="2" xr3:uid="{33F3EC0F-2239-AF49-8C0E-53D9E74F05E7}" name="Ref A      3-Phase" dataDxfId="112"/>
    <tableColumn id="3" xr3:uid="{A270D948-A4B7-544E-9B39-338285BA4DEA}" name="Ref B      1-Phase" dataDxfId="111"/>
    <tableColumn id="9" xr3:uid="{5682BCA9-139B-C041-B901-A3A1F27871C3}" name="Cable Size" dataDxfId="110"/>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9" dataDxfId="108">
  <autoFilter ref="U342:AA356" xr:uid="{00000000-0009-0000-0100-000026000000}"/>
  <tableColumns count="7">
    <tableColumn id="1" xr3:uid="{6D7FCA58-8E88-7942-8439-0654AFC22F9D}" name="Ref A      1-Phase" dataDxfId="107"/>
    <tableColumn id="2" xr3:uid="{E633F24B-7E9D-CE46-8396-913DD0FA6B18}" name="Ref A      3-Phase" dataDxfId="106"/>
    <tableColumn id="3" xr3:uid="{0DF420AE-F8D0-804B-BBC4-BC57A86FC9F0}" name="Ref B      1-Phase" dataDxfId="105"/>
    <tableColumn id="4" xr3:uid="{08F2BE3C-B823-3441-BFEB-299C43E9BA5A}" name="Ref B      3-Phase" dataDxfId="104"/>
    <tableColumn id="5" xr3:uid="{62B98567-7764-BD4D-BBF3-B2E3EBF0BEF3}" name="Ref C      1-Phase" dataDxfId="103"/>
    <tableColumn id="6" xr3:uid="{AC653322-D67A-9E4A-810D-839C5DB1E19B}" name="Ref C       3-Phase" dataDxfId="102"/>
    <tableColumn id="9" xr3:uid="{0B7A9BE7-15CB-1B47-9F8D-2F1E7AB64222}" name="Cable Size" dataDxfId="101"/>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0" dataDxfId="99">
  <autoFilter ref="U361:X372" xr:uid="{00000000-0009-0000-0100-000027000000}"/>
  <tableColumns count="4">
    <tableColumn id="1" xr3:uid="{E5ACE972-8DD3-E94A-B3B8-0F5A5EBF1267}" name="Ref A      1-Phase" dataDxfId="98"/>
    <tableColumn id="2" xr3:uid="{58126E42-F2E2-3848-A3A7-CBA45806B710}" name="Ref A      3-Phase" dataDxfId="97"/>
    <tableColumn id="3" xr3:uid="{691C67C6-7643-BE47-91A0-834EE1BA4FE0}" name="Ref B      1-Phase" dataDxfId="96"/>
    <tableColumn id="9" xr3:uid="{56D2D4EA-A80B-C242-AC7E-941FBB3018BA}" name="Cable Size" dataDxfId="95"/>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4" dataDxfId="93">
  <autoFilter ref="U377:AC391" xr:uid="{00000000-0009-0000-0100-000028000000}"/>
  <tableColumns count="9">
    <tableColumn id="1" xr3:uid="{B5684DD1-E7C0-EF44-82A1-E465985F4FBB}" name="Ref A      1-Phase" dataDxfId="92"/>
    <tableColumn id="2" xr3:uid="{121E355F-1833-6949-BE2E-A5AD75C4B758}" name="Ref A      3-Phase" dataDxfId="91"/>
    <tableColumn id="3" xr3:uid="{D56FA428-1D69-C341-803C-CE89E33068A3}" name="Ref B      1-Phase" dataDxfId="90"/>
    <tableColumn id="4" xr3:uid="{B8345CFE-8E8E-E048-9449-D169E9085655}" name="Ref B      3-Phase" dataDxfId="89"/>
    <tableColumn id="5" xr3:uid="{B82156BC-3301-AD46-AB3F-8E3CAD3853FC}" name="Ref C      1-Phase" dataDxfId="88"/>
    <tableColumn id="6" xr3:uid="{0D7E55C6-D73A-984C-A04B-79203A61716C}" name="Ref C       3-Phase" dataDxfId="87"/>
    <tableColumn id="8" xr3:uid="{593D1752-5218-814D-A3C3-73E984C4628D}" name="Column2" dataDxfId="86"/>
    <tableColumn id="7" xr3:uid="{0CE8ED9D-7D87-A44D-AB57-B8CD537D7961}" name="Column1" dataDxfId="85"/>
    <tableColumn id="9" xr3:uid="{93AE7876-D85B-6540-AD96-ADC7B2638190}" name="Cable Size" dataDxfId="84"/>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3" dataDxfId="82">
  <autoFilter ref="U396:X407" xr:uid="{00000000-0009-0000-0100-000029000000}"/>
  <tableColumns count="4">
    <tableColumn id="1" xr3:uid="{629A9060-7BF6-E649-A85B-7879D8CC91EF}" name="Ref A      1-Phase" dataDxfId="81"/>
    <tableColumn id="2" xr3:uid="{22EA7403-AE82-084D-AE1B-7030BC0C63A0}" name="Ref A      3-Phase" dataDxfId="80"/>
    <tableColumn id="3" xr3:uid="{9F692CC1-4F91-EB4F-B3AC-671C23BE0C57}" name="Ref B      1-Phase" dataDxfId="79"/>
    <tableColumn id="9" xr3:uid="{56DD2169-D436-F848-9B14-895D34C09720}" name="Cable Size" dataDxfId="78"/>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7" dataDxfId="76">
  <autoFilter ref="U412:AA426" xr:uid="{00000000-0009-0000-0100-00002A000000}"/>
  <tableColumns count="7">
    <tableColumn id="1" xr3:uid="{B18BCCC7-99E1-B14A-BFAC-0B4E30E2DF09}" name="Ref A      1-Phase" dataDxfId="75"/>
    <tableColumn id="2" xr3:uid="{8DB24597-5557-2747-80A8-266E72BD06DC}" name="Ref A      3-Phase" dataDxfId="74"/>
    <tableColumn id="3" xr3:uid="{C4201E8C-64F7-9241-98F6-44242F9B5E75}" name="Ref B      1-Phase" dataDxfId="73"/>
    <tableColumn id="4" xr3:uid="{8D7D6662-BAB7-9A4C-87D8-B0BB6DED5601}" name="Ref B      3-Phase" dataDxfId="72"/>
    <tableColumn id="5" xr3:uid="{D9609F69-F8BE-814C-B86F-088619CF25DB}" name="Ref C      1-Phase" dataDxfId="71"/>
    <tableColumn id="6" xr3:uid="{0497F70E-F0E0-A242-BBE5-68723EDE715E}" name="Ref C       3-Phase" dataDxfId="70"/>
    <tableColumn id="9" xr3:uid="{32A5BEA2-DBCE-224B-8633-140795601F1B}" name="Cable Size" dataDxfId="69"/>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8" dataDxfId="67">
  <autoFilter ref="U431:X442" xr:uid="{00000000-0009-0000-0100-00002B000000}"/>
  <tableColumns count="4">
    <tableColumn id="1" xr3:uid="{3AC68602-9E1A-E345-85E3-B2412AD8C2B5}" name="Ref A      1-Phase" dataDxfId="66"/>
    <tableColumn id="2" xr3:uid="{6232D800-8E9A-2546-A8B1-A43611DF838E}" name="Ref A      3-Phase" dataDxfId="65"/>
    <tableColumn id="3" xr3:uid="{0F63577F-820A-454F-ADF6-5842A002AA70}" name="Ref B      1-Phase" dataDxfId="64"/>
    <tableColumn id="9" xr3:uid="{C4EE797C-3F84-9042-A0A4-DBDA345D0F8D}" name="Cable Size" dataDxfId="6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D316" activePane="bottomRight" state="frozen"/>
      <selection activeCell="O51" sqref="O51"/>
      <selection pane="topRight" activeCell="O51" sqref="O51"/>
      <selection pane="bottomLeft" activeCell="O51" sqref="O51"/>
      <selection pane="bottomRight" activeCell="A333" sqref="A333"/>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f>IF(AND('Customer Base'!D$20="BYD",'Customer Base'!E$20=5,'Customer Base'!D7&lt;&gt;"Grid-Tied"),'Customer Base'!J$8+IF(AND('Customer Base'!D13="Victron",'Customer Base'!D7="Backup"),'Customer Base'!J8,0),"")</f>
        <v>90</v>
      </c>
      <c r="J1" s="103" t="s">
        <v>800</v>
      </c>
      <c r="K1" s="225" t="s">
        <v>2698</v>
      </c>
      <c r="L1" s="313">
        <f ca="1">IF(NOW()&gt;INVOICE!Q13,"",IF(AND('Customer Base'!D7&lt;&gt;"Grid-Tied",'Customer Base'!D7&lt;&gt;"Backup",SUM('Client List'!EE477:EE491)&lt;&gt;0,AND('Customer Base'!D13="Victron",'Customer Base'!D14&lt;&gt;6)),('Client List'!EE474*'Client List'!EC474),0)+IF(AND('Customer Base'!D7&lt;&gt;"Grid-Tied",'Customer Base'!D7&lt;&gt;"Backup",SUM('Client List'!EE477:EE491)&lt;&gt;0,AND('Customer Base'!D13="Victron",'Customer Base'!D14&lt;&gt;6)),('Client List'!IM474*'Client List'!IK474),0)+IF(AND('Customer Base'!D7&lt;&gt;"Grid-Tied",'Customer Base'!D7&lt;&gt;"Backup",AND(SUM('Client List'!EE477:EE491)=0,'Client List'!EC474&gt;0)),1,0)+IFERROR(L5,0))</f>
        <v>14</v>
      </c>
      <c r="M1" s="103" t="s">
        <v>2485</v>
      </c>
      <c r="N1" s="103">
        <f ca="1">IFERROR('Client List'!AC493,IF(AND('Customer Base'!D7&lt;&gt;"Backup",SUMPRODUCT(A6:A132,AP6:AP132)&gt;0),SUM(A242:A255)/L5,0))</f>
        <v>3</v>
      </c>
      <c r="AX1" s="225" t="s">
        <v>1214</v>
      </c>
      <c r="AY1" s="225" t="s">
        <v>2199</v>
      </c>
      <c r="AZ1" s="227" t="s">
        <v>2313</v>
      </c>
      <c r="BA1" s="103">
        <v>1</v>
      </c>
      <c r="BB1" s="103">
        <f>INDEX(AM6:AM285,MATCH(AZ1,AN6:AN285,0))</f>
        <v>3</v>
      </c>
      <c r="BC1" s="103" t="s">
        <v>1228</v>
      </c>
      <c r="BD1" s="103">
        <f>INDEX(AQ6:AQ285,MATCH(AZ1,AN6:AN285,0))</f>
        <v>48</v>
      </c>
      <c r="BE1" s="225" t="s">
        <v>2318</v>
      </c>
    </row>
    <row r="2" spans="1:68">
      <c r="A2" s="269" cm="1">
        <f t="array" aca="1" ref="A2" ca="1">INDEX(A6:A550,SMALL(IF(A6:A550&lt;&gt;"",ROW(A6:A550)-MIN(ROW(A6:A550))+1),2))</f>
        <v>18</v>
      </c>
      <c r="B2" s="270">
        <v>18</v>
      </c>
      <c r="C2" s="103" t="b">
        <f ca="1">IF(AND('Customer Base'!D7="Backup",'Customer Base'!D13="Victron"),0,IF(AND('CABLE SIZING TOOL'!E$104*100&gt;3,'CABLE SIZING TOOL'!F$104*100&gt;=3,'CABLE SIZING TOOL'!G$104*100&gt;3,'CABLE SIZING TOOL'!H$104*100&lt;=3),'Customer Base'!D$31*(IF(AND('Customer Base'!D7&lt;&gt;"Backup",'Customer Base'!D7&lt;&gt;"Grid-Tied",SUM(Items!A258:A290)&gt;0),SUM(Items!A258:A290),L$1)*2),IF(AND('CABLE SIZING TOOL'!E$104*100&gt;3,'CABLE SIZING TOOL'!F$104*100&gt;3,'CABLE SIZING TOOL'!G$104*100&gt;3,'CABLE SIZING TOOL'!H$104*100&lt;=3),'Customer Base'!D$31*(IF(AND('Customer Base'!D7&lt;&gt;"Backup",'Customer Base'!D7&lt;&gt;"Grid-Tied",SUM(Items!A258:A290)&gt;0),SUM(Items!A258:A290),L$1)*2))))</f>
        <v>0</v>
      </c>
      <c r="G2" s="103"/>
      <c r="I2" s="228"/>
      <c r="J2" s="103" t="s">
        <v>1174</v>
      </c>
      <c r="K2" s="103" t="s">
        <v>10</v>
      </c>
      <c r="L2" s="103">
        <v>600</v>
      </c>
      <c r="M2" s="103" t="s">
        <v>989</v>
      </c>
      <c r="N2" s="228"/>
      <c r="P2" s="103" t="str">
        <f>"Exchange Rate: USD 1 = GH₵ "&amp;'Customer Base'!J5</f>
        <v>Exchange Rate: USD 1 = GH₵ 16</v>
      </c>
      <c r="AX2" s="225"/>
      <c r="BB2" s="103">
        <f>INDEX(AM6:AM285,MATCH(AZ4,AN6:AN285,0))</f>
        <v>0.55500000000000005</v>
      </c>
      <c r="BC2" s="103" t="s">
        <v>2315</v>
      </c>
      <c r="BD2" s="103">
        <f>INDEX(AQ6:AQ285,MATCH(AZ4,AN6:AN285,0))</f>
        <v>49.72</v>
      </c>
      <c r="BE2" s="103" t="s">
        <v>2316</v>
      </c>
    </row>
    <row r="3" spans="1:68">
      <c r="C3" s="229" t="s">
        <v>797</v>
      </c>
      <c r="D3" s="229" t="s">
        <v>1279</v>
      </c>
      <c r="E3" s="229" t="s">
        <v>1280</v>
      </c>
      <c r="F3" s="229" t="s">
        <v>1065</v>
      </c>
      <c r="G3" s="230" t="s">
        <v>1064</v>
      </c>
      <c r="H3" s="229" t="s">
        <v>1066</v>
      </c>
      <c r="I3" s="104" t="s">
        <v>1067</v>
      </c>
      <c r="K3" s="103" t="s">
        <v>18</v>
      </c>
      <c r="L3" s="103">
        <v>35</v>
      </c>
      <c r="M3" s="103" t="s">
        <v>987</v>
      </c>
      <c r="AT3" s="103">
        <f>IF(SUM(AT6:AT13540)&gt;0,SUBTOTAL(109,(AT6:AT940)),"")</f>
        <v>2</v>
      </c>
      <c r="AU3" s="103">
        <f>IF(SUM(AU6:AU13540)&gt;0,SUBTOTAL(109,(AU6:AU940)),"")</f>
        <v>1</v>
      </c>
      <c r="AV3" s="103">
        <f>IF(SUM(AV6:AV13540)&gt;0,SUBTOTAL(109,(AV6:AV940)),"")</f>
        <v>3</v>
      </c>
      <c r="AX3" s="225" t="s">
        <v>2194</v>
      </c>
      <c r="AY3" s="225" t="s">
        <v>2212</v>
      </c>
      <c r="AZ3" s="227" t="s">
        <v>2295</v>
      </c>
      <c r="BA3" s="103">
        <v>1</v>
      </c>
      <c r="BB3" s="103">
        <f>INDEX(AM6:AM285,MATCH(AZ3,AN6:AN285,0))</f>
        <v>4.8</v>
      </c>
      <c r="BC3" s="103" t="s">
        <v>1229</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2317</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1885</v>
      </c>
      <c r="AY4" s="225" t="s">
        <v>2298</v>
      </c>
      <c r="AZ4" s="103" t="s">
        <v>2303</v>
      </c>
      <c r="BA4" s="103">
        <f>IF(AND(ROUNDUP(BC4/BB2,0)*BD2&gt;BD3,AND(MOD(ROUNDUP(BC4/BB2,0),3)&lt;&gt;0,MOD(ROUNDUP(BC4/BB2,0),2)&lt;&gt;0)),EVEN(ROUNDUP(BC4/BB2,0)),ROUNDUP(BC4/BB2,0))</f>
        <v>6</v>
      </c>
      <c r="BB4" s="103">
        <f>SUMPRODUCT(AV242:AV255,AM242:AM255)*0.8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16.689655172413794</v>
      </c>
      <c r="BM4" s="103">
        <f>MOD('Customer Base'!$J$9*1000*0.8,$BO4)</f>
        <v>800</v>
      </c>
      <c r="BN4" s="103">
        <v>20</v>
      </c>
      <c r="BO4" s="103">
        <v>1160</v>
      </c>
      <c r="BP4" s="231"/>
    </row>
    <row r="5" spans="1:68">
      <c r="C5" s="232" t="s">
        <v>1882</v>
      </c>
      <c r="D5" s="233"/>
      <c r="E5" s="233"/>
      <c r="F5" s="233"/>
      <c r="G5" s="234"/>
      <c r="H5" s="233"/>
      <c r="I5" s="235"/>
      <c r="K5" s="225" t="s">
        <v>2697</v>
      </c>
      <c r="L5" s="256" t="e">
        <f>IF('Customer Base'!D7&lt;&gt;"Mini-Grid",ROUNDUP(SUM(A242:A255)*(SUMPRODUCT(A242:A255,AQ242:AQ255)/SUM(A242:A255))/(SUMPRODUCT(A6:A132,AP6:AP132)/'Customer Base'!D15),0),IF('Customer Base'!D7="Mini-Grid",ROUNDUP(ROUNDDOWN(PRODUCT('Customer Base'!F14:F15,1000/0.8)/'Customer Base'!D26,0)*(SUMPRODUCT(A242:A255,AQ242:AQ255)/SUM(A242:A255))/(SUMPRODUCT(A6:A132,AP6:AP132)/'Customer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1206</v>
      </c>
      <c r="AR5" s="103" t="s">
        <v>2202</v>
      </c>
      <c r="AS5" s="103" t="s">
        <v>2196</v>
      </c>
      <c r="AT5" s="103" t="s">
        <v>2187</v>
      </c>
      <c r="AU5" s="103" t="s">
        <v>2188</v>
      </c>
      <c r="AZ5" s="226" t="s">
        <v>2310</v>
      </c>
      <c r="BA5" s="225" t="s">
        <v>1214</v>
      </c>
      <c r="BB5" s="225" t="s">
        <v>2197</v>
      </c>
      <c r="BC5" s="103" t="s">
        <v>2210</v>
      </c>
      <c r="BD5" s="103" t="s">
        <v>1215</v>
      </c>
      <c r="BE5" s="103" t="s">
        <v>2309</v>
      </c>
      <c r="BL5" s="231">
        <f>'Customer Base'!$J$9*1000*0.8/$BO$5</f>
        <v>9.68</v>
      </c>
      <c r="BM5" s="103">
        <f>MOD('Customer Base'!$J$9*1000*0.8,$BO5)</f>
        <v>1360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1481</v>
      </c>
      <c r="T6" s="103" t="s">
        <v>2836</v>
      </c>
      <c r="U6" s="103" t="s">
        <v>1207</v>
      </c>
      <c r="W6" s="103" t="s">
        <v>1462</v>
      </c>
      <c r="AD6" s="103" t="s">
        <v>1419</v>
      </c>
      <c r="AM6" s="239">
        <v>0.25</v>
      </c>
      <c r="AN6" s="239" t="s">
        <v>2218</v>
      </c>
      <c r="AO6" s="103" t="str">
        <f>IF('Customer Base'!$I$15="MANUAL",IFERROR(AM6*B6,""),IF('Customer Base'!$I$15="AUTOMATE",IFERROR(AM6*A6,""),""))</f>
        <v/>
      </c>
      <c r="AQ6" s="103">
        <v>12</v>
      </c>
      <c r="AR6" s="103" t="s">
        <v>2195</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INDEX(AR$242:AR$255,MATCH(0,COUNTIF($BE$5:BE5,AR$242:AR$255),0))</f>
        <v>BYD_Solar_Panel</v>
      </c>
      <c r="BL6" s="231">
        <f>'Customer Base'!$J$9*1000*0.8/$BO$6</f>
        <v>7.4461538461538463</v>
      </c>
      <c r="BM6" s="103">
        <f>MOD('Customer Base'!$J$9*1000*0.8,$BO6)</f>
        <v>1160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1211</v>
      </c>
      <c r="T7" s="103" t="s">
        <v>2835</v>
      </c>
      <c r="U7" s="103" t="s">
        <v>1210</v>
      </c>
      <c r="W7" s="103" t="s">
        <v>1463</v>
      </c>
      <c r="AD7" s="104" t="s">
        <v>1421</v>
      </c>
      <c r="AE7" s="104" t="s">
        <v>1422</v>
      </c>
      <c r="AF7" s="104" t="s">
        <v>1423</v>
      </c>
      <c r="AG7" s="104" t="s">
        <v>1420</v>
      </c>
      <c r="AH7" s="104"/>
      <c r="AI7" s="104"/>
      <c r="AJ7" s="104" t="s">
        <v>1424</v>
      </c>
      <c r="AM7" s="239">
        <v>0.375</v>
      </c>
      <c r="AN7" s="239" t="s">
        <v>2219</v>
      </c>
      <c r="AO7" s="103" t="str">
        <f>IF('Customer Base'!$I$15="MANUAL",IFERROR(AM7*B7,""),IF('Customer Base'!$I$15="AUTOMATE",IFERROR(AM7*A7,""),""))</f>
        <v/>
      </c>
      <c r="AQ7" s="103">
        <v>12</v>
      </c>
      <c r="AR7" s="103" t="s">
        <v>2195</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INDEX(AR$242:AR$255,MATCH(0,COUNTIF($BE$5:BE6,AR$242:AR$255),0))</f>
        <v>0</v>
      </c>
      <c r="BL7" s="231">
        <f>'Customer Base'!$J$9*1000*0.8/$BO$7</f>
        <v>5.6279069767441863</v>
      </c>
      <c r="BM7" s="103">
        <f>MOD('Customer Base'!$J$9*1000*0.8,$BO7)</f>
        <v>2160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1649</v>
      </c>
      <c r="Q8" s="103" t="s">
        <v>1535</v>
      </c>
      <c r="S8" s="103" t="s">
        <v>1212</v>
      </c>
      <c r="T8" s="103" t="s">
        <v>2837</v>
      </c>
      <c r="U8" s="103" t="s">
        <v>1208</v>
      </c>
      <c r="AD8" s="103" t="s">
        <v>1438</v>
      </c>
      <c r="AE8" s="103" t="s">
        <v>1426</v>
      </c>
      <c r="AF8" s="103" t="s">
        <v>1437</v>
      </c>
      <c r="AG8" s="103" t="s">
        <v>1416</v>
      </c>
      <c r="AH8" s="103" t="s">
        <v>1439</v>
      </c>
      <c r="AI8" s="103" t="s">
        <v>1440</v>
      </c>
      <c r="AJ8" s="103" t="s">
        <v>1456</v>
      </c>
      <c r="AM8" s="239">
        <v>0.5</v>
      </c>
      <c r="AN8" s="239" t="s">
        <v>2220</v>
      </c>
      <c r="AO8" s="103" t="str">
        <f>IF('Customer Base'!$I$15="MANUAL",IFERROR(AM8*B8,""),IF('Customer Base'!$I$15="AUTOMATE",IFERROR(AM8*A8,""),""))</f>
        <v/>
      </c>
      <c r="AQ8" s="103">
        <v>12</v>
      </c>
      <c r="AR8" s="103" t="s">
        <v>2195</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INDEX(AR$242:AR$255,MATCH(0,COUNTIF($BE$5:BE7,AR$242:AR$255),0))</f>
        <v>Jinko_Solar_Panel</v>
      </c>
      <c r="BL8" s="231">
        <f>'Customer Base'!$J$9*1000*0.8/$BO$8</f>
        <v>4.84</v>
      </c>
      <c r="BM8" s="103">
        <f>MOD('Customer Base'!$J$9*1000*0.8,$BO8)</f>
        <v>3360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1612</v>
      </c>
      <c r="S9" s="103" t="s">
        <v>1907</v>
      </c>
      <c r="T9" s="103" t="s">
        <v>2838</v>
      </c>
      <c r="U9" s="103" t="s">
        <v>1209</v>
      </c>
      <c r="W9" s="103" t="s">
        <v>1812</v>
      </c>
      <c r="AD9" s="103" t="s">
        <v>20</v>
      </c>
      <c r="AE9" s="103" t="s">
        <v>1417</v>
      </c>
      <c r="AF9" s="103" t="s">
        <v>1418</v>
      </c>
      <c r="AG9" s="103" t="s">
        <v>1416</v>
      </c>
      <c r="AH9" s="103" t="s">
        <v>21</v>
      </c>
      <c r="AI9" s="103" t="s">
        <v>22</v>
      </c>
      <c r="AJ9" s="103" t="s">
        <v>1425</v>
      </c>
      <c r="AM9" s="239">
        <v>0.8</v>
      </c>
      <c r="AN9" s="239" t="s">
        <v>2221</v>
      </c>
      <c r="AO9" s="103" t="str">
        <f>IF('Customer Base'!$I$15="MANUAL",IFERROR(AM9*B9,""),IF('Customer Base'!$I$15="AUTOMATE",IFERROR(AM9*A9,""),""))</f>
        <v/>
      </c>
      <c r="AQ9" s="103">
        <v>12</v>
      </c>
      <c r="AR9" s="103" t="s">
        <v>2195</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INDEX(AR$242:AR$255,MATCH(0,COUNTIF($BE$5:BE8,AR$242:AR$255),0))</f>
        <v>JA_Solar_Panel</v>
      </c>
      <c r="BL9" s="231">
        <f>'Customer Base'!$J$9*1000*0.8/$BO$9</f>
        <v>3.9510204081632652</v>
      </c>
      <c r="BM9" s="103">
        <f>MOD('Customer Base'!$J$9*1000*0.8,$BO9)</f>
        <v>4660</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T10" s="103" t="s">
        <v>1908</v>
      </c>
      <c r="U10" s="103" t="s">
        <v>1205</v>
      </c>
      <c r="W10" s="103" t="s">
        <v>1813</v>
      </c>
      <c r="AD10" s="103" t="s">
        <v>1442</v>
      </c>
      <c r="AE10" s="103" t="s">
        <v>1427</v>
      </c>
      <c r="AF10" s="103" t="s">
        <v>1432</v>
      </c>
      <c r="AG10" s="103" t="s">
        <v>1416</v>
      </c>
      <c r="AH10" s="103" t="s">
        <v>1443</v>
      </c>
      <c r="AI10" s="103" t="s">
        <v>1441</v>
      </c>
      <c r="AJ10" s="103" t="s">
        <v>1457</v>
      </c>
      <c r="AM10" s="239">
        <v>1.2</v>
      </c>
      <c r="AN10" s="239" t="s">
        <v>2314</v>
      </c>
      <c r="AO10" s="103">
        <f>IF('Customer Base'!$I$15="MANUAL",IFERROR(AM10*B10,""),IF('Customer Base'!$I$15="AUTOMATE",IFERROR(AM10*A10,""),""))</f>
        <v>0</v>
      </c>
      <c r="AQ10" s="103">
        <v>12</v>
      </c>
      <c r="AR10" s="103" t="s">
        <v>2195</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INDEX(AR$242:AR$255,MATCH(0,COUNTIF($BE$5:BE9,AR$242:AR$255),0))</f>
        <v>Sharp_Solar_Panel</v>
      </c>
      <c r="BL10" s="231">
        <f>'Customer Base'!$J$9*1000*0.8/$BO$10</f>
        <v>3.3379310344827586</v>
      </c>
      <c r="BM10" s="103">
        <f>MOD('Customer Base'!$J$9*1000*0.8,$BO10)</f>
        <v>1960</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1578</v>
      </c>
      <c r="U11" s="103" t="s">
        <v>1232</v>
      </c>
      <c r="W11" s="103" t="s">
        <v>1814</v>
      </c>
      <c r="AD11" s="103" t="s">
        <v>1445</v>
      </c>
      <c r="AE11" s="103" t="s">
        <v>1428</v>
      </c>
      <c r="AF11" s="103" t="s">
        <v>1433</v>
      </c>
      <c r="AG11" s="103" t="s">
        <v>1416</v>
      </c>
      <c r="AH11" s="103" t="s">
        <v>1444</v>
      </c>
      <c r="AI11" s="103" t="s">
        <v>1455</v>
      </c>
      <c r="AJ11" s="103" t="s">
        <v>1458</v>
      </c>
      <c r="AM11" s="239">
        <v>0.25</v>
      </c>
      <c r="AN11" s="239" t="s">
        <v>2223</v>
      </c>
      <c r="AO11" s="103">
        <f>IF('Customer Base'!$I$15="MANUAL",IFERROR(AM11*B11,""),IF('Customer Base'!$I$15="AUTOMATE",IFERROR(AM11*A11,""),""))</f>
        <v>0</v>
      </c>
      <c r="AQ11" s="103">
        <v>24</v>
      </c>
      <c r="AR11" s="103" t="s">
        <v>2195</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INDEX(AR$242:AR$255,MATCH(0,COUNTIF($BE$5:BE10,AR$242:AR$255),0))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1220</v>
      </c>
      <c r="U12" s="103" t="s">
        <v>1269</v>
      </c>
      <c r="W12" s="103" t="s">
        <v>1815</v>
      </c>
      <c r="AD12" s="103" t="s">
        <v>1447</v>
      </c>
      <c r="AE12" s="103" t="s">
        <v>1429</v>
      </c>
      <c r="AF12" s="103" t="s">
        <v>1434</v>
      </c>
      <c r="AG12" s="103" t="s">
        <v>1416</v>
      </c>
      <c r="AH12" s="103" t="s">
        <v>1448</v>
      </c>
      <c r="AI12" s="103" t="s">
        <v>1446</v>
      </c>
      <c r="AJ12" s="103" t="s">
        <v>1459</v>
      </c>
      <c r="AM12" s="239">
        <v>0.375</v>
      </c>
      <c r="AN12" s="239" t="s">
        <v>2224</v>
      </c>
      <c r="AO12" s="103">
        <f>IF('Customer Base'!$I$15="MANUAL",IFERROR(AM12*B12,""),IF('Customer Base'!$I$15="AUTOMATE",IFERROR(AM12*A12,""),""))</f>
        <v>0</v>
      </c>
      <c r="AQ12" s="103">
        <v>24</v>
      </c>
      <c r="AR12" s="103" t="s">
        <v>2195</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3.3379310344827586</v>
      </c>
      <c r="BM12" s="103">
        <f>MAX(BM4:BM10)</f>
        <v>4660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1623</v>
      </c>
      <c r="W13" s="103" t="s">
        <v>1816</v>
      </c>
      <c r="AD13" s="103" t="s">
        <v>1449</v>
      </c>
      <c r="AE13" s="103" t="s">
        <v>1430</v>
      </c>
      <c r="AF13" s="103" t="s">
        <v>1435</v>
      </c>
      <c r="AG13" s="103" t="s">
        <v>1416</v>
      </c>
      <c r="AH13" s="103" t="s">
        <v>1450</v>
      </c>
      <c r="AI13" s="103" t="s">
        <v>1451</v>
      </c>
      <c r="AJ13" s="103" t="s">
        <v>1456</v>
      </c>
      <c r="AM13" s="239">
        <v>0.5</v>
      </c>
      <c r="AN13" s="239" t="s">
        <v>2225</v>
      </c>
      <c r="AO13" s="103" t="str">
        <f>IF('Customer Base'!$I$15="MANUAL",IFERROR(AM13*B13,""),IF('Customer Base'!$I$15="AUTOMATE",IFERROR(AM13*A13,""),""))</f>
        <v/>
      </c>
      <c r="AQ13" s="103">
        <v>24</v>
      </c>
      <c r="AR13" s="103" t="s">
        <v>2195</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1233</v>
      </c>
      <c r="U14" s="103" t="s">
        <v>1270</v>
      </c>
      <c r="W14" s="103" t="s">
        <v>1817</v>
      </c>
      <c r="AD14" s="103" t="s">
        <v>1453</v>
      </c>
      <c r="AE14" s="103" t="s">
        <v>1431</v>
      </c>
      <c r="AF14" s="103" t="s">
        <v>1436</v>
      </c>
      <c r="AG14" s="103" t="s">
        <v>1416</v>
      </c>
      <c r="AH14" s="103" t="s">
        <v>1452</v>
      </c>
      <c r="AI14" s="103" t="s">
        <v>1454</v>
      </c>
      <c r="AJ14" s="103" t="s">
        <v>1460</v>
      </c>
      <c r="AM14" s="239">
        <v>0.8</v>
      </c>
      <c r="AN14" s="239" t="s">
        <v>2226</v>
      </c>
      <c r="AO14" s="103" t="str">
        <f>IF('Customer Base'!$I$15="MANUAL",IFERROR(AM14*B14,""),IF('Customer Base'!$I$15="AUTOMATE",IFERROR(AM14*A14,""),""))</f>
        <v/>
      </c>
      <c r="AQ14" s="103">
        <v>24</v>
      </c>
      <c r="AR14" s="103" t="s">
        <v>2195</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1265</v>
      </c>
      <c r="U15" s="103" t="s">
        <v>1652</v>
      </c>
      <c r="W15" s="103" t="s">
        <v>1818</v>
      </c>
      <c r="AD15" s="103" t="s">
        <v>2379</v>
      </c>
      <c r="AE15" s="103" t="s">
        <v>2380</v>
      </c>
      <c r="AF15" s="103" t="s">
        <v>2381</v>
      </c>
      <c r="AG15" s="103" t="s">
        <v>1416</v>
      </c>
      <c r="AH15" s="103" t="s">
        <v>2382</v>
      </c>
      <c r="AI15" s="103" t="s">
        <v>2383</v>
      </c>
      <c r="AJ15" s="103" t="s">
        <v>2384</v>
      </c>
      <c r="AM15" s="239">
        <v>1.2</v>
      </c>
      <c r="AN15" s="239" t="s">
        <v>2227</v>
      </c>
      <c r="AO15" s="103">
        <f>IF('Customer Base'!$I$15="MANUAL",IFERROR(AM15*B15,""),IF('Customer Base'!$I$15="AUTOMATE",IFERROR(AM15*A15,""),""))</f>
        <v>0</v>
      </c>
      <c r="AQ15" s="103">
        <v>24</v>
      </c>
      <c r="AR15" s="103" t="s">
        <v>2195</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1266</v>
      </c>
      <c r="AD16" s="103" t="s">
        <v>2580</v>
      </c>
      <c r="AE16" s="103" t="s">
        <v>2581</v>
      </c>
      <c r="AF16" s="103" t="s">
        <v>2582</v>
      </c>
      <c r="AG16" s="103" t="s">
        <v>1416</v>
      </c>
      <c r="AH16" s="103" t="s">
        <v>2583</v>
      </c>
      <c r="AI16" s="103" t="s">
        <v>2585</v>
      </c>
      <c r="AJ16" s="103" t="s">
        <v>2584</v>
      </c>
      <c r="AM16" s="239">
        <v>0.25</v>
      </c>
      <c r="AN16" s="239" t="s">
        <v>2228</v>
      </c>
      <c r="AO16" s="103">
        <f>IF('Customer Base'!$I$15="MANUAL",IFERROR(AM16*B16,""),IF('Customer Base'!$I$15="AUTOMATE",IFERROR(AM16*A16,""),""))</f>
        <v>0</v>
      </c>
      <c r="AQ16" s="103">
        <v>48</v>
      </c>
      <c r="AR16" s="103" t="s">
        <v>2195</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1267</v>
      </c>
      <c r="AM17" s="239">
        <v>0.375</v>
      </c>
      <c r="AN17" s="239" t="s">
        <v>2229</v>
      </c>
      <c r="AO17" s="103">
        <f>IF('Customer Base'!$I$15="MANUAL",IFERROR(AM17*B17,""),IF('Customer Base'!$I$15="AUTOMATE",IFERROR(AM17*A17,""),""))</f>
        <v>0</v>
      </c>
      <c r="AQ17" s="103">
        <v>48</v>
      </c>
      <c r="AR17" s="103" t="s">
        <v>2195</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1296</v>
      </c>
      <c r="AM18" s="239">
        <v>0.5</v>
      </c>
      <c r="AN18" s="239" t="s">
        <v>2230</v>
      </c>
      <c r="AO18" s="103" t="str">
        <f>IF('Customer Base'!$I$15="MANUAL",IFERROR(AM18*B18,""),IF('Customer Base'!$I$15="AUTOMATE",IFERROR(AM18*A18,""),""))</f>
        <v/>
      </c>
      <c r="AQ18" s="103">
        <v>48</v>
      </c>
      <c r="AR18" s="103" t="s">
        <v>2195</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1297</v>
      </c>
      <c r="AM19" s="239">
        <v>0.8</v>
      </c>
      <c r="AN19" s="239" t="s">
        <v>2231</v>
      </c>
      <c r="AO19" s="103" t="str">
        <f>IF('Customer Base'!$I$15="MANUAL",IFERROR(AM19*B19,""),IF('Customer Base'!$I$15="AUTOMATE",IFERROR(AM19*A19,""),""))</f>
        <v/>
      </c>
      <c r="AQ19" s="103">
        <v>48</v>
      </c>
      <c r="AR19" s="103" t="s">
        <v>2195</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1388</v>
      </c>
      <c r="AM20" s="239">
        <v>1.2</v>
      </c>
      <c r="AN20" s="239" t="s">
        <v>2232</v>
      </c>
      <c r="AO20" s="103" t="str">
        <f>IF('Customer Base'!$I$15="MANUAL",IFERROR(AM20*B20,""),IF('Customer Base'!$I$15="AUTOMATE",IFERROR(AM20*A20,""),""))</f>
        <v/>
      </c>
      <c r="AQ20" s="103">
        <v>48</v>
      </c>
      <c r="AR20" s="103" t="s">
        <v>2195</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1389</v>
      </c>
      <c r="AM21" s="103">
        <v>1.6</v>
      </c>
      <c r="AN21" s="103" t="s">
        <v>2253</v>
      </c>
      <c r="AO21" s="103" t="str">
        <f>IF('Customer Base'!$I$15="MANUAL",IFERROR(AM21*B21,""),IF('Customer Base'!$I$15="AUTOMATE",IFERROR(AM21*A21,""),""))</f>
        <v/>
      </c>
      <c r="AQ21" s="103">
        <v>48</v>
      </c>
      <c r="AR21" s="103" t="s">
        <v>2195</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1741</v>
      </c>
      <c r="AM22" s="103">
        <v>2</v>
      </c>
      <c r="AN22" s="103" t="s">
        <v>2254</v>
      </c>
      <c r="AO22" s="103" t="str">
        <f>IF('Customer Base'!$I$15="MANUAL",IFERROR(AM22*B22,""),IF('Customer Base'!$I$15="AUTOMATE",IFERROR(AM22*A22,""),""))</f>
        <v/>
      </c>
      <c r="AQ22" s="103">
        <v>48</v>
      </c>
      <c r="AR22" s="103" t="s">
        <v>2195</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1755</v>
      </c>
      <c r="AM23" s="103">
        <v>3</v>
      </c>
      <c r="AN23" s="103" t="s">
        <v>2255</v>
      </c>
      <c r="AO23" s="103" t="str">
        <f>IF('Customer Base'!$I$15="MANUAL",IFERROR(AM23*B23,""),IF('Customer Base'!$I$15="AUTOMATE",IFERROR(AM23*A23,""),""))</f>
        <v/>
      </c>
      <c r="AQ23" s="103">
        <v>48</v>
      </c>
      <c r="AR23" s="103" t="s">
        <v>2195</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2256</v>
      </c>
      <c r="AO24" s="103" t="str">
        <f>IF('Customer Base'!$I$15="MANUAL",IFERROR(AM24*B24,""),IF('Customer Base'!$I$15="AUTOMATE",IFERROR(AM24*A24,""),""))</f>
        <v/>
      </c>
      <c r="AQ24" s="103">
        <v>48</v>
      </c>
      <c r="AR24" s="103" t="s">
        <v>2195</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2220</v>
      </c>
      <c r="AO26" s="103" t="str">
        <f>IF('Customer Base'!$I$15="MANUAL",IFERROR(AM26*B26,""),IF('Customer Base'!$I$15="AUTOMATE",IFERROR(AM26*A26,""),""))</f>
        <v/>
      </c>
      <c r="AQ26" s="103">
        <v>12</v>
      </c>
      <c r="AR26" s="103" t="s">
        <v>2199</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2221</v>
      </c>
      <c r="AO27" s="103" t="str">
        <f>IF('Customer Base'!$I$15="MANUAL",IFERROR(AM27*B27,""),IF('Customer Base'!$I$15="AUTOMATE",IFERROR(AM27*A27,""),""))</f>
        <v/>
      </c>
      <c r="AQ27" s="103">
        <v>12</v>
      </c>
      <c r="AR27" s="103" t="s">
        <v>2199</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2222</v>
      </c>
      <c r="AO28" s="103" t="str">
        <f>IF('Customer Base'!$I$15="MANUAL",IFERROR(AM28*B28,""),IF('Customer Base'!$I$15="AUTOMATE",IFERROR(AM28*A28,""),""))</f>
        <v/>
      </c>
      <c r="AQ28" s="103">
        <v>12</v>
      </c>
      <c r="AR28" s="103" t="s">
        <v>2199</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3kVA inverter, 90kWh Battery, and Remote Monitoring</v>
      </c>
      <c r="AM29" s="103">
        <v>1.6</v>
      </c>
      <c r="AN29" s="103" t="s">
        <v>2233</v>
      </c>
      <c r="AO29" s="103">
        <f>IF('Customer Base'!$I$15="MANUAL",IFERROR(AM29*B29,""),IF('Customer Base'!$I$15="AUTOMATE",IFERROR(AM29*A29,""),""))</f>
        <v>0</v>
      </c>
      <c r="AQ29" s="103">
        <v>12</v>
      </c>
      <c r="AR29" s="103" t="s">
        <v>2199</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3kVA inverter, 24.2kWp Solar Panels and Remote Monitoring</v>
      </c>
      <c r="AM30" s="103">
        <v>2</v>
      </c>
      <c r="AN30" s="241" t="s">
        <v>2236</v>
      </c>
      <c r="AO30" s="103">
        <f>IF('Customer Base'!$I$15="MANUAL",IFERROR(AM30*B30,""),IF('Customer Base'!$I$15="AUTOMATE",IFERROR(AM30*A30,""),""))</f>
        <v>0</v>
      </c>
      <c r="AQ30" s="103">
        <v>12</v>
      </c>
      <c r="AR30" s="103" t="s">
        <v>2199</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1930</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3kVA inverter, 90kWh Battery, 24.2kWp Solar Panels and Remote Monitoring</v>
      </c>
      <c r="AM31" s="103">
        <v>0.5</v>
      </c>
      <c r="AN31" s="103" t="s">
        <v>2225</v>
      </c>
      <c r="AO31" s="103" t="str">
        <f>IF('Customer Base'!$I$15="MANUAL",IFERROR(AM31*B31,""),IF('Customer Base'!$I$15="AUTOMATE",IFERROR(AM31*A31,""),""))</f>
        <v/>
      </c>
      <c r="AQ31" s="103">
        <v>24</v>
      </c>
      <c r="AR31" s="103" t="s">
        <v>2199</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1931</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3kVA inverter, 90kWh Battery, and 24.2kWp Solar Panels</v>
      </c>
      <c r="AM32" s="103">
        <v>0.8</v>
      </c>
      <c r="AN32" s="103" t="s">
        <v>2226</v>
      </c>
      <c r="AO32" s="103" t="str">
        <f>IF('Customer Base'!$I$15="MANUAL",IFERROR(AM32*B32,""),IF('Customer Base'!$I$15="AUTOMATE",IFERROR(AM32*A32,""),""))</f>
        <v/>
      </c>
      <c r="AQ32" s="103">
        <v>24</v>
      </c>
      <c r="AR32" s="103" t="s">
        <v>2199</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1932</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3kVA inverter, 90kWh Battery, 24.2kWp Solar Panels and Remote Monitoring</v>
      </c>
      <c r="AM33" s="103">
        <v>1.2</v>
      </c>
      <c r="AN33" s="103" t="s">
        <v>2227</v>
      </c>
      <c r="AO33" s="103" t="str">
        <f>IF('Customer Base'!$I$15="MANUAL",IFERROR(AM33*B33,""),IF('Customer Base'!$I$15="AUTOMATE",IFERROR(AM33*A33,""),""))</f>
        <v/>
      </c>
      <c r="AQ33" s="103">
        <v>24</v>
      </c>
      <c r="AR33" s="103" t="s">
        <v>2199</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1933</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2235</v>
      </c>
      <c r="AO34" s="103" t="str">
        <f>IF('Customer Base'!$I$15="MANUAL",IFERROR(AM34*B34,""),IF('Customer Base'!$I$15="AUTOMATE",IFERROR(AM34*A34,""),""))</f>
        <v/>
      </c>
      <c r="AQ34" s="103">
        <v>24</v>
      </c>
      <c r="AR34" s="103" t="s">
        <v>2199</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1934</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2234</v>
      </c>
      <c r="AO35" s="103" t="str">
        <f>IF('Customer Base'!$I$15="MANUAL",IFERROR(AM35*B35,""),IF('Customer Base'!$I$15="AUTOMATE",IFERROR(AM35*A35,""),""))</f>
        <v/>
      </c>
      <c r="AQ35" s="103">
        <v>24</v>
      </c>
      <c r="AR35" s="103" t="s">
        <v>2199</v>
      </c>
      <c r="AS35" s="103">
        <v>1</v>
      </c>
      <c r="AT35" s="103" t="str">
        <f t="shared" si="2"/>
        <v/>
      </c>
      <c r="AV35" s="103" t="str">
        <f t="shared" si="3"/>
        <v/>
      </c>
      <c r="AW35" s="103">
        <v>80</v>
      </c>
      <c r="BD35" s="103" t="e" cm="1">
        <f t="array" ref="BD35">INDEX(AM$205:AM$236,MATCH(0,COUNTIF($BD$5:BD34,AM$205:AM$236),0))</f>
        <v>#N/A</v>
      </c>
    </row>
    <row r="36" spans="1:56">
      <c r="C36" s="237" t="s">
        <v>2709</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2782</v>
      </c>
      <c r="L36" s="224">
        <f>J36/'Customer Base'!$J$5</f>
        <v>412.5</v>
      </c>
      <c r="M36" s="103">
        <v>628</v>
      </c>
      <c r="N36" s="103">
        <v>31</v>
      </c>
      <c r="O36" s="103" t="str">
        <f>IF('Customer Base'!$I$15="MANUAL",IF(B36&lt;&gt;"",C36,""),IF('Customer Base'!$I$15="AUTOMATE",IF(A36&lt;&gt;"",C36,""),""))</f>
        <v/>
      </c>
      <c r="AM36" s="103">
        <v>3</v>
      </c>
      <c r="AN36" s="103" t="s">
        <v>2311</v>
      </c>
      <c r="AO36" s="103">
        <f>IF('Customer Base'!$I$15="MANUAL",IFERROR(AM36*B36,""),IF('Customer Base'!$I$15="AUTOMATE",IFERROR(AM36*A36,""),""))</f>
        <v>0</v>
      </c>
      <c r="AQ36" s="103">
        <v>24</v>
      </c>
      <c r="AR36" s="103" t="s">
        <v>2199</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2230</v>
      </c>
      <c r="AO37" s="103" t="str">
        <f>IF('Customer Base'!$I$15="MANUAL",IFERROR(AM37*B37,""),IF('Customer Base'!$I$15="AUTOMATE",IFERROR(AM37*A37,""),""))</f>
        <v/>
      </c>
      <c r="AQ37" s="103">
        <v>48</v>
      </c>
      <c r="AR37" s="103" t="s">
        <v>2199</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2231</v>
      </c>
      <c r="AO38" s="103" t="str">
        <f>IF('Customer Base'!$I$15="MANUAL",IFERROR(AM38*B38,""),IF('Customer Base'!$I$15="AUTOMATE",IFERROR(AM38*A38,""),""))</f>
        <v/>
      </c>
      <c r="AQ38" s="103">
        <v>48</v>
      </c>
      <c r="AR38" s="103" t="s">
        <v>2199</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2232</v>
      </c>
      <c r="AO39" s="103" t="str">
        <f>IF('Customer Base'!$I$15="MANUAL",IFERROR(AM39*B39,""),IF('Customer Base'!$I$15="AUTOMATE",IFERROR(AM39*A39,""),""))</f>
        <v/>
      </c>
      <c r="AQ39" s="103">
        <v>48</v>
      </c>
      <c r="AR39" s="103" t="s">
        <v>2199</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2253</v>
      </c>
      <c r="AO40" s="103" t="str">
        <f>IF('Customer Base'!$I$15="MANUAL",IFERROR(AM40*B40,""),IF('Customer Base'!$I$15="AUTOMATE",IFERROR(AM40*A40,""),""))</f>
        <v/>
      </c>
      <c r="AQ40" s="103">
        <v>48</v>
      </c>
      <c r="AR40" s="103" t="s">
        <v>2199</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1935</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2254</v>
      </c>
      <c r="AO41" s="103" t="str">
        <f>IF('Customer Base'!$I$15="MANUAL",IFERROR(AM41*B41,""),IF('Customer Base'!$I$15="AUTOMATE",IFERROR(AM41*A41,""),""))</f>
        <v/>
      </c>
      <c r="AQ41" s="103">
        <v>48</v>
      </c>
      <c r="AR41" s="103" t="s">
        <v>2199</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2312</v>
      </c>
      <c r="AO42" s="103">
        <f>IF('Customer Base'!$I$15="MANUAL",IFERROR(AM42*B42,""),IF('Customer Base'!$I$15="AUTOMATE",IFERROR(AM42*A42,""),""))</f>
        <v>0</v>
      </c>
      <c r="AQ42" s="103">
        <v>48</v>
      </c>
      <c r="AR42" s="103" t="s">
        <v>2199</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2313</v>
      </c>
      <c r="AO43" s="103">
        <f>IF('Customer Base'!$I$15="MANUAL",IFERROR(AM43*B43,""),IF('Customer Base'!$I$15="AUTOMATE",IFERROR(AM43*A43,""),""))</f>
        <v>0</v>
      </c>
      <c r="AQ43" s="103">
        <v>48</v>
      </c>
      <c r="AR43" s="103" t="s">
        <v>2199</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2256</v>
      </c>
      <c r="AO44" s="103">
        <f>IF('Customer Base'!$I$15="MANUAL",IFERROR(AM44*B44,""),IF('Customer Base'!$I$15="AUTOMATE",IFERROR(AM44*A44,""),""))</f>
        <v>0</v>
      </c>
      <c r="AQ44" s="103">
        <v>48</v>
      </c>
      <c r="AR44" s="103" t="s">
        <v>2199</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1911</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2257</v>
      </c>
      <c r="AO45" s="103" t="str">
        <f>IF('Customer Base'!$I$15="MANUAL",IFERROR(AM45*B45,""),IF('Customer Base'!$I$15="AUTOMATE",IFERROR(AM45*A45,""),""))</f>
        <v/>
      </c>
      <c r="AP45" s="103">
        <v>450</v>
      </c>
      <c r="AQ45" s="103">
        <v>48</v>
      </c>
      <c r="AR45" s="103" t="s">
        <v>2199</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2710</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2251</v>
      </c>
      <c r="AO47" s="103" t="str">
        <f>IF('Customer Base'!$I$15="MANUAL",IFERROR(AM47*B47,""),IF('Customer Base'!$I$15="AUTOMATE",IFERROR(AM47*A47,""),""))</f>
        <v/>
      </c>
      <c r="AQ47" s="103">
        <v>24</v>
      </c>
      <c r="AR47" s="103" t="s">
        <v>2261</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2711</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2252</v>
      </c>
      <c r="AO48" s="103" t="str">
        <f>IF('Customer Base'!$I$15="MANUAL",IFERROR(AM48*B48,""),IF('Customer Base'!$I$15="AUTOMATE",IFERROR(AM48*A48,""),""))</f>
        <v/>
      </c>
      <c r="AQ48" s="103">
        <v>24</v>
      </c>
      <c r="AR48" s="103" t="s">
        <v>2261</v>
      </c>
      <c r="AS48" s="103">
        <v>1</v>
      </c>
      <c r="AT48" s="103" t="str">
        <f t="shared" si="9"/>
        <v/>
      </c>
      <c r="AV48" s="103" t="str">
        <f>IF(AU48&lt;&gt;"",AU48,AT48)</f>
        <v/>
      </c>
      <c r="AW48" s="103">
        <v>120</v>
      </c>
      <c r="AZ48" s="240"/>
    </row>
    <row r="49" spans="1:52">
      <c r="A49" s="103">
        <f>IF(AND('Customer Base'!D$8=48,'Customer Base'!D$13="Victron",'Customer Base'!E$13="Multiplus",'Customer Base'!D$14&gt;2,'Customer Base'!D$14&lt;=3),'Customer Base'!D$15,IF(AND('Customer Base'!D$7="Mini-Grid",'Customer Base'!D$8=48,'Customer Base'!F$13="Victron",'Customer Base'!F$14&gt;2,'Customer Base'!F$14&lt;=3),'Customer Base'!F$15,""))</f>
        <v>1</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Victron MultiPlus-II 48/3000/35-32 230V</v>
      </c>
      <c r="AM49" s="103">
        <v>3</v>
      </c>
      <c r="AN49" s="103" t="s">
        <v>2255</v>
      </c>
      <c r="AO49" s="103">
        <f>IF('Customer Base'!$I$15="MANUAL",IFERROR(AM49*B49,""),IF('Customer Base'!$I$15="AUTOMATE",IFERROR(AM49*A49,""),""))</f>
        <v>3</v>
      </c>
      <c r="AQ49" s="103">
        <v>48</v>
      </c>
      <c r="AR49" s="103" t="s">
        <v>2261</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2256</v>
      </c>
      <c r="AO50" s="103" t="str">
        <f>IF('Customer Base'!$I$15="MANUAL",IFERROR(AM50*B50,""),IF('Customer Base'!$I$15="AUTOMATE",IFERROR(AM50*A50,""),""))</f>
        <v/>
      </c>
      <c r="AQ50" s="103">
        <v>48</v>
      </c>
      <c r="AR50" s="103" t="s">
        <v>2261</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2258</v>
      </c>
      <c r="AO51" s="103" t="str">
        <f>IF('Customer Base'!$I$15="MANUAL",IFERROR(AM51*B51,""),IF('Customer Base'!$I$15="AUTOMATE",IFERROR(AM51*A51,""),""))</f>
        <v/>
      </c>
      <c r="AQ51" s="103">
        <v>48</v>
      </c>
      <c r="AR51" s="103" t="s">
        <v>2261</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2712</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
      </c>
      <c r="AM52" s="103">
        <v>10</v>
      </c>
      <c r="AN52" s="103" t="s">
        <v>2259</v>
      </c>
      <c r="AO52" s="103" t="str">
        <f>IF('Customer Base'!$I$15="MANUAL",IFERROR(AM52*B52,""),IF('Customer Base'!$I$15="AUTOMATE",IFERROR(AM52*A52,""),""))</f>
        <v/>
      </c>
      <c r="AQ52" s="103">
        <v>48</v>
      </c>
      <c r="AR52" s="103" t="s">
        <v>2261</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v>3</v>
      </c>
      <c r="C53" s="237" t="s">
        <v>2713</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
      </c>
      <c r="AM53" s="103">
        <v>15</v>
      </c>
      <c r="AN53" s="103" t="s">
        <v>2260</v>
      </c>
      <c r="AO53" s="103" t="str">
        <f>IF('Customer Base'!$I$15="MANUAL",IFERROR(AM53*B53,""),IF('Customer Base'!$I$15="AUTOMATE",IFERROR(AM53*A53,""),""))</f>
        <v/>
      </c>
      <c r="AQ53" s="103">
        <v>48</v>
      </c>
      <c r="AR53" s="103" t="s">
        <v>2261</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2255</v>
      </c>
      <c r="AO54" s="103">
        <f>IF('Customer Base'!$I$15="MANUAL",IFERROR(AM54*B54,""),IF('Customer Base'!$I$15="AUTOMATE",IFERROR(AM54*A54,""),""))</f>
        <v>0</v>
      </c>
      <c r="AQ54" s="103">
        <v>48</v>
      </c>
      <c r="AR54" s="103" t="s">
        <v>2262</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2256</v>
      </c>
      <c r="AO55" s="103">
        <f>IF('Customer Base'!$I$15="MANUAL",IFERROR(AM55*B55,""),IF('Customer Base'!$I$15="AUTOMATE",IFERROR(AM55*A55,""),""))</f>
        <v>0</v>
      </c>
      <c r="AQ55" s="103">
        <v>48</v>
      </c>
      <c r="AR55" s="103" t="s">
        <v>2262</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2256</v>
      </c>
      <c r="AO57" s="103" t="str">
        <f>IF('Customer Base'!$I$15="MANUAL",IFERROR(AM57*B57,""),IF('Customer Base'!$I$15="AUTOMATE",IFERROR(AM57*A57,""),""))</f>
        <v/>
      </c>
      <c r="AQ57" s="103">
        <v>48</v>
      </c>
      <c r="AR57" s="103" t="s">
        <v>2200</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2258</v>
      </c>
      <c r="AO58" s="103" t="str">
        <f>IF('Customer Base'!$I$15="MANUAL",IFERROR(AM58*B58,""),IF('Customer Base'!$I$15="AUTOMATE",IFERROR(AM58*A58,""),""))</f>
        <v/>
      </c>
      <c r="AQ58" s="103">
        <v>48</v>
      </c>
      <c r="AR58" s="103" t="s">
        <v>2200</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2259</v>
      </c>
      <c r="AO59" s="103" t="str">
        <f>IF('Customer Base'!$I$15="MANUAL",IFERROR(AM59*B59,""),IF('Customer Base'!$I$15="AUTOMATE",IFERROR(AM59*A59,""),""))</f>
        <v/>
      </c>
      <c r="AQ59" s="103">
        <v>48</v>
      </c>
      <c r="AR59" s="103" t="s">
        <v>2200</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2260</v>
      </c>
      <c r="AO60" s="103" t="str">
        <f>IF('Customer Base'!$I$15="MANUAL",IFERROR(AM60*B60,""),IF('Customer Base'!$I$15="AUTOMATE",IFERROR(AM60*A60,""),""))</f>
        <v/>
      </c>
      <c r="AQ60" s="103">
        <v>48</v>
      </c>
      <c r="AR60" s="103" t="s">
        <v>2200</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2714</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2256</v>
      </c>
      <c r="AO62" s="103">
        <f>IF('Customer Base'!$I$15="MANUAL",IFERROR(AM62*B62,""),IF('Customer Base'!$I$15="AUTOMATE",IFERROR(AM62*A62,""),""))</f>
        <v>0</v>
      </c>
      <c r="AQ62" s="103">
        <v>48</v>
      </c>
      <c r="AR62" s="103" t="s">
        <v>2201</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2251</v>
      </c>
      <c r="AO64" s="103">
        <f>IF('Customer Base'!$I$15="MANUAL",IFERROR(AM64*B64,""),IF('Customer Base'!$I$15="AUTOMATE",IFERROR(AM64*A64,""),""))</f>
        <v>0</v>
      </c>
      <c r="AQ64" s="103">
        <v>24</v>
      </c>
      <c r="AR64" s="103" t="s">
        <v>2263</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2255</v>
      </c>
      <c r="AO65" s="103">
        <f>IF('Customer Base'!$I$15="MANUAL",IFERROR(AM65*B65,""),IF('Customer Base'!$I$15="AUTOMATE",IFERROR(AM65*A65,""),""))</f>
        <v>0</v>
      </c>
      <c r="AQ65" s="103">
        <v>48</v>
      </c>
      <c r="AR65" s="103" t="s">
        <v>2263</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2256</v>
      </c>
      <c r="AO66" s="103">
        <f>IF('Customer Base'!$I$15="MANUAL",IFERROR(AM66*B66,""),IF('Customer Base'!$I$15="AUTOMATE",IFERROR(AM66*A66,""),""))</f>
        <v>0</v>
      </c>
      <c r="AQ66" s="103">
        <v>48</v>
      </c>
      <c r="AR66" s="103" t="s">
        <v>2263</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1883</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1774</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2251</v>
      </c>
      <c r="AO69" s="103" t="str">
        <f>IF('Customer Base'!$I$15="MANUAL",IFERROR(AM69*B69,""),IF('Customer Base'!$I$15="AUTOMATE",IFERROR(AM69*A69,""),""))</f>
        <v/>
      </c>
      <c r="AP69" s="103">
        <v>450</v>
      </c>
      <c r="AQ69" s="103">
        <v>24</v>
      </c>
      <c r="AR69" s="103" t="s">
        <v>2264</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1775</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2256</v>
      </c>
      <c r="AO70" s="103" t="str">
        <f>IF('Customer Base'!$I$15="MANUAL",IFERROR(AM70*B70,""),IF('Customer Base'!$I$15="AUTOMATE",IFERROR(AM70*A70,""),""))</f>
        <v/>
      </c>
      <c r="AP70" s="103">
        <v>450</v>
      </c>
      <c r="AQ70" s="103">
        <v>48</v>
      </c>
      <c r="AR70" s="103" t="s">
        <v>2264</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1777</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2258</v>
      </c>
      <c r="AO71" s="103" t="str">
        <f>IF('Customer Base'!$I$15="MANUAL",IFERROR(AM71*B71,""),IF('Customer Base'!$I$15="AUTOMATE",IFERROR(AM71*A71,""),""))</f>
        <v/>
      </c>
      <c r="AP71" s="103">
        <v>500</v>
      </c>
      <c r="AQ71" s="103">
        <v>48</v>
      </c>
      <c r="AR71" s="103" t="s">
        <v>2264</v>
      </c>
      <c r="AS71" s="103">
        <v>1</v>
      </c>
      <c r="AT71" s="103" t="str">
        <f t="shared" si="9"/>
        <v/>
      </c>
      <c r="AV71" s="103" t="str">
        <f t="shared" si="8"/>
        <v/>
      </c>
      <c r="AW71" s="103">
        <v>120</v>
      </c>
    </row>
    <row r="72" spans="1:49" ht="17">
      <c r="C72" s="352" t="s">
        <v>1776</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2251</v>
      </c>
      <c r="AO72" s="103">
        <f>IF('Customer Base'!$I$15="MANUAL",IFERROR(AM72*B72,""),IF('Customer Base'!$I$15="AUTOMATE",IFERROR(AM72*A72,""),""))</f>
        <v>0</v>
      </c>
      <c r="AP72" s="103">
        <v>145</v>
      </c>
      <c r="AQ72" s="103">
        <v>24</v>
      </c>
      <c r="AR72" s="103" t="s">
        <v>2265</v>
      </c>
      <c r="AS72" s="103">
        <v>1</v>
      </c>
      <c r="AT72" s="103" t="str">
        <f t="shared" si="9"/>
        <v/>
      </c>
      <c r="AV72" s="103" t="str">
        <f t="shared" si="8"/>
        <v/>
      </c>
      <c r="AW72" s="103">
        <v>60</v>
      </c>
    </row>
    <row r="73" spans="1:49">
      <c r="C73" s="351" t="s">
        <v>1772</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1920</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1912</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1913</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2255</v>
      </c>
      <c r="AO77" s="103" t="str">
        <f>IF('Customer Base'!$I$15="MANUAL",IFERROR(AM77*B77,""),IF('Customer Base'!$I$15="AUTOMATE",IFERROR(AM77*A77,""),""))</f>
        <v/>
      </c>
      <c r="AP77" s="103">
        <v>500</v>
      </c>
      <c r="AQ77" s="103">
        <v>48</v>
      </c>
      <c r="AR77" s="103" t="s">
        <v>2203</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1914</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2256</v>
      </c>
      <c r="AO78" s="103" t="str">
        <f>IF('Customer Base'!$I$15="MANUAL",IFERROR(AM78*B78,""),IF('Customer Base'!$I$15="AUTOMATE",IFERROR(AM78*A78,""),""))</f>
        <v/>
      </c>
      <c r="AP78" s="103">
        <v>500</v>
      </c>
      <c r="AQ78" s="103">
        <v>48</v>
      </c>
      <c r="AR78" s="103" t="s">
        <v>2203</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1915</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2257</v>
      </c>
      <c r="AO79" s="103" t="str">
        <f>IF('Customer Base'!$I$15="MANUAL",IFERROR(AM79*B79,""),IF('Customer Base'!$I$15="AUTOMATE",IFERROR(AM79*A79,""),""))</f>
        <v/>
      </c>
      <c r="AP79" s="103">
        <v>500</v>
      </c>
      <c r="AQ79" s="103">
        <v>48</v>
      </c>
      <c r="AR79" s="103" t="s">
        <v>2203</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1916</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2258</v>
      </c>
      <c r="AO80" s="103" t="str">
        <f>IF('Customer Base'!$I$15="MANUAL",IFERROR(AM80*B80,""),IF('Customer Base'!$I$15="AUTOMATE",IFERROR(AM80*A80,""),""))</f>
        <v/>
      </c>
      <c r="AP80" s="103">
        <v>500</v>
      </c>
      <c r="AQ80" s="103">
        <v>48</v>
      </c>
      <c r="AR80" s="103" t="s">
        <v>2203</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1917</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2266</v>
      </c>
      <c r="AO81" s="103" t="str">
        <f>IF('Customer Base'!$I$15="MANUAL",IFERROR(AM81*B81,""),IF('Customer Base'!$I$15="AUTOMATE",IFERROR(AM81*A81,""),""))</f>
        <v/>
      </c>
      <c r="AP81" s="103">
        <v>500</v>
      </c>
      <c r="AQ81" s="103">
        <v>48</v>
      </c>
      <c r="AR81" s="103" t="s">
        <v>2203</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1918</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2259</v>
      </c>
      <c r="AO82" s="103" t="str">
        <f>IF('Customer Base'!$I$15="MANUAL",IFERROR(AM82*B82,""),IF('Customer Base'!$I$15="AUTOMATE",IFERROR(AM82*A82,""),""))</f>
        <v/>
      </c>
      <c r="AP82" s="103">
        <v>800</v>
      </c>
      <c r="AQ82" s="103">
        <v>48</v>
      </c>
      <c r="AR82" s="103" t="s">
        <v>2203</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1919</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2267</v>
      </c>
      <c r="AO83" s="103" t="str">
        <f>IF('Customer Base'!$I$15="MANUAL",IFERROR(AM83*B83,""),IF('Customer Base'!$I$15="AUTOMATE",IFERROR(AM83*A83,""),""))</f>
        <v/>
      </c>
      <c r="AP83" s="103">
        <v>800</v>
      </c>
      <c r="AQ83" s="103">
        <v>48</v>
      </c>
      <c r="AR83" s="103" t="s">
        <v>2203</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1942</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2337</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2254</v>
      </c>
      <c r="AO86" s="103" t="str">
        <f>IF('Customer Base'!$I$15="MANUAL",IFERROR(AM86*B86,""),IF('Customer Base'!$I$15="AUTOMATE",IFERROR(AM86*A86,""),""))</f>
        <v/>
      </c>
      <c r="AP86" s="103">
        <v>600</v>
      </c>
      <c r="AQ86" s="103">
        <v>48</v>
      </c>
      <c r="AR86" s="103" t="s">
        <v>2204</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2338</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2255</v>
      </c>
      <c r="AO87" s="103" t="str">
        <f>IF('Customer Base'!$I$15="MANUAL",IFERROR(AM87*B87,""),IF('Customer Base'!$I$15="AUTOMATE",IFERROR(AM87*A87,""),""))</f>
        <v/>
      </c>
      <c r="AP87" s="103">
        <v>600</v>
      </c>
      <c r="AQ87" s="103">
        <v>48</v>
      </c>
      <c r="AR87" s="103" t="s">
        <v>2204</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2339</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2256</v>
      </c>
      <c r="AO88" s="103" t="str">
        <f>IF('Customer Base'!$I$15="MANUAL",IFERROR(AM88*B88,""),IF('Customer Base'!$I$15="AUTOMATE",IFERROR(AM88*A88,""),""))</f>
        <v/>
      </c>
      <c r="AP88" s="103">
        <v>600</v>
      </c>
      <c r="AQ88" s="103">
        <v>48</v>
      </c>
      <c r="AR88" s="103" t="s">
        <v>2204</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2340</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2256</v>
      </c>
      <c r="AO89" s="103" t="str">
        <f>IF('Customer Base'!$I$15="MANUAL",IFERROR(AM89*B89,""),IF('Customer Base'!$I$15="AUTOMATE",IFERROR(AM89*A89,""),""))</f>
        <v/>
      </c>
      <c r="AP89" s="103">
        <v>1100</v>
      </c>
      <c r="AQ89" s="103">
        <v>48</v>
      </c>
      <c r="AR89" s="103" t="s">
        <v>2204</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2341</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2259</v>
      </c>
      <c r="AO90" s="103" t="str">
        <f>IF('Customer Base'!$I$15="MANUAL",IFERROR(AM90*B90,""),IF('Customer Base'!$I$15="AUTOMATE",IFERROR(AM90*A90,""),""))</f>
        <v/>
      </c>
      <c r="AP90" s="103">
        <v>1100</v>
      </c>
      <c r="AQ90" s="103">
        <v>48</v>
      </c>
      <c r="AR90" s="103" t="s">
        <v>2204</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2342</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2268</v>
      </c>
      <c r="AO91" s="103" t="str">
        <f>IF('Customer Base'!$I$15="MANUAL",IFERROR(AM91*B91,""),IF('Customer Base'!$I$15="AUTOMATE",IFERROR(AM91*A91,""),""))</f>
        <v/>
      </c>
      <c r="AP91" s="103">
        <v>1100</v>
      </c>
      <c r="AQ91" s="103">
        <v>48</v>
      </c>
      <c r="AR91" s="103" t="s">
        <v>2204</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2343</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2269</v>
      </c>
      <c r="AO92" s="103" t="str">
        <f>IF('Customer Base'!$I$15="MANUAL",IFERROR(AM92*B92,""),IF('Customer Base'!$I$15="AUTOMATE",IFERROR(AM92*A92,""),""))</f>
        <v/>
      </c>
      <c r="AP92" s="103">
        <v>1100</v>
      </c>
      <c r="AQ92" s="103">
        <v>48</v>
      </c>
      <c r="AR92" s="103" t="s">
        <v>2204</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2344</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2270</v>
      </c>
      <c r="AO93" s="103" t="str">
        <f>IF('Customer Base'!$I$15="MANUAL",IFERROR(AM93*B93,""),IF('Customer Base'!$I$15="AUTOMATE",IFERROR(AM93*A93,""),""))</f>
        <v/>
      </c>
      <c r="AP93" s="103">
        <v>1100</v>
      </c>
      <c r="AQ93" s="103">
        <v>48</v>
      </c>
      <c r="AR93" s="103" t="s">
        <v>2204</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2345</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2271</v>
      </c>
      <c r="AO94" s="103" t="str">
        <f>IF('Customer Base'!$I$15="MANUAL",IFERROR(AM94*B94,""),IF('Customer Base'!$I$15="AUTOMATE",IFERROR(AM94*A94,""),""))</f>
        <v/>
      </c>
      <c r="AP94" s="103">
        <v>1100</v>
      </c>
      <c r="AQ94" s="103">
        <v>48</v>
      </c>
      <c r="AR94" s="103" t="s">
        <v>2204</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2346</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2347</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2348</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2349</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2350</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2351</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1897</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2274</v>
      </c>
      <c r="AO103" s="103" t="str">
        <f>IF('Customer Base'!$I$15="MANUAL",IFERROR(AM103*B103,""),IF('Customer Base'!$I$15="AUTOMATE",IFERROR(AM103*A103,""),""))</f>
        <v/>
      </c>
      <c r="AP103" s="103">
        <v>1000</v>
      </c>
      <c r="AQ103" s="103" t="s">
        <v>2198</v>
      </c>
      <c r="AR103" s="103" t="s">
        <v>2205</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2275</v>
      </c>
      <c r="AO104" s="103" t="str">
        <f>IF('Customer Base'!$I$15="MANUAL",IFERROR(AM104*B104,""),IF('Customer Base'!$I$15="AUTOMATE",IFERROR(AM104*A104,""),""))</f>
        <v/>
      </c>
      <c r="AP104" s="103">
        <v>1000</v>
      </c>
      <c r="AQ104" s="103" t="s">
        <v>2198</v>
      </c>
      <c r="AR104" s="103" t="s">
        <v>2206</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2715</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2277</v>
      </c>
      <c r="AO105" s="103" t="str">
        <f>IF('Customer Base'!$I$15="MANUAL",IFERROR(AM105*B105,""),IF('Customer Base'!$I$15="AUTOMATE",IFERROR(AM105*A105,""),""))</f>
        <v/>
      </c>
      <c r="AP105" s="103">
        <v>1000</v>
      </c>
      <c r="AQ105" s="103" t="s">
        <v>2198</v>
      </c>
      <c r="AR105" s="103" t="s">
        <v>2206</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2276</v>
      </c>
      <c r="AO106" s="103" t="str">
        <f>IF('Customer Base'!$I$15="MANUAL",IFERROR(AM106*B106,""),IF('Customer Base'!$I$15="AUTOMATE",IFERROR(AM106*A106,""),""))</f>
        <v/>
      </c>
      <c r="AP106" s="103">
        <v>1000</v>
      </c>
      <c r="AQ106" s="103" t="s">
        <v>2198</v>
      </c>
      <c r="AR106" s="103" t="s">
        <v>2206</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2274</v>
      </c>
      <c r="AO107" s="103" t="str">
        <f>IF('Customer Base'!$I$15="MANUAL",IFERROR(AM107*B107,""),IF('Customer Base'!$I$15="AUTOMATE",IFERROR(AM107*A107,""),""))</f>
        <v/>
      </c>
      <c r="AP107" s="103">
        <v>1000</v>
      </c>
      <c r="AQ107" s="103" t="s">
        <v>2198</v>
      </c>
      <c r="AR107" s="103" t="s">
        <v>2207</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2275</v>
      </c>
      <c r="AO108" s="103" t="str">
        <f>IF('Customer Base'!$I$15="MANUAL",IFERROR(AM108*B108,""),IF('Customer Base'!$I$15="AUTOMATE",IFERROR(AM108*A108,""),""))</f>
        <v/>
      </c>
      <c r="AP108" s="103">
        <v>1000</v>
      </c>
      <c r="AQ108" s="103" t="s">
        <v>2198</v>
      </c>
      <c r="AR108" s="103" t="s">
        <v>2207</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2277</v>
      </c>
      <c r="AO109" s="103" t="str">
        <f>IF('Customer Base'!$I$15="MANUAL",IFERROR(AM109*B109,""),IF('Customer Base'!$I$15="AUTOMATE",IFERROR(AM109*A109,""),""))</f>
        <v/>
      </c>
      <c r="AP109" s="103">
        <v>1000</v>
      </c>
      <c r="AQ109" s="103" t="s">
        <v>2198</v>
      </c>
      <c r="AR109" s="103" t="s">
        <v>2207</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2762</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2278</v>
      </c>
      <c r="AO110" s="103" t="str">
        <f>IF('Customer Base'!$I$15="MANUAL",IFERROR(AM110*B110,""),IF('Customer Base'!$I$15="AUTOMATE",IFERROR(AM110*A110,""),""))</f>
        <v/>
      </c>
      <c r="AP110" s="103">
        <v>1000</v>
      </c>
      <c r="AQ110" s="103" t="s">
        <v>2198</v>
      </c>
      <c r="AR110" s="103" t="s">
        <v>2207</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2763</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2279</v>
      </c>
      <c r="AO111" s="103" t="str">
        <f>IF('Customer Base'!$I$15="MANUAL",IFERROR(AM111*B111,""),IF('Customer Base'!$I$15="AUTOMATE",IFERROR(AM111*A111,""),""))</f>
        <v/>
      </c>
      <c r="AP111" s="103">
        <v>1000</v>
      </c>
      <c r="AQ111" s="103" t="s">
        <v>2198</v>
      </c>
      <c r="AR111" s="103" t="s">
        <v>2207</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2764</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
      </c>
      <c r="AM112" s="103">
        <v>20</v>
      </c>
      <c r="AN112" s="103" t="s">
        <v>2280</v>
      </c>
      <c r="AO112" s="103" t="str">
        <f>IF('Customer Base'!$I$15="MANUAL",IFERROR(AM112*B112,""),IF('Customer Base'!$I$15="AUTOMATE",IFERROR(AM112*A112,""),""))</f>
        <v/>
      </c>
      <c r="AP112" s="103">
        <v>1000</v>
      </c>
      <c r="AQ112" s="103" t="s">
        <v>2198</v>
      </c>
      <c r="AR112" s="103" t="s">
        <v>2207</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2281</v>
      </c>
      <c r="AO113" s="103" t="str">
        <f>IF('Customer Base'!$I$15="MANUAL",IFERROR(AM113*B113,""),IF('Customer Base'!$I$15="AUTOMATE",IFERROR(AM113*A113,""),""))</f>
        <v/>
      </c>
      <c r="AP113" s="103">
        <v>1000</v>
      </c>
      <c r="AQ113" s="103" t="s">
        <v>2198</v>
      </c>
      <c r="AR113" s="103" t="s">
        <v>2208</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t="s">
        <v>1</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2282</v>
      </c>
      <c r="AO114" s="103" t="str">
        <f>IF('Customer Base'!$I$15="MANUAL",IFERROR(AM114*B114,""),IF('Customer Base'!$I$15="AUTOMATE",IFERROR(AM114*A114,""),""))</f>
        <v/>
      </c>
      <c r="AP114" s="103">
        <v>1000</v>
      </c>
      <c r="AQ114" s="103" t="s">
        <v>2198</v>
      </c>
      <c r="AR114" s="103" t="s">
        <v>2208</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2716</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2769</v>
      </c>
      <c r="AO115" s="103" t="str">
        <f>IF('Customer Base'!$I$15="MANUAL",IFERROR(AM115*B115,""),IF('Customer Base'!$I$15="AUTOMATE",IFERROR(AM115*A115,""),""))</f>
        <v/>
      </c>
      <c r="AP115" s="103">
        <v>1000</v>
      </c>
      <c r="AQ115" s="103" t="s">
        <v>2198</v>
      </c>
      <c r="AR115" s="103" t="s">
        <v>2771</v>
      </c>
      <c r="AS115" s="103">
        <v>3</v>
      </c>
      <c r="AT115" s="103" t="str">
        <f t="shared" si="19"/>
        <v/>
      </c>
      <c r="AV115" s="103" t="str">
        <f t="shared" si="20"/>
        <v/>
      </c>
    </row>
    <row r="116" spans="1:48">
      <c r="C116" s="248" t="s">
        <v>2717</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2769</v>
      </c>
      <c r="AO116" s="103">
        <f>IF('Customer Base'!$I$15="MANUAL",IFERROR(AM116*B116,""),IF('Customer Base'!$I$15="AUTOMATE",IFERROR(AM116*A116,""),""))</f>
        <v>0</v>
      </c>
      <c r="AP116" s="103">
        <v>1000</v>
      </c>
      <c r="AQ116" s="103" t="s">
        <v>2198</v>
      </c>
      <c r="AR116" s="103" t="s">
        <v>2771</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2718</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2770</v>
      </c>
      <c r="AO117" s="103" t="str">
        <f>IF('Customer Base'!$I$15="MANUAL",IFERROR(AM117*B117,""),IF('Customer Base'!$I$15="AUTOMATE",IFERROR(AM117*A117,""),""))</f>
        <v/>
      </c>
      <c r="AP117" s="103">
        <v>1000</v>
      </c>
      <c r="AQ117" s="103" t="s">
        <v>2198</v>
      </c>
      <c r="AR117" s="103" t="s">
        <v>2771</v>
      </c>
      <c r="AS117" s="103">
        <v>3</v>
      </c>
      <c r="AT117" s="103" t="str">
        <f t="shared" si="19"/>
        <v/>
      </c>
      <c r="AV117" s="103" t="str">
        <f t="shared" si="20"/>
        <v/>
      </c>
    </row>
    <row r="118" spans="1:48">
      <c r="C118" s="248" t="s">
        <v>2719</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2770</v>
      </c>
      <c r="AO118" s="103">
        <f>IF('Customer Base'!$I$15="MANUAL",IFERROR(AM118*B118,""),IF('Customer Base'!$I$15="AUTOMATE",IFERROR(AM118*A118,""),""))</f>
        <v>0</v>
      </c>
      <c r="AP118" s="103">
        <v>1000</v>
      </c>
      <c r="AQ118" s="103" t="s">
        <v>2198</v>
      </c>
      <c r="AR118" s="103" t="s">
        <v>2771</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2283</v>
      </c>
      <c r="AO119" s="103" t="str">
        <f>IF('Customer Base'!$I$15="MANUAL",IFERROR(AM119*B119,""),IF('Customer Base'!$I$15="AUTOMATE",IFERROR(AM119*A119,""),""))</f>
        <v/>
      </c>
      <c r="AP119" s="103">
        <v>1000</v>
      </c>
      <c r="AQ119" s="103" t="s">
        <v>2198</v>
      </c>
      <c r="AR119" s="103" t="s">
        <v>2209</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2284</v>
      </c>
      <c r="AO120" s="103" t="str">
        <f>IF('Customer Base'!$I$15="MANUAL",IFERROR(AM120*B120,""),IF('Customer Base'!$I$15="AUTOMATE",IFERROR(AM120*A120,""),""))</f>
        <v/>
      </c>
      <c r="AP120" s="103">
        <v>1000</v>
      </c>
      <c r="AQ120" s="103" t="s">
        <v>2198</v>
      </c>
      <c r="AR120" s="103" t="s">
        <v>2209</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1483</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2285</v>
      </c>
      <c r="AO122" s="103">
        <f>IF('Customer Base'!$I$15="MANUAL",IFERROR(AM122*B122,""),IF('Customer Base'!$I$15="AUTOMATE",IFERROR(AM122*A122,""),""))</f>
        <v>0</v>
      </c>
      <c r="AP122" s="103">
        <v>1000</v>
      </c>
      <c r="AQ122" s="103">
        <v>48</v>
      </c>
      <c r="AR122" s="103" t="s">
        <v>2272</v>
      </c>
      <c r="AS122" s="103">
        <v>3</v>
      </c>
      <c r="AT122" s="103" t="str">
        <f t="shared" ref="AT122:AT133" si="25">IF(AND(AR122=$AY$1,$AZ$1=AN122),BA$1,"")</f>
        <v/>
      </c>
      <c r="AV122" s="103" t="str">
        <f t="shared" ref="AV122:AV133" si="26">IF(AU122&lt;&gt;"",AU122,AT122)</f>
        <v/>
      </c>
    </row>
    <row r="123" spans="1:48">
      <c r="C123" s="250" t="s">
        <v>1484</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2286</v>
      </c>
      <c r="AO123" s="103">
        <f>IF('Customer Base'!$I$15="MANUAL",IFERROR(AM123*B123,""),IF('Customer Base'!$I$15="AUTOMATE",IFERROR(AM123*A123,""),""))</f>
        <v>0</v>
      </c>
      <c r="AP123" s="103">
        <v>1000</v>
      </c>
      <c r="AQ123" s="103">
        <v>48</v>
      </c>
      <c r="AR123" s="103" t="s">
        <v>2272</v>
      </c>
      <c r="AS123" s="103">
        <v>3</v>
      </c>
      <c r="AT123" s="103" t="str">
        <f t="shared" si="25"/>
        <v/>
      </c>
      <c r="AV123" s="103" t="str">
        <f t="shared" si="26"/>
        <v/>
      </c>
    </row>
    <row r="124" spans="1:48">
      <c r="C124" s="250" t="s">
        <v>1485</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2287</v>
      </c>
      <c r="AO124" s="103">
        <f>IF('Customer Base'!$I$15="MANUAL",IFERROR(AM124*B124,""),IF('Customer Base'!$I$15="AUTOMATE",IFERROR(AM124*A124,""),""))</f>
        <v>0</v>
      </c>
      <c r="AP124" s="103">
        <v>1000</v>
      </c>
      <c r="AQ124" s="103">
        <v>48</v>
      </c>
      <c r="AR124" s="103" t="s">
        <v>2272</v>
      </c>
      <c r="AS124" s="103">
        <v>3</v>
      </c>
      <c r="AT124" s="103" t="str">
        <f t="shared" si="25"/>
        <v/>
      </c>
      <c r="AV124" s="103" t="str">
        <f t="shared" si="26"/>
        <v/>
      </c>
    </row>
    <row r="125" spans="1:48">
      <c r="C125" s="250" t="s">
        <v>1486</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2285</v>
      </c>
      <c r="AO125" s="103">
        <f>IF('Customer Base'!$I$15="MANUAL",IFERROR(AM125*B125,""),IF('Customer Base'!$I$15="AUTOMATE",IFERROR(AM125*A125,""),""))</f>
        <v>0</v>
      </c>
      <c r="AP125" s="103">
        <v>1000</v>
      </c>
      <c r="AQ125" s="103">
        <v>48</v>
      </c>
      <c r="AR125" s="103" t="s">
        <v>2273</v>
      </c>
      <c r="AS125" s="103">
        <v>3</v>
      </c>
      <c r="AT125" s="103" t="str">
        <f t="shared" si="25"/>
        <v/>
      </c>
      <c r="AV125" s="103" t="str">
        <f t="shared" si="26"/>
        <v/>
      </c>
    </row>
    <row r="126" spans="1:48">
      <c r="C126" s="250" t="s">
        <v>1487</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2288</v>
      </c>
      <c r="AO126" s="103">
        <f>IF('Customer Base'!$I$15="MANUAL",IFERROR(AM126*B126,""),IF('Customer Base'!$I$15="AUTOMATE",IFERROR(AM126*A126,""),""))</f>
        <v>0</v>
      </c>
      <c r="AP126" s="103">
        <v>1000</v>
      </c>
      <c r="AQ126" s="103">
        <v>48</v>
      </c>
      <c r="AR126" s="103" t="s">
        <v>2273</v>
      </c>
      <c r="AS126" s="103">
        <v>3</v>
      </c>
      <c r="AT126" s="103" t="str">
        <f t="shared" si="25"/>
        <v/>
      </c>
      <c r="AV126" s="103" t="str">
        <f t="shared" si="26"/>
        <v/>
      </c>
    </row>
    <row r="127" spans="1:48">
      <c r="C127" s="250" t="s">
        <v>1488</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2286</v>
      </c>
      <c r="AO127" s="103">
        <f>IF('Customer Base'!$I$15="MANUAL",IFERROR(AM127*B127,""),IF('Customer Base'!$I$15="AUTOMATE",IFERROR(AM127*A127,""),""))</f>
        <v>0</v>
      </c>
      <c r="AP127" s="103">
        <v>1000</v>
      </c>
      <c r="AQ127" s="103">
        <v>48</v>
      </c>
      <c r="AR127" s="103" t="s">
        <v>2273</v>
      </c>
      <c r="AS127" s="103">
        <v>3</v>
      </c>
      <c r="AT127" s="103" t="str">
        <f t="shared" si="25"/>
        <v/>
      </c>
      <c r="AV127" s="103" t="str">
        <f t="shared" si="26"/>
        <v/>
      </c>
    </row>
    <row r="128" spans="1:48">
      <c r="C128" s="250" t="s">
        <v>1489</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2287</v>
      </c>
      <c r="AO128" s="103">
        <f>IF('Customer Base'!$I$15="MANUAL",IFERROR(AM128*B128,""),IF('Customer Base'!$I$15="AUTOMATE",IFERROR(AM128*A128,""),""))</f>
        <v>0</v>
      </c>
      <c r="AP128" s="103">
        <v>1000</v>
      </c>
      <c r="AQ128" s="103">
        <v>48</v>
      </c>
      <c r="AR128" s="103" t="s">
        <v>2273</v>
      </c>
      <c r="AS128" s="103">
        <v>3</v>
      </c>
      <c r="AT128" s="103" t="str">
        <f t="shared" si="25"/>
        <v/>
      </c>
      <c r="AV128" s="103" t="str">
        <f t="shared" si="26"/>
        <v/>
      </c>
    </row>
    <row r="129" spans="1:48">
      <c r="C129" s="250" t="s">
        <v>1490</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2289</v>
      </c>
      <c r="AO129" s="103">
        <f>IF('Customer Base'!$I$15="MANUAL",IFERROR(AM129*B129,""),IF('Customer Base'!$I$15="AUTOMATE",IFERROR(AM129*A129,""),""))</f>
        <v>0</v>
      </c>
      <c r="AP129" s="103">
        <v>1000</v>
      </c>
      <c r="AQ129" s="103">
        <v>48</v>
      </c>
      <c r="AR129" s="103" t="s">
        <v>2273</v>
      </c>
      <c r="AS129" s="103">
        <v>3</v>
      </c>
      <c r="AT129" s="103" t="str">
        <f t="shared" si="25"/>
        <v/>
      </c>
      <c r="AV129" s="103" t="str">
        <f t="shared" si="26"/>
        <v/>
      </c>
    </row>
    <row r="130" spans="1:48">
      <c r="C130" s="250" t="s">
        <v>1491</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2290</v>
      </c>
      <c r="AO130" s="103">
        <f>IF('Customer Base'!$I$15="MANUAL",IFERROR(AM130*B130,""),IF('Customer Base'!$I$15="AUTOMATE",IFERROR(AM130*A130,""),""))</f>
        <v>0</v>
      </c>
      <c r="AP130" s="103">
        <v>1000</v>
      </c>
      <c r="AQ130" s="103">
        <v>48</v>
      </c>
      <c r="AR130" s="103" t="s">
        <v>2273</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1470</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IFERROR(IF(OR(ROUNDUP(SUM(A103:A118)/6,0)=0),"",ROUNDUP(SUM(A103:A118)/6,0)),"")</f>
        <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2724</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2725</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2722</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2723</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1656</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1657</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1658</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1659</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1660</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1661</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2720</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2721</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1825</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2623</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1662</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1884</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1635</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1636</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1637</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1634</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1638</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Base'!J9&gt;300,'Customer Base'!J9&lt;=500)),1,"")</f>
        <v/>
      </c>
      <c r="B168" s="270" t="s">
        <v>1</v>
      </c>
      <c r="C168" s="348" t="s">
        <v>1639</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1641</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1640</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1642</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1643</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1644</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1645</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1252</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1247</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1248</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1249</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1250</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1251</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1828</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1830</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1829</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1831</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1832</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1833</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1834</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1835</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1836</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1837</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1838</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1839</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1840</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1841</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1277</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1896</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1819</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2292</v>
      </c>
      <c r="AO205" s="103">
        <f>IF('Customer Base'!$I$15="MANUAL",IFERROR(AM205*B205,""),IF('Customer Base'!$I$15="AUTOMATE",IFERROR(AM205*A205,""),""))</f>
        <v>0</v>
      </c>
      <c r="AR205" s="103" t="s">
        <v>2211</v>
      </c>
      <c r="AT205" s="103" t="str">
        <f t="shared" ref="AT205:AT232" si="39">IF(AND(AR205=$AY$3,$AZ$3=AN205),BA$3,"")</f>
        <v/>
      </c>
      <c r="AV205" s="103" t="str">
        <f t="shared" si="36"/>
        <v/>
      </c>
    </row>
    <row r="206" spans="1:48">
      <c r="C206" s="257" t="s">
        <v>1820</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2291</v>
      </c>
      <c r="AO206" s="103">
        <f>IF('Customer Base'!$I$15="MANUAL",IFERROR(AM206*B206,""),IF('Customer Base'!$I$15="AUTOMATE",IFERROR(AM206*A206,""),""))</f>
        <v>0</v>
      </c>
      <c r="AR206" s="103" t="s">
        <v>2211</v>
      </c>
      <c r="AT206" s="103" t="str">
        <f t="shared" si="39"/>
        <v/>
      </c>
      <c r="AV206" s="103" t="str">
        <f t="shared" si="36"/>
        <v/>
      </c>
    </row>
    <row r="207" spans="1:48">
      <c r="A207" s="103">
        <f>IFERROR(IF(AND('Customer Base'!D$7&lt;&gt;"Grid-Tied",'Customer Base'!D$20="BYD",'Customer Base'!E$20=5),ROUNDUP('Customer Base'!D$21,0),""),"")</f>
        <v>18</v>
      </c>
      <c r="B207" s="270">
        <v>18</v>
      </c>
      <c r="C207" s="257" t="s">
        <v>2772</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2291</v>
      </c>
      <c r="AO207" s="103">
        <f>IF('Customer Base'!$I$15="MANUAL",IFERROR(AM207*B207,""),IF('Customer Base'!$I$15="AUTOMATE",IFERROR(AM207*A207,""),""))</f>
        <v>90</v>
      </c>
      <c r="AR207" s="103" t="s">
        <v>2211</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2" si="40">IF(D208&lt;&gt;"",IF(D208&lt;E208,"lkdfjk",""),"")</f>
        <v/>
      </c>
      <c r="L208" s="103" t="str">
        <f t="shared" ref="L208:L272"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1821</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2293</v>
      </c>
      <c r="AO211" s="103" t="str">
        <f>IF('Customer Base'!$I$15="MANUAL",IFERROR(AM211*B211,""),IF('Customer Base'!$I$15="AUTOMATE",IFERROR(AM211*A211,""),""))</f>
        <v/>
      </c>
      <c r="AR211" s="103" t="s">
        <v>2211</v>
      </c>
      <c r="AT211" s="103" t="str">
        <f t="shared" si="39"/>
        <v/>
      </c>
      <c r="AV211" s="103" t="str">
        <f t="shared" si="36"/>
        <v/>
      </c>
    </row>
    <row r="212" spans="1:48">
      <c r="C212" s="257" t="s">
        <v>1822</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2294</v>
      </c>
      <c r="AO212" s="103">
        <f>IF('Customer Base'!$I$15="MANUAL",IFERROR(AM212*B212,""),IF('Customer Base'!$I$15="AUTOMATE",IFERROR(AM212*A212,""),""))</f>
        <v>0</v>
      </c>
      <c r="AR212" s="103" t="s">
        <v>2211</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1936</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2295</v>
      </c>
      <c r="AO215" s="103" t="str">
        <f>IF('Customer Base'!$I$15="MANUAL",IFERROR(AM215*B215,""),IF('Customer Base'!$I$15="AUTOMATE",IFERROR(AM215*A215,""),""))</f>
        <v/>
      </c>
      <c r="AR215" s="103" t="s">
        <v>2212</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1921</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2213</v>
      </c>
      <c r="AT217" s="103" t="str">
        <f t="shared" si="39"/>
        <v/>
      </c>
      <c r="AV217" s="103" t="str">
        <f t="shared" si="36"/>
        <v/>
      </c>
    </row>
    <row r="218" spans="1:48">
      <c r="C218" s="253" t="s">
        <v>1922</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1923</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2237</v>
      </c>
      <c r="AO221" s="103" t="str">
        <f>IF('Customer Base'!$I$15="MANUAL",IFERROR(AM221*B221,""),IF('Customer Base'!$I$15="AUTOMATE",IFERROR(AM221*A221,""),""))</f>
        <v/>
      </c>
      <c r="AR221" s="103" t="s">
        <v>2214</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2238</v>
      </c>
      <c r="AO222" s="103" t="str">
        <f>IF('Customer Base'!$I$15="MANUAL",IFERROR(AM222*B222,""),IF('Customer Base'!$I$15="AUTOMATE",IFERROR(AM222*A222,""),""))</f>
        <v/>
      </c>
      <c r="AR222" s="103" t="s">
        <v>2214</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2239</v>
      </c>
      <c r="AO223" s="103" t="str">
        <f>IF('Customer Base'!$I$15="MANUAL",IFERROR(AM223*B223,""),IF('Customer Base'!$I$15="AUTOMATE",IFERROR(AM223*A223,""),""))</f>
        <v/>
      </c>
      <c r="AR223" s="103" t="s">
        <v>2214</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2240</v>
      </c>
      <c r="AO224" s="103" t="str">
        <f>IF('Customer Base'!$I$15="MANUAL",IFERROR(AM224*B224,""),IF('Customer Base'!$I$15="AUTOMATE",IFERROR(AM224*A224,""),""))</f>
        <v/>
      </c>
      <c r="AR224" s="103" t="s">
        <v>2214</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2241</v>
      </c>
      <c r="AO225" s="103" t="str">
        <f>IF('Customer Base'!$I$15="MANUAL",IFERROR(AM225*B225,""),IF('Customer Base'!$I$15="AUTOMATE",IFERROR(AM225*A225,""),""))</f>
        <v/>
      </c>
      <c r="AR225" s="103" t="s">
        <v>2214</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2242</v>
      </c>
      <c r="AO226" s="103" t="str">
        <f>IF('Customer Base'!$I$15="MANUAL",IFERROR(AM226*B226,""),IF('Customer Base'!$I$15="AUTOMATE",IFERROR(AM226*A226,""),""))</f>
        <v/>
      </c>
      <c r="AR226" s="103" t="s">
        <v>2214</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2243</v>
      </c>
      <c r="AO227" s="103" t="str">
        <f>IF('Customer Base'!$I$15="MANUAL",IFERROR(AM227*B227,""),IF('Customer Base'!$I$15="AUTOMATE",IFERROR(AM227*A227,""),""))</f>
        <v/>
      </c>
      <c r="AR227" s="103" t="s">
        <v>2214</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2242</v>
      </c>
      <c r="AO228" s="103">
        <f>IF('Customer Base'!$I$15="MANUAL",IFERROR(AM228*B228,""),IF('Customer Base'!$I$15="AUTOMATE",IFERROR(AM228*A228,""),""))</f>
        <v>0</v>
      </c>
      <c r="AR228" s="103" t="s">
        <v>2214</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2243</v>
      </c>
      <c r="AO229" s="103">
        <f>IF('Customer Base'!$I$15="MANUAL",IFERROR(AM229*B229,""),IF('Customer Base'!$I$15="AUTOMATE",IFERROR(AM229*A229,""),""))</f>
        <v>0</v>
      </c>
      <c r="AR229" s="103" t="s">
        <v>2214</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2244</v>
      </c>
      <c r="AO230" s="103">
        <f>IF('Customer Base'!$I$15="MANUAL",IFERROR(AM230*B230,""),IF('Customer Base'!$I$15="AUTOMATE",IFERROR(AM230*A230,""),""))</f>
        <v>0</v>
      </c>
      <c r="AR230" s="103" t="s">
        <v>2214</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2246</v>
      </c>
      <c r="AO231" s="103" t="str">
        <f>IF('Customer Base'!$I$15="MANUAL",IFERROR(AM231*B231,""),IF('Customer Base'!$I$15="AUTOMATE",IFERROR(AM231*A231,""),""))</f>
        <v/>
      </c>
      <c r="AR231" s="103" t="s">
        <v>2214</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2244</v>
      </c>
      <c r="AO232" s="103">
        <f>IF('Customer Base'!$I$15="MANUAL",IFERROR(AM232*B232,""),IF('Customer Base'!$I$15="AUTOMATE",IFERROR(AM232*A232,""),""))</f>
        <v>0</v>
      </c>
      <c r="AR232" s="103" t="s">
        <v>2215</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2247</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2248</v>
      </c>
      <c r="AO233" s="103" t="str">
        <f>IF('Customer Base'!$I$15="MANUAL",IFERROR(AM233*B233,""),IF('Customer Base'!$I$15="AUTOMATE",IFERROR(AM233*A233,""),""))</f>
        <v/>
      </c>
      <c r="AR233" s="103" t="s">
        <v>2216</v>
      </c>
      <c r="AT233" s="103" t="str">
        <f t="shared" ref="AT233:AT240" si="44">IF(AND(AR233=$AY$3,$AZ$3=AN233),BA$3,"")</f>
        <v/>
      </c>
      <c r="AV233" s="103" t="str">
        <f t="shared" ref="AV233:AV252" si="45">IF(AU233&lt;&gt;"",AU233,AT233)</f>
        <v/>
      </c>
    </row>
    <row r="234" spans="1:48">
      <c r="A234" s="103" t="str">
        <f>IFERROR(IF(AND('Customer Base'!D$7&lt;&gt;"Grid-Tied",'Customer Base'!D$20="Hoppecke",'Customer Base'!D$19="12V Lead-Acid",'Customer Base'!E$20=100),MROUND('Customer Base'!D$21,'Customer Base'!D$8/12),""),"")</f>
        <v/>
      </c>
      <c r="B234" s="270" t="s">
        <v>1</v>
      </c>
      <c r="C234" s="253" t="s">
        <v>1522</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2245</v>
      </c>
      <c r="AO234" s="103" t="str">
        <f>IF('Customer Base'!$I$15="MANUAL",IFERROR(AM234*B234,""),IF('Customer Base'!$I$15="AUTOMATE",IFERROR(AM234*A234,""),""))</f>
        <v/>
      </c>
      <c r="AR234" s="103" t="s">
        <v>2217</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1523</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2249</v>
      </c>
      <c r="AO235" s="103" t="str">
        <f>IF('Customer Base'!$I$15="MANUAL",IFERROR(AM235*B235,""),IF('Customer Base'!$I$15="AUTOMATE",IFERROR(AM235*A235,""),""))</f>
        <v/>
      </c>
      <c r="AR235" s="103" t="s">
        <v>2217</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1524</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2250</v>
      </c>
      <c r="AO236" s="103" t="str">
        <f>IF('Customer Base'!$I$15="MANUAL",IFERROR(AM236*B236,""),IF('Customer Base'!$I$15="AUTOMATE",IFERROR(AM236*A236,""),""))</f>
        <v/>
      </c>
      <c r="AR236" s="103" t="s">
        <v>2217</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2" si="46">$D240/1.219</f>
        <v>0</v>
      </c>
      <c r="G240" s="224">
        <f>IFERROR(ROUNDUP(F240*'Customer Base'!$J$5,2),0)</f>
        <v>0</v>
      </c>
      <c r="H240" s="256">
        <f t="shared" ref="H240:H252"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1885</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2301</v>
      </c>
      <c r="AO242" s="103" t="str">
        <f>IF('Customer Base'!$I$15="MANUAL",IFERROR(AM242*B242,""),IF('Customer Base'!$I$15="AUTOMATE",IFERROR(AM242*A242,""),""))</f>
        <v/>
      </c>
      <c r="AP242" s="103">
        <v>14</v>
      </c>
      <c r="AQ242" s="103">
        <v>49.12</v>
      </c>
      <c r="AR242" s="103" t="s">
        <v>2308</v>
      </c>
      <c r="AS242" s="103" t="str">
        <f t="shared" ref="AS242:AS251"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1879</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2302</v>
      </c>
      <c r="AO243" s="103" t="str">
        <f>IF('Customer Base'!$I$15="MANUAL",IFERROR(AM243*B243,""),IF('Customer Base'!$I$15="AUTOMATE",IFERROR(AM243*A243,""),""))</f>
        <v/>
      </c>
      <c r="AP243" s="103">
        <v>13.57</v>
      </c>
      <c r="AQ243" s="103">
        <v>50.02</v>
      </c>
      <c r="AR243" s="103" t="s">
        <v>2308</v>
      </c>
      <c r="AS243" s="103" t="str">
        <f t="shared" si="48"/>
        <v/>
      </c>
      <c r="AT243" s="103" t="str">
        <f t="shared" ref="AT243:AT255"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2186</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
      </c>
      <c r="AM245" s="103">
        <v>0.55500000000000005</v>
      </c>
      <c r="AN245" s="103" t="s">
        <v>2303</v>
      </c>
      <c r="AO245" s="103" t="str">
        <f>IF('Customer Base'!$I$15="MANUAL",IFERROR(AM245*B245,""),IF('Customer Base'!$I$15="AUTOMATE",IFERROR(AM245*A245,""),""))</f>
        <v/>
      </c>
      <c r="AP245" s="103">
        <v>14.12</v>
      </c>
      <c r="AQ245" s="103">
        <v>49.72</v>
      </c>
      <c r="AR245" s="103" t="s">
        <v>2299</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2652</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2655</v>
      </c>
      <c r="AO247" s="103" t="str">
        <f>IF('Customer Base'!$I$15="MANUAL",IFERROR(AM247*B247,""),IF('Customer Base'!$I$15="AUTOMATE",IFERROR(AM247*A247,""),""))</f>
        <v/>
      </c>
      <c r="AP247" s="103">
        <v>14.31</v>
      </c>
      <c r="AQ247" s="103">
        <v>50.5</v>
      </c>
      <c r="AR247" s="103" t="s">
        <v>2298</v>
      </c>
      <c r="AS247" s="103" t="str">
        <f t="shared" ref="AS247" si="50">IF(AT247&lt;&gt;"",AQ247,"")</f>
        <v/>
      </c>
      <c r="AT247" s="103" t="str">
        <f t="shared" ref="AT247" si="51">IF(AND(AR247=$AY$4,$AZ$4=AN247),BA$4,"")</f>
        <v/>
      </c>
    </row>
    <row r="248" spans="1:48">
      <c r="A248" s="103" t="str">
        <f>IFERROR(IF(AND('Customer Base'!D$7&lt;&gt;"Backup",'Customer Base'!D$26=600,'Customer Base'!D$25="JA Solar"),ROUNDUP('Customer Base'!D$27/AM248,0),""),"")</f>
        <v/>
      </c>
      <c r="B248" s="270" t="s">
        <v>1</v>
      </c>
      <c r="C248" s="103" t="s">
        <v>2833</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
      </c>
      <c r="AM248" s="103">
        <v>0.6</v>
      </c>
      <c r="AN248" s="103" t="s">
        <v>2834</v>
      </c>
      <c r="AO248" s="103" t="str">
        <f>IF('Customer Base'!$I$15="MANUAL",IFERROR(AM248*B248,""),IF('Customer Base'!$I$15="AUTOMATE",IFERROR(AM248*A248,""),""))</f>
        <v/>
      </c>
      <c r="AP248" s="103">
        <v>15.95</v>
      </c>
      <c r="AQ248" s="103">
        <v>47.7</v>
      </c>
      <c r="AR248" s="103" t="s">
        <v>2298</v>
      </c>
      <c r="AS248" s="103" t="str">
        <f t="shared" si="48"/>
        <v/>
      </c>
      <c r="AT248" s="103" t="str">
        <f t="shared" si="49"/>
        <v/>
      </c>
      <c r="AV248" s="103" t="str">
        <f t="shared" si="45"/>
        <v/>
      </c>
    </row>
    <row r="249" spans="1:48">
      <c r="A249" s="103">
        <f>IFERROR(IF(AND('Customer Base'!D$7&lt;&gt;"Backup",'Customer Base'!D$26=605,'Customer Base'!D$25="JA Solar"),ROUNDUP('Customer Base'!D$27/AM249,0),""),"")</f>
        <v>40</v>
      </c>
      <c r="B249" s="270">
        <v>75</v>
      </c>
      <c r="C249" s="103" t="s">
        <v>2841</v>
      </c>
      <c r="D249" s="319">
        <v>115.255</v>
      </c>
      <c r="E249" s="319">
        <v>99.715000000000003</v>
      </c>
      <c r="F249" s="224">
        <f t="shared" si="46"/>
        <v>94.548810500410156</v>
      </c>
      <c r="G249" s="224">
        <f>IFERROR(ROUNDUP(F249*'Customer Base'!$J$5,2),0)</f>
        <v>1512.79</v>
      </c>
      <c r="H249" s="224">
        <f t="shared" si="47"/>
        <v>81.80065627563576</v>
      </c>
      <c r="I249" s="224">
        <f>IFERROR(ROUNDUP(H249*'Customer Base'!$J$5,2),0)</f>
        <v>1308.82</v>
      </c>
      <c r="J249" s="103" t="str">
        <f t="shared" ref="J249" si="52">IF(D249&lt;&gt;"",IF(D249&lt;E249,"lkdfjk",""),"")</f>
        <v/>
      </c>
      <c r="L249" s="103" t="str">
        <f t="shared" ref="L249" si="53">IF(H249&gt;F249,"lkkajdfkj","")</f>
        <v/>
      </c>
      <c r="N249" s="103">
        <v>248</v>
      </c>
      <c r="O249" s="103" t="str">
        <f>IF('Customer Base'!$I$15="MANUAL",IF(B249&lt;&gt;"",C249,""),IF('Customer Base'!$I$15="AUTOMATE",IF(A249&lt;&gt;"",C249,""),""))</f>
        <v>JA Solar JAM66-S45 605 Watts Solar Panel</v>
      </c>
      <c r="AM249" s="103">
        <v>0.60499999999999998</v>
      </c>
      <c r="AN249" s="103" t="s">
        <v>2840</v>
      </c>
      <c r="AO249" s="103">
        <f>IF('Customer Base'!$I$15="MANUAL",IFERROR(AM249*B249,""),IF('Customer Base'!$I$15="AUTOMATE",IFERROR(AM249*A249,""),""))</f>
        <v>24.2</v>
      </c>
      <c r="AP249" s="103">
        <v>16</v>
      </c>
      <c r="AQ249" s="103">
        <v>47.9</v>
      </c>
      <c r="AR249" s="103" t="s">
        <v>2298</v>
      </c>
      <c r="AS249" s="103" t="str">
        <f t="shared" ref="AS249" si="54">IF(AT249&lt;&gt;"",AQ249,"")</f>
        <v/>
      </c>
      <c r="AT249" s="103" t="str">
        <f t="shared" ref="AT249" si="55">IF(AND(AR249=$AY$4,$AZ$4=AN249),BA$4,"")</f>
        <v/>
      </c>
      <c r="AV249" s="103" t="str">
        <f t="shared" ref="AV249" si="56">IF(AU249&lt;&gt;"",AU249,AT249)</f>
        <v/>
      </c>
    </row>
    <row r="250" spans="1:48">
      <c r="A250" s="103" t="str">
        <f>IFERROR(IF(AND('Customer Base'!D$7&lt;&gt;"Backup",'Customer Base'!D$26=415,'Customer Base'!D$25="Sharp"),ROUNDUP('Customer Base'!D$27/AM250,0),""),"")</f>
        <v/>
      </c>
      <c r="B250" s="270" t="s">
        <v>1</v>
      </c>
      <c r="C250" s="259" t="s">
        <v>2296</v>
      </c>
      <c r="D250" s="327">
        <v>129.79</v>
      </c>
      <c r="E250" s="327">
        <v>105.754</v>
      </c>
      <c r="F250" s="260">
        <f t="shared" si="46"/>
        <v>106.47251845775224</v>
      </c>
      <c r="G250" s="260">
        <f>IFERROR(ROUNDUP(F250*'Customer Base'!$J$5,2),0)</f>
        <v>1703.57</v>
      </c>
      <c r="H250" s="260">
        <f t="shared" si="47"/>
        <v>86.754716981132077</v>
      </c>
      <c r="I250" s="260">
        <f>IFERROR(ROUNDUP(H250*'Customer Base'!$J$5,2),0)</f>
        <v>1388.08</v>
      </c>
      <c r="J250" s="103" t="str">
        <f t="shared" si="40"/>
        <v/>
      </c>
      <c r="L250" s="103" t="str">
        <f t="shared" si="41"/>
        <v/>
      </c>
      <c r="N250" s="103">
        <v>249</v>
      </c>
      <c r="O250" s="103" t="str">
        <f>IF('Customer Base'!$I$15="MANUAL",IF(B250&lt;&gt;"",C250,""),IF('Customer Base'!$I$15="AUTOMATE",IF(A250&lt;&gt;"",C250,""),""))</f>
        <v/>
      </c>
      <c r="AM250" s="103">
        <v>0.41499999999999998</v>
      </c>
      <c r="AN250" s="103" t="s">
        <v>2304</v>
      </c>
      <c r="AO250" s="103" t="str">
        <f>IF('Customer Base'!$I$15="MANUAL",IFERROR(AM250*B250,""),IF('Customer Base'!$I$15="AUTOMATE",IFERROR(AM250*A250,""),""))</f>
        <v/>
      </c>
      <c r="AP250" s="103">
        <v>13.87</v>
      </c>
      <c r="AQ250" s="103">
        <v>38.08</v>
      </c>
      <c r="AR250" s="103" t="s">
        <v>2297</v>
      </c>
      <c r="AS250" s="103" t="str">
        <f t="shared" si="48"/>
        <v/>
      </c>
      <c r="AT250" s="103" t="str">
        <f t="shared" si="49"/>
        <v/>
      </c>
      <c r="AV250" s="103" t="str">
        <f t="shared" si="45"/>
        <v/>
      </c>
    </row>
    <row r="251" spans="1:48">
      <c r="D251" s="319"/>
      <c r="E251" s="319"/>
      <c r="F251" s="224">
        <f t="shared" si="46"/>
        <v>0</v>
      </c>
      <c r="G251" s="224">
        <f>IFERROR(ROUNDUP(F251*'Customer Base'!$J$5,2),0)</f>
        <v>0</v>
      </c>
      <c r="H251" s="224">
        <f t="shared" si="47"/>
        <v>0</v>
      </c>
      <c r="I251" s="224">
        <f>IFERROR(ROUNDUP(H251*'Customer Base'!$J$5,2),0)</f>
        <v>0</v>
      </c>
      <c r="J251" s="103" t="str">
        <f t="shared" si="40"/>
        <v/>
      </c>
      <c r="L251" s="103" t="str">
        <f t="shared" si="41"/>
        <v/>
      </c>
      <c r="N251" s="103">
        <v>250</v>
      </c>
      <c r="O251" s="103" t="str">
        <f>IF('Customer Base'!$I$15="MANUAL",IF(B251&lt;&gt;"",C251,""),IF('Customer Base'!$I$15="AUTOMATE",IF(A251&lt;&gt;"",C251,""),""))</f>
        <v/>
      </c>
      <c r="AO251" s="103">
        <f>IF('Customer Base'!$I$15="MANUAL",IFERROR(AM251*B251,""),IF('Customer Base'!$I$15="AUTOMATE",IFERROR(AM251*A251,""),""))</f>
        <v>0</v>
      </c>
      <c r="AS251" s="103" t="str">
        <f t="shared" si="48"/>
        <v/>
      </c>
      <c r="AT251" s="103" t="str">
        <f t="shared" si="49"/>
        <v/>
      </c>
      <c r="AV251" s="103" t="str">
        <f t="shared" si="45"/>
        <v/>
      </c>
    </row>
    <row r="252" spans="1:48">
      <c r="A252" s="103" t="str">
        <f>IFERROR(IF(AND('Customer Base'!D$7&lt;&gt;"Backup",'Customer Base'!D$26=115,'Customer Base'!D$25="Victron"),ROUNDUP('Customer Base'!D$27/AM252,0),""),"")</f>
        <v/>
      </c>
      <c r="B252" s="270" t="s">
        <v>1</v>
      </c>
      <c r="C252" s="259" t="s">
        <v>2744</v>
      </c>
      <c r="D252" s="327">
        <v>64.900000000000006</v>
      </c>
      <c r="E252" s="327">
        <v>62.192</v>
      </c>
      <c r="F252" s="260">
        <f t="shared" si="46"/>
        <v>53.240360951599676</v>
      </c>
      <c r="G252" s="260">
        <f>IFERROR(ROUNDUP(F252*'Customer Base'!$J$5,2),0)</f>
        <v>851.85</v>
      </c>
      <c r="H252" s="260">
        <f t="shared" si="47"/>
        <v>51.018867924528301</v>
      </c>
      <c r="I252" s="260">
        <f>IFERROR(ROUNDUP(H252*'Customer Base'!$J$5,2),0)</f>
        <v>816.31</v>
      </c>
      <c r="J252" s="103" t="str">
        <f t="shared" si="40"/>
        <v/>
      </c>
      <c r="L252" s="103" t="str">
        <f t="shared" si="41"/>
        <v/>
      </c>
      <c r="N252" s="103">
        <v>251</v>
      </c>
      <c r="O252" s="103" t="str">
        <f>IF('Customer Base'!$I$15="MANUAL",IF(B252&lt;&gt;"",C252,""),IF('Customer Base'!$I$15="AUTOMATE",IF(A252&lt;&gt;"",C252,""),""))</f>
        <v/>
      </c>
      <c r="AM252" s="103">
        <v>0.115</v>
      </c>
      <c r="AN252" s="103" t="s">
        <v>2305</v>
      </c>
      <c r="AO252" s="103" t="str">
        <f>IF('Customer Base'!$I$15="MANUAL",IFERROR(AM252*B252,""),IF('Customer Base'!$I$15="AUTOMATE",IFERROR(AM252*A252,""),""))</f>
        <v/>
      </c>
      <c r="AP252" s="103">
        <v>6.61</v>
      </c>
      <c r="AQ252" s="103">
        <v>23.32</v>
      </c>
      <c r="AR252" s="103" t="s">
        <v>2300</v>
      </c>
      <c r="AS252" s="103" t="str">
        <f>IF(AT252&lt;&gt;"",AQ252,"")</f>
        <v/>
      </c>
      <c r="AT252" s="103" t="str">
        <f t="shared" si="49"/>
        <v/>
      </c>
      <c r="AV252" s="103" t="str">
        <f t="shared" si="45"/>
        <v/>
      </c>
    </row>
    <row r="253" spans="1:48">
      <c r="A253" s="103" t="str">
        <f>IFERROR(IF(AND('Customer Base'!D$7&lt;&gt;"Backup",'Customer Base'!D$26=270,'Customer Base'!D$25="Victron"),ROUNDUP('Customer Base'!D$27/AM253,0),""),"")</f>
        <v/>
      </c>
      <c r="B253" s="270" t="s">
        <v>1</v>
      </c>
      <c r="C253" s="259" t="s">
        <v>1356</v>
      </c>
      <c r="D253" s="327">
        <v>118.44</v>
      </c>
      <c r="E253" s="327">
        <v>113.505</v>
      </c>
      <c r="F253" s="260">
        <f t="shared" ref="F253:F290" si="57">$D253/1.219</f>
        <v>97.161607875307624</v>
      </c>
      <c r="G253" s="260">
        <f>IFERROR(ROUNDUP(F253*'Customer Base'!$J$5,2),0)</f>
        <v>1554.59</v>
      </c>
      <c r="H253" s="260">
        <f t="shared" ref="H253:H290" si="58">$E253/1.219</f>
        <v>93.113207547169807</v>
      </c>
      <c r="I253" s="260">
        <f>IFERROR(ROUNDUP(H253*'Customer Base'!$J$5,2),0)</f>
        <v>1489.82</v>
      </c>
      <c r="J253" s="103" t="str">
        <f t="shared" si="40"/>
        <v/>
      </c>
      <c r="L253" s="103" t="str">
        <f t="shared" si="41"/>
        <v/>
      </c>
      <c r="N253" s="103">
        <v>252</v>
      </c>
      <c r="O253" s="103" t="str">
        <f>IF('Customer Base'!$I$15="MANUAL",IF(B253&lt;&gt;"",C253,""),IF('Customer Base'!$I$15="AUTOMATE",IF(A253&lt;&gt;"",C253,""),""))</f>
        <v/>
      </c>
      <c r="AM253" s="103">
        <v>0.27</v>
      </c>
      <c r="AN253" s="103" t="s">
        <v>2306</v>
      </c>
      <c r="AO253" s="103" t="str">
        <f>IF('Customer Base'!$I$15="MANUAL",IFERROR(AM253*B253,""),IF('Customer Base'!$I$15="AUTOMATE",IFERROR(AM253*A253,""),""))</f>
        <v/>
      </c>
      <c r="AP253" s="103">
        <v>9.2100000000000009</v>
      </c>
      <c r="AQ253" s="103">
        <v>38.04</v>
      </c>
      <c r="AR253" s="103" t="s">
        <v>2300</v>
      </c>
      <c r="AS253" s="103" t="str">
        <f t="shared" ref="AS253:AS255" si="59">IF(AT253&lt;&gt;"",AQ253,"")</f>
        <v/>
      </c>
      <c r="AT253" s="103" t="str">
        <f t="shared" si="49"/>
        <v/>
      </c>
      <c r="AV253" s="103" t="str">
        <f t="shared" ref="AV253:AV290" si="60">IF(AU253&lt;&gt;"",AU253,AT253)</f>
        <v/>
      </c>
    </row>
    <row r="254" spans="1:48">
      <c r="A254" s="103" t="str">
        <f>IFERROR(IF(AND('Customer Base'!D$7&lt;&gt;"Backup",'Customer Base'!D$26=305,'Customer Base'!D$25="Victron"),ROUNDUP('Customer Base'!D$27/AM255,0),""),"")</f>
        <v/>
      </c>
      <c r="B254" s="270" t="s">
        <v>1</v>
      </c>
      <c r="C254" s="259" t="s">
        <v>2743</v>
      </c>
      <c r="D254" s="327">
        <v>131.54</v>
      </c>
      <c r="E254" s="327">
        <v>126.063</v>
      </c>
      <c r="F254" s="260">
        <f t="shared" si="57"/>
        <v>107.90812141099261</v>
      </c>
      <c r="G254" s="260">
        <f>IFERROR(ROUNDUP(F254*'Customer Base'!$J$5,2),0)</f>
        <v>1726.53</v>
      </c>
      <c r="H254" s="260">
        <f t="shared" si="58"/>
        <v>103.41509433962264</v>
      </c>
      <c r="I254" s="260">
        <f>IFERROR(ROUNDUP(H254*'Customer Base'!$J$5,2),0)</f>
        <v>1654.65</v>
      </c>
      <c r="J254" s="103" t="str">
        <f t="shared" si="40"/>
        <v/>
      </c>
      <c r="L254" s="103" t="str">
        <f t="shared" si="41"/>
        <v/>
      </c>
      <c r="N254" s="103">
        <v>253</v>
      </c>
      <c r="O254" s="103" t="str">
        <f>IF('Customer Base'!$I$15="MANUAL",IF(B254&lt;&gt;"",C254,""),IF('Customer Base'!$I$15="AUTOMATE",IF(A254&lt;&gt;"",C254,""),""))</f>
        <v/>
      </c>
      <c r="AM254" s="103">
        <v>0.30499999999999999</v>
      </c>
      <c r="AN254" s="103" t="s">
        <v>2307</v>
      </c>
      <c r="AO254" s="103" t="str">
        <f>IF('Customer Base'!$I$15="MANUAL",IFERROR(AM254*B254,""),IF('Customer Base'!$I$15="AUTOMATE",IFERROR(AM254*A254,""),""))</f>
        <v/>
      </c>
      <c r="AP254" s="103">
        <v>10.27</v>
      </c>
      <c r="AQ254" s="103">
        <v>39.86</v>
      </c>
      <c r="AR254" s="103" t="s">
        <v>2300</v>
      </c>
    </row>
    <row r="255" spans="1:48">
      <c r="A255" s="103" t="str">
        <f>IFERROR(IF(AND('Customer Base'!D$7&lt;&gt;"Backup",'Customer Base'!D$26=330,'Customer Base'!D$25="Victron"),ROUNDUP('Customer Base'!D$27/AM255,0),""),"")</f>
        <v/>
      </c>
      <c r="B255" s="270" t="s">
        <v>1</v>
      </c>
      <c r="C255" s="259" t="s">
        <v>2742</v>
      </c>
      <c r="D255" s="327">
        <v>129.78</v>
      </c>
      <c r="E255" s="327">
        <v>124.373</v>
      </c>
      <c r="F255" s="260">
        <f t="shared" si="57"/>
        <v>106.46431501230516</v>
      </c>
      <c r="G255" s="260">
        <f>IFERROR(ROUNDUP(F255*'Customer Base'!$J$5,2),0)</f>
        <v>1703.43</v>
      </c>
      <c r="H255" s="260">
        <f t="shared" si="58"/>
        <v>102.0287120590648</v>
      </c>
      <c r="I255" s="260">
        <f>IFERROR(ROUNDUP(H255*'Customer Base'!$J$5,2),0)</f>
        <v>1632.46</v>
      </c>
      <c r="J255" s="103" t="str">
        <f t="shared" si="40"/>
        <v/>
      </c>
      <c r="L255" s="103" t="str">
        <f t="shared" si="41"/>
        <v/>
      </c>
      <c r="N255" s="103">
        <v>254</v>
      </c>
      <c r="O255" s="103" t="str">
        <f>IF('Customer Base'!$I$15="MANUAL",IF(B255&lt;&gt;"",C255,""),IF('Customer Base'!$I$15="AUTOMATE",IF(A255&lt;&gt;"",C255,""),""))</f>
        <v/>
      </c>
      <c r="AM255" s="103">
        <v>0.33</v>
      </c>
      <c r="AN255" s="103" t="s">
        <v>2745</v>
      </c>
      <c r="AO255" s="103" t="str">
        <f>IF('Customer Base'!$I$15="MANUAL",IFERROR(AM255*B255,""),IF('Customer Base'!$I$15="AUTOMATE",IFERROR(AM255*A255,""),""))</f>
        <v/>
      </c>
      <c r="AP255" s="103">
        <v>9.57</v>
      </c>
      <c r="AQ255" s="103">
        <v>44.72</v>
      </c>
      <c r="AR255" s="103" t="s">
        <v>2300</v>
      </c>
      <c r="AS255" s="103" t="str">
        <f t="shared" si="59"/>
        <v/>
      </c>
      <c r="AT255" s="103" t="str">
        <f t="shared" si="49"/>
        <v/>
      </c>
      <c r="AV255" s="103" t="str">
        <f t="shared" si="60"/>
        <v/>
      </c>
    </row>
    <row r="256" spans="1:48">
      <c r="D256" s="319"/>
      <c r="E256" s="319"/>
      <c r="I256" s="224"/>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60"/>
        <v>0</v>
      </c>
    </row>
    <row r="257" spans="1:49">
      <c r="C257" s="232" t="s">
        <v>1886</v>
      </c>
      <c r="D257" s="320"/>
      <c r="E257" s="320"/>
      <c r="F257" s="234">
        <f t="shared" si="57"/>
        <v>0</v>
      </c>
      <c r="G257" s="234">
        <f>IFERROR(ROUNDUP(F257*'Customer Base'!$J$5,2),0)</f>
        <v>0</v>
      </c>
      <c r="H257" s="234">
        <f t="shared" si="58"/>
        <v>0</v>
      </c>
      <c r="I257" s="234">
        <f>IFERROR(ROUNDUP(H257*'Customer Base'!$J$5,2),0)</f>
        <v>0</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V257" s="103">
        <f t="shared" si="60"/>
        <v>0</v>
      </c>
    </row>
    <row r="258" spans="1:49">
      <c r="C258" s="237" t="s">
        <v>860</v>
      </c>
      <c r="D258" s="267">
        <v>63.21</v>
      </c>
      <c r="E258" s="267">
        <v>59.534999999999997</v>
      </c>
      <c r="F258" s="238">
        <f t="shared" si="57"/>
        <v>51.853978671041837</v>
      </c>
      <c r="G258" s="238">
        <f>IFERROR(ROUNDUP(F258*'Customer Base'!$J$5,2),0)</f>
        <v>829.67</v>
      </c>
      <c r="H258" s="238">
        <f t="shared" si="58"/>
        <v>48.839212469237076</v>
      </c>
      <c r="I258" s="238">
        <f>IFERROR(ROUNDUP(H258*'Customer Base'!$J$5,2),0)</f>
        <v>781.43</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145</v>
      </c>
      <c r="AR258" s="103">
        <v>290</v>
      </c>
      <c r="AT258" s="103" t="str">
        <f>IF(AND(SUMPRODUCT(AS$242:AS$255,AT$242:AT$255)&gt;0,SUMPRODUCT(AS$242:AS$255,AT$242:AT$255)&lt;=75,OR(AND(BD$1=12,BB$4&gt;0,BB$4&lt;=0.145),AND(BD$1=24,BB$4&gt;0,BB$4&lt;=0.29))),1,"")</f>
        <v/>
      </c>
      <c r="AV258" s="103" t="str">
        <f t="shared" si="60"/>
        <v/>
      </c>
      <c r="AW258" s="103">
        <f>IF('Customer Base'!$D$8=12,AQ258,IF('Customer Base'!$D$8=24,AR258,IF('Customer Base'!$D$8=48,AS258,"")))</f>
        <v>0</v>
      </c>
    </row>
    <row r="259" spans="1:49">
      <c r="C259" s="237" t="s">
        <v>861</v>
      </c>
      <c r="D259" s="267">
        <v>67.73</v>
      </c>
      <c r="E259" s="267">
        <v>63.7956</v>
      </c>
      <c r="F259" s="238">
        <f t="shared" si="57"/>
        <v>55.561936013125511</v>
      </c>
      <c r="G259" s="238">
        <f>IFERROR(ROUNDUP(F259*'Customer Base'!$J$5,2),0)</f>
        <v>889</v>
      </c>
      <c r="H259" s="238">
        <f t="shared" si="58"/>
        <v>52.334372436423294</v>
      </c>
      <c r="I259" s="238">
        <f>IFERROR(ROUNDUP(H259*'Customer Base'!$J$5,2),0)</f>
        <v>837.35</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75</v>
      </c>
      <c r="AQ259" s="103">
        <v>220</v>
      </c>
      <c r="AR259" s="103">
        <v>440</v>
      </c>
      <c r="AT259" s="103" t="str">
        <f>IF(AND(SUMPRODUCT(AS$242:AS$255,AT$242:AT$255)&gt;0,SUMPRODUCT(AS$242:AS$255,AT$242:AT$255)&lt;=75,OR(AND(BD$1=12,BB$4&gt;0.145,BB$4&lt;=0.22),AND(BD$1=24,BB$4&gt;0.29,BB$4&lt;=0.44))),1,"")</f>
        <v/>
      </c>
      <c r="AV259" s="103" t="str">
        <f t="shared" si="60"/>
        <v/>
      </c>
      <c r="AW259" s="103">
        <f>IF('Customer Base'!$D$8=12,AQ259,IF('Customer Base'!$D$8=24,AR259,IF('Customer Base'!$D$8=48,AS259,"")))</f>
        <v>0</v>
      </c>
    </row>
    <row r="260" spans="1:49">
      <c r="C260" s="237" t="s">
        <v>862</v>
      </c>
      <c r="D260" s="267">
        <v>79.459999999999994</v>
      </c>
      <c r="E260" s="267">
        <v>74.843999999999994</v>
      </c>
      <c r="F260" s="238">
        <f t="shared" si="57"/>
        <v>65.184577522559465</v>
      </c>
      <c r="G260" s="238">
        <f>IFERROR(ROUNDUP(F260*'Customer Base'!$J$5,2),0)</f>
        <v>1042.96</v>
      </c>
      <c r="H260" s="238">
        <f t="shared" si="58"/>
        <v>61.397867104183746</v>
      </c>
      <c r="I260" s="238">
        <f>IFERROR(ROUNDUP(H260*'Customer Base'!$J$5,2),0)</f>
        <v>982.37</v>
      </c>
      <c r="J260" s="103" t="str">
        <f t="shared" si="40"/>
        <v/>
      </c>
      <c r="L260" s="103" t="str">
        <f t="shared" si="41"/>
        <v/>
      </c>
      <c r="N260" s="103">
        <v>259</v>
      </c>
      <c r="O260" s="103" t="str">
        <f>IF('Customer Base'!$I$15="MANUAL",IF(B260&lt;&gt;"",C260,""),IF('Customer Base'!$I$15="AUTOMATE",IF(A260&lt;&gt;"",C260,""),""))</f>
        <v/>
      </c>
      <c r="AO260" s="103">
        <f>IF('Customer Base'!$I$15="MANUAL",IFERROR(AM260*B260,""),IF('Customer Base'!$I$15="AUTOMATE",IFERROR(AM260*A260,""),""))</f>
        <v>0</v>
      </c>
      <c r="AP260" s="103">
        <v>100</v>
      </c>
      <c r="AQ260" s="103">
        <v>220</v>
      </c>
      <c r="AR260" s="103">
        <v>440</v>
      </c>
      <c r="AT260" s="103" t="str">
        <f>IF(AND(SUMPRODUCT(AS$242:AS$255,AT$242:AT$255)&gt;75,SUMPRODUCT(AS$242:AS$255,AT$242:AT$255)&lt;=100,OR(AND(BD$1=12,BB$4&gt;0.145,BB$4&lt;=0.22),AND(BD$1=24,BB$4&gt;0.29,BB$4&lt;=0.44))),1,"")</f>
        <v/>
      </c>
      <c r="AV260" s="103" t="str">
        <f t="shared" si="60"/>
        <v/>
      </c>
      <c r="AW260" s="103">
        <f>IF('Customer Base'!$D$8=12,AQ260,IF('Customer Base'!$D$8=24,AR260,IF('Customer Base'!$D$8=48,AS260,"")))</f>
        <v>0</v>
      </c>
    </row>
    <row r="261" spans="1:49">
      <c r="A261" s="103" t="str">
        <f ca="1">IFERROR(IF(AND('Client List'!IP474=100,'Client List'!ED474&lt;&gt;0,'Customer Base'!D$7&lt;&gt;"Backup",'Customer Base'!D$13="Victron",'Customer Base'!D$14&lt;&gt;6),1,IF(AND('Customer Base'!D$7&lt;&gt;"Backup",'Customer Base'!D$13="Victron",'Customer Base'!D$14&lt;&gt;6),IF(AND('Client List'!EH474=100,'Client List'!EF$474&gt;0,'Client List'!EF$474&lt;=AW$261,OR(SUM('Client List'!EE483:EE485)&gt;0,SUM('Client List'!EE477:EE491)=0)),'Client List'!EC$474,IF(AND('Client List'!IP474=100,'Client List'!IN$474&gt;0,'Client List'!IN$474&lt;=AW$261,SUM('Client List'!IM483:IM485)&gt;0),'Client List'!IK$474,"")),"")),"")</f>
        <v/>
      </c>
      <c r="B261" s="270" t="s">
        <v>1</v>
      </c>
      <c r="C261" s="237" t="s">
        <v>1675</v>
      </c>
      <c r="D261" s="267">
        <v>90.3</v>
      </c>
      <c r="E261" s="267">
        <v>85.05</v>
      </c>
      <c r="F261" s="238">
        <f t="shared" si="57"/>
        <v>74.077112387202618</v>
      </c>
      <c r="G261" s="238">
        <f>IFERROR(ROUNDUP(F261*'Customer Base'!$J$5,2),0)</f>
        <v>1185.24</v>
      </c>
      <c r="H261" s="238">
        <f t="shared" si="58"/>
        <v>69.770303527481531</v>
      </c>
      <c r="I261" s="238">
        <f>IFERROR(ROUNDUP(H261*'Customer Base'!$J$5,2),0)</f>
        <v>1116.33</v>
      </c>
      <c r="J261" s="103" t="str">
        <f t="shared" si="40"/>
        <v/>
      </c>
      <c r="L261" s="103" t="str">
        <f t="shared" si="41"/>
        <v/>
      </c>
      <c r="N261" s="103">
        <v>260</v>
      </c>
      <c r="O261" s="103" t="str">
        <f ca="1">IF('Customer Base'!$I$15="MANUAL",IF(B261&lt;&gt;"",C261,""),IF('Customer Base'!$I$15="AUTOMATE",IF(A261&lt;&gt;"",C261,""),""))</f>
        <v/>
      </c>
      <c r="AO261" s="103" t="str">
        <f ca="1">IF('Customer Base'!$I$15="MANUAL",IFERROR(AM261*B261,""),IF('Customer Base'!$I$15="AUTOMATE",IFERROR(AM261*A261,""),""))</f>
        <v/>
      </c>
      <c r="AP261" s="103">
        <v>100</v>
      </c>
      <c r="AQ261" s="103">
        <v>290</v>
      </c>
      <c r="AR261" s="103">
        <v>580</v>
      </c>
      <c r="AS261" s="103">
        <v>1160</v>
      </c>
      <c r="AT261" s="103" t="str">
        <f>IF(AND(SUMPRODUCT(AS$242:AS$255,AT$242:AT$255)&gt;75,SUMPRODUCT(AS$242:AS$255,AT$242:AT$255)&lt;=100,OR(AND(BD$1=12,BB$4&gt;0.22,BB$4&lt;=0.29),AND(BD$1=24,BB$4&gt;0.44,BB$4&lt;=0.58),AND(BD$1=48,BB$4&gt;0,BB$4&lt;=1.16))),1,"")</f>
        <v/>
      </c>
      <c r="AV261" s="103" t="str">
        <f t="shared" si="60"/>
        <v/>
      </c>
      <c r="AW261" s="103">
        <f>IF('Customer Base'!$D$8=12,AQ261,IF('Customer Base'!$D$8=24,AR261,IF('Customer Base'!$D$8=48,AS261,"")))</f>
        <v>1160</v>
      </c>
    </row>
    <row r="262" spans="1:49">
      <c r="A262" s="103"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863</v>
      </c>
      <c r="D262" s="267">
        <v>130.03</v>
      </c>
      <c r="E262" s="267">
        <v>122.47199999999999</v>
      </c>
      <c r="F262" s="238">
        <f t="shared" si="57"/>
        <v>106.66940114848235</v>
      </c>
      <c r="G262" s="238">
        <f>IFERROR(ROUNDUP(F262*'Customer Base'!$J$5,2),0)</f>
        <v>1706.72</v>
      </c>
      <c r="H262" s="238">
        <f t="shared" si="58"/>
        <v>100.4692370795734</v>
      </c>
      <c r="I262" s="238">
        <f>IFERROR(ROUNDUP(H262*'Customer Base'!$J$5,2),0)</f>
        <v>1607.51</v>
      </c>
      <c r="J262" s="103" t="str">
        <f t="shared" si="40"/>
        <v/>
      </c>
      <c r="L262" s="103" t="str">
        <f t="shared" si="41"/>
        <v/>
      </c>
      <c r="N262" s="103">
        <v>261</v>
      </c>
      <c r="O262" s="103" t="str">
        <f ca="1">IF('Customer Base'!$I$15="MANUAL",IF(B262&lt;&gt;"",C262,""),IF('Customer Base'!$I$15="AUTOMATE",IF(A262&lt;&gt;"",C262,""),""))</f>
        <v/>
      </c>
      <c r="AO262" s="103" t="str">
        <f ca="1">IF('Customer Base'!$I$15="MANUAL",IFERROR(AM262*B262,""),IF('Customer Base'!$I$15="AUTOMATE",IFERROR(AM262*A262,""),""))</f>
        <v/>
      </c>
      <c r="AP262" s="103">
        <v>100</v>
      </c>
      <c r="AQ262" s="103">
        <v>440</v>
      </c>
      <c r="AR262" s="103">
        <v>880</v>
      </c>
      <c r="AT262" s="103" t="str">
        <f>IF(AND(SUMPRODUCT(AS$242:AS$255,AT$242:AT$255)&gt;75,SUMPRODUCT(AS$242:AS$255,AT$242:AT$255)&lt;=100,OR(AND(BD$1=12,BB$4&gt;0.29,BB$4&lt;=0.44),AND(BD$1=24,BB$4&gt;0.58,BB$4&lt;=0.88))),1,"")</f>
        <v/>
      </c>
      <c r="AV262" s="103" t="str">
        <f t="shared" si="60"/>
        <v/>
      </c>
      <c r="AW262" s="103">
        <f>IF('Customer Base'!$D$8=12,AQ262,IF('Customer Base'!$D$8=24,AR262,IF('Customer Base'!$D$8=48,AS262,"")))</f>
        <v>0</v>
      </c>
    </row>
    <row r="263" spans="1:49">
      <c r="A263" s="242" t="str">
        <f ca="1">IFERROR(IF(AND('Customer Base'!D$7&lt;&gt;"Backup",'Customer Base'!D$13="Victron",'Customer Base'!D$14&lt;&gt;6),IF(AND('Client List'!EH474=100,'Client List'!EF$474&gt;AW$262,'Client List'!EF$474&lt;=AW$263,OR(SUM('Client List'!EE483:EE485)&gt;0,SUM('Client List'!EE477:EE491)=0)),'Client List'!EC$474,IF(AND('Client List'!IP474=100,'Client List'!IN$474&gt;AW$262,'Client List'!IN$474&lt;=AW$263,SUM('Client List'!IM483:IM485)&gt;0),'Client List'!IK$474,"")),""),"")</f>
        <v/>
      </c>
      <c r="B263" s="270" t="s">
        <v>1</v>
      </c>
      <c r="C263" s="237" t="s">
        <v>864</v>
      </c>
      <c r="D263" s="267">
        <v>186.93</v>
      </c>
      <c r="E263" s="267">
        <v>176.0616</v>
      </c>
      <c r="F263" s="238">
        <f t="shared" si="57"/>
        <v>153.3470057424118</v>
      </c>
      <c r="G263" s="238">
        <f>IFERROR(ROUNDUP(F263*'Customer Base'!$J$5,2),0)</f>
        <v>2453.5600000000004</v>
      </c>
      <c r="H263" s="238">
        <f t="shared" si="58"/>
        <v>144.43117309269891</v>
      </c>
      <c r="I263" s="238">
        <f>IFERROR(ROUNDUP(H263*'Customer Base'!$J$5,2),0)</f>
        <v>2310.9</v>
      </c>
      <c r="J263" s="103" t="str">
        <f t="shared" si="40"/>
        <v/>
      </c>
      <c r="L263" s="103" t="str">
        <f t="shared" si="41"/>
        <v/>
      </c>
      <c r="N263" s="103">
        <v>262</v>
      </c>
      <c r="O263" s="103" t="str">
        <f ca="1">IF('Customer Base'!$I$15="MANUAL",IF(B263&lt;&gt;"",C263,""),IF('Customer Base'!$I$15="AUTOMATE",IF(A263&lt;&gt;"",C263,""),""))</f>
        <v/>
      </c>
      <c r="AO263" s="103" t="str">
        <f ca="1">IF('Customer Base'!$I$15="MANUAL",IFERROR(AM263*B263,""),IF('Customer Base'!$I$15="AUTOMATE",IFERROR(AM263*A263,""),""))</f>
        <v/>
      </c>
      <c r="AP263" s="103">
        <v>100</v>
      </c>
      <c r="AQ263" s="103">
        <v>700</v>
      </c>
      <c r="AR263" s="103">
        <v>1400</v>
      </c>
      <c r="AT263" s="103" t="str">
        <f>IF(AND(SUMPRODUCT(AS$242:AS$255,AT$242:AT$255)&gt;75,SUMPRODUCT(AS$242:AS$255,AT$242:AT$255)&lt;=100,OR(AND(BD$1=12,BB$4&gt;0.44,BB$4&lt;=0.7),AND(BD$1=24,BB$4&gt;0.88,BB$4&lt;=1.4))),1,"")</f>
        <v/>
      </c>
      <c r="AV263" s="103" t="str">
        <f t="shared" si="60"/>
        <v/>
      </c>
      <c r="AW263" s="103">
        <f>IF('Customer Base'!$D$8=12,AQ263,IF('Customer Base'!$D$8=24,AR263,IF('Customer Base'!$D$8=48,AS263,"")))</f>
        <v>0</v>
      </c>
    </row>
    <row r="264" spans="1:49">
      <c r="A264" s="103">
        <f ca="1">IFERROR(IF(AND('Customer Base'!D$7&lt;&gt;"Backup",'Customer Base'!D$13="Victron",'Customer Base'!D$14&lt;&gt;6),IF(AND(OR(AND('Client List'!EH474=100,'Client List'!EF474&gt;1160,'Client List'!EF474&lt;2000,'Client List'!EF$474&gt;0),AND('Client List'!EH474=150,'Client List'!EF$474&lt;=AW$264)),OR(SUM('Client List'!EE477:EE485)&gt;0,SUM('Client List'!EE477:EE491)=0)),'Client List'!EC$474,IF(AND(OR(AND('Client List'!IP474=100,'Client List'!IN474&gt;1160,'Client List'!IN474&lt;2000,'Client List'!IN$474&gt;0),AND('Client List'!IP474=150,'Client List'!IN$474&lt;=AW$264)),SUM('Client List'!IM477:IM485)&gt;0),'Client List'!IK$474,"")),""),"")</f>
        <v>1</v>
      </c>
      <c r="B264" s="270" t="s">
        <v>1</v>
      </c>
      <c r="C264" s="237" t="s">
        <v>865</v>
      </c>
      <c r="D264" s="267">
        <v>186.93</v>
      </c>
      <c r="E264" s="267">
        <v>176.0616</v>
      </c>
      <c r="F264" s="238">
        <f t="shared" si="57"/>
        <v>153.3470057424118</v>
      </c>
      <c r="G264" s="238">
        <f>IFERROR(ROUNDUP(F264*'Customer Base'!$J$5,2),0)</f>
        <v>2453.5600000000004</v>
      </c>
      <c r="H264" s="238">
        <f t="shared" si="58"/>
        <v>144.43117309269891</v>
      </c>
      <c r="I264" s="238">
        <f>IFERROR(ROUNDUP(H264*'Customer Base'!$J$5,2),0)</f>
        <v>2310.9</v>
      </c>
      <c r="J264" s="103" t="str">
        <f t="shared" si="40"/>
        <v/>
      </c>
      <c r="L264" s="103" t="str">
        <f t="shared" si="41"/>
        <v/>
      </c>
      <c r="N264" s="103">
        <v>263</v>
      </c>
      <c r="O264" s="103" t="str">
        <f ca="1">IF('Customer Base'!$I$15="MANUAL",IF(B264&lt;&gt;"",C264,""),IF('Customer Base'!$I$15="AUTOMATE",IF(A264&lt;&gt;"",C264,""),""))</f>
        <v>Victron SmartSolar MPPT 150/35</v>
      </c>
      <c r="AO264" s="103">
        <f ca="1">IF('Customer Base'!$I$15="MANUAL",IFERROR(AM264*B264,""),IF('Customer Base'!$I$15="AUTOMATE",IFERROR(AM264*A264,""),""))</f>
        <v>0</v>
      </c>
      <c r="AP264" s="103">
        <v>150</v>
      </c>
      <c r="AQ264" s="103">
        <v>500</v>
      </c>
      <c r="AR264" s="103">
        <v>1000</v>
      </c>
      <c r="AS264" s="103">
        <v>2000</v>
      </c>
      <c r="AT264" s="103" t="str">
        <f>IF(AND(SUMPRODUCT(AS$242:AS$255,AT$242:AT$255)&gt;100,SUMPRODUCT(AS$242:AS$255,AT$242:AT$255)&lt;=150,OR(AND(BD$1=12,BB$4&gt;0,BB$4&lt;=0.5),AND(BD$1=24,BB$4&gt;0,BB$4&lt;=1),,AND(BD$1=48,BB$4&gt;0,BB$4&lt;=2))),1,"")</f>
        <v/>
      </c>
      <c r="AV264" s="103" t="str">
        <f t="shared" si="60"/>
        <v/>
      </c>
      <c r="AW264" s="103">
        <f>IF('Customer Base'!$D$8=12,AQ264,IF('Customer Base'!$D$8=24,AR264,IF('Customer Base'!$D$8=48,AS264,"")))</f>
        <v>2000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1035</v>
      </c>
      <c r="D265" s="267">
        <v>221.23</v>
      </c>
      <c r="E265" s="267">
        <v>208.364</v>
      </c>
      <c r="F265" s="238">
        <f t="shared" si="57"/>
        <v>181.48482362592287</v>
      </c>
      <c r="G265" s="238">
        <f>IFERROR(ROUNDUP(F265*'Customer Base'!$J$5,2),0)</f>
        <v>2903.76</v>
      </c>
      <c r="H265" s="238">
        <f t="shared" si="58"/>
        <v>170.93027071369974</v>
      </c>
      <c r="I265" s="238">
        <f>IFERROR(ROUNDUP(H265*'Customer Base'!$J$5,2),0)</f>
        <v>2734.8900000000003</v>
      </c>
      <c r="J265" s="103" t="str">
        <f t="shared" si="40"/>
        <v/>
      </c>
      <c r="L265" s="103" t="str">
        <f t="shared" si="41"/>
        <v/>
      </c>
      <c r="N265" s="103">
        <v>264</v>
      </c>
      <c r="O265" s="103" t="str">
        <f ca="1">IF('Customer Base'!$I$15="MANUAL",IF(B265&lt;&gt;"",C265,""),IF('Customer Base'!$I$15="AUTOMATE",IF(A265&lt;&gt;"",C265,""),""))</f>
        <v/>
      </c>
      <c r="AO265" s="103" t="str">
        <f ca="1">IF('Customer Base'!$I$15="MANUAL",IFERROR(AM265*B265,""),IF('Customer Base'!$I$15="AUTOMATE",IFERROR(AM265*A265,""),""))</f>
        <v/>
      </c>
      <c r="AP265" s="103">
        <v>150</v>
      </c>
      <c r="AQ265" s="103">
        <v>650</v>
      </c>
      <c r="AR265" s="103">
        <v>1300</v>
      </c>
      <c r="AS265" s="103">
        <v>2600</v>
      </c>
      <c r="AT265" s="103" t="str">
        <f>IF(AND(SUMPRODUCT(AS$242:AS$255,AT$242:AT$255)&gt;100,SUMPRODUCT(AS$242:AS$255,AT$242:AT$255)&lt;=150,OR(AND(BD$1=12,BB$4&gt;0.5,BB$4&lt;=0.65),AND(BD$1=24,BB$4&gt;1,BB$4&lt;=1.3),,AND(BD$1=48,BB$4&gt;2,BB$4&lt;=2.6))),1,"")</f>
        <v/>
      </c>
      <c r="AV265" s="103" t="str">
        <f t="shared" ref="AV265" si="61">IF(AU265&lt;&gt;"",AU265,AT265)</f>
        <v/>
      </c>
      <c r="AW265" s="103">
        <f>IF('Customer Base'!$D$8=12,AQ265,IF('Customer Base'!$D$8=24,AR265,IF('Customer Base'!$D$8=48,AS265,"")))</f>
        <v>2600</v>
      </c>
    </row>
    <row r="266" spans="1:49">
      <c r="A266" s="103" t="str">
        <f ca="1">IFERROR(IF(AND('Customer Base'!D$7&lt;&gt;"Backup",'Customer Base'!D$13="Victron",'Customer Base'!D$14&lt;&gt;6),IF(AND('Client List'!EH474=150,'Client List'!EF$474&gt;AW$265,'Client List'!EF$474&lt;=AW$266,OR(SUM('Client List'!EE477:EE485)&gt;0,SUM('Client List'!EE477:EE491)=0)),'Client List'!EC$474,IF(AND('Client List'!IP474=150,'Client List'!IN$474&gt;AW$265,'Client List'!IN$474&lt;=AW$266,SUM('Client List'!IM477:IM485)&gt;0),'Client List'!IK$474,"")),""),"")</f>
        <v/>
      </c>
      <c r="B266" s="270" t="s">
        <v>1</v>
      </c>
      <c r="C266" s="237" t="s">
        <v>866</v>
      </c>
      <c r="D266" s="267">
        <v>354.87</v>
      </c>
      <c r="E266" s="267">
        <v>334.23840000000001</v>
      </c>
      <c r="F266" s="238">
        <f t="shared" si="57"/>
        <v>291.11566858080391</v>
      </c>
      <c r="G266" s="238">
        <f>IFERROR(ROUNDUP(F266*'Customer Base'!$J$5,2),0)</f>
        <v>4657.8600000000006</v>
      </c>
      <c r="H266" s="238">
        <f t="shared" si="58"/>
        <v>274.1906480721903</v>
      </c>
      <c r="I266" s="238">
        <f>IFERROR(ROUNDUP(H266*'Customer Base'!$J$5,2),0)</f>
        <v>4387.0600000000004</v>
      </c>
      <c r="J266" s="103" t="str">
        <f t="shared" si="40"/>
        <v/>
      </c>
      <c r="L266" s="103" t="str">
        <f t="shared" si="41"/>
        <v/>
      </c>
      <c r="N266" s="103">
        <v>265</v>
      </c>
      <c r="O266" s="103" t="str">
        <f ca="1">IF('Customer Base'!$I$15="MANUAL",IF(B266&lt;&gt;"",C266,""),IF('Customer Base'!$I$15="AUTOMATE",IF(A266&lt;&gt;"",C266,""),""))</f>
        <v/>
      </c>
      <c r="AO266" s="103" t="str">
        <f ca="1">IF('Customer Base'!$I$15="MANUAL",IFERROR(AM266*B266,""),IF('Customer Base'!$I$15="AUTOMATE",IFERROR(AM266*A266,""),""))</f>
        <v/>
      </c>
      <c r="AP266" s="103">
        <v>150</v>
      </c>
      <c r="AQ266" s="103">
        <v>860</v>
      </c>
      <c r="AR266" s="103">
        <v>1720</v>
      </c>
      <c r="AS266" s="103">
        <v>3440</v>
      </c>
      <c r="AV266" s="103">
        <f t="shared" si="60"/>
        <v>0</v>
      </c>
      <c r="AW266" s="103">
        <f>IF('Customer Base'!$D$8=12,AQ266,IF('Customer Base'!$D$8=24,AR266,IF('Customer Base'!$D$8=48,AS266,"")))</f>
        <v>3440</v>
      </c>
    </row>
    <row r="267" spans="1:49">
      <c r="C267" s="237" t="s">
        <v>2740</v>
      </c>
      <c r="D267" s="267">
        <v>354.87</v>
      </c>
      <c r="E267" s="267">
        <v>334.238</v>
      </c>
      <c r="F267" s="238">
        <f t="shared" si="57"/>
        <v>291.11566858080391</v>
      </c>
      <c r="G267" s="238">
        <f>IFERROR(ROUNDUP(F267*'Customer Base'!$J$5,2),0)</f>
        <v>4657.8600000000006</v>
      </c>
      <c r="H267" s="238">
        <f t="shared" si="58"/>
        <v>274.19031993437244</v>
      </c>
      <c r="I267" s="238">
        <f>IFERROR(ROUNDUP(H267*'Customer Base'!$J$5,2),0)</f>
        <v>4387.05</v>
      </c>
      <c r="J267" s="103" t="str">
        <f t="shared" si="40"/>
        <v/>
      </c>
      <c r="L267" s="103" t="str">
        <f t="shared" si="41"/>
        <v/>
      </c>
      <c r="N267" s="103">
        <v>266</v>
      </c>
      <c r="O267" s="103" t="str">
        <f>IF('Customer Base'!$I$15="MANUAL",IF(B267&lt;&gt;"",C267,""),IF('Customer Base'!$I$15="AUTOMATE",IF(A267&lt;&gt;"",C267,""),""))</f>
        <v/>
      </c>
      <c r="AO267" s="103">
        <f>IF('Customer Base'!$I$15="MANUAL",IFERROR(AM267*B267,""),IF('Customer Base'!$I$15="AUTOMATE",IFERROR(AM267*A267,""),""))</f>
        <v>0</v>
      </c>
      <c r="AV267" s="103">
        <f t="shared" si="60"/>
        <v>0</v>
      </c>
      <c r="AW267" s="103">
        <f>IF('Customer Base'!$D$8=12,AQ267,IF('Customer Base'!$D$8=24,AR267,IF('Customer Base'!$D$8=48,AS267,"")))</f>
        <v>0</v>
      </c>
    </row>
    <row r="268" spans="1:49">
      <c r="C268" s="237" t="s">
        <v>867</v>
      </c>
      <c r="D268" s="267">
        <v>387.38</v>
      </c>
      <c r="E268" s="267">
        <v>364.85640000000001</v>
      </c>
      <c r="F268" s="238">
        <f t="shared" si="57"/>
        <v>317.78506972928625</v>
      </c>
      <c r="G268" s="238">
        <f>IFERROR(ROUNDUP(F268*'Customer Base'!$J$5,2),0)</f>
        <v>5084.5700000000006</v>
      </c>
      <c r="H268" s="238">
        <f t="shared" si="58"/>
        <v>299.30795734208368</v>
      </c>
      <c r="I268" s="238">
        <f>IFERROR(ROUNDUP(H268*'Customer Base'!$J$5,2),0)</f>
        <v>4788.93</v>
      </c>
      <c r="J268" s="103" t="str">
        <f t="shared" si="40"/>
        <v/>
      </c>
      <c r="L268" s="103" t="str">
        <f t="shared" si="41"/>
        <v/>
      </c>
      <c r="N268" s="103">
        <v>267</v>
      </c>
      <c r="O268" s="103" t="str">
        <f>IF('Customer Base'!$I$15="MANUAL",IF(B268&lt;&gt;"",C268,""),IF('Customer Base'!$I$15="AUTOMATE",IF(A268&lt;&gt;"",C268,""),""))</f>
        <v/>
      </c>
      <c r="AO268" s="103">
        <f>IF('Customer Base'!$I$15="MANUAL",IFERROR(AM268*B268,""),IF('Customer Base'!$I$15="AUTOMATE",IFERROR(AM268*A268,""),""))</f>
        <v>0</v>
      </c>
      <c r="AP268" s="103">
        <v>150</v>
      </c>
      <c r="AQ268" s="103">
        <v>1000</v>
      </c>
      <c r="AR268" s="103">
        <v>2000</v>
      </c>
      <c r="AS268" s="103">
        <v>4000</v>
      </c>
      <c r="AV268" s="103">
        <f t="shared" si="60"/>
        <v>0</v>
      </c>
      <c r="AW268" s="103">
        <f>IF('Customer Base'!$D$8=12,AQ268,IF('Customer Base'!$D$8=24,AR268,IF('Customer Base'!$D$8=48,AS268,"")))</f>
        <v>4000</v>
      </c>
    </row>
    <row r="269" spans="1:49">
      <c r="A269" s="103" t="str">
        <f ca="1">IFERROR(IF(AND('Customer Base'!D$7&lt;&gt;"Backup",'Customer Base'!D$13="Victron",'Customer Base'!D$14&lt;&gt;6),IF(AND('Client List'!EH474=150,'Client List'!EF$474&gt;AW$266,'Client List'!EF$474&lt;=AW$269,OR(SUM('Client List'!EE477:EE485)&gt;0,SUM('Client List'!EE477:EE491)=0)),'Client List'!EC$474,IF(AND('Client List'!IP474=150,'Client List'!IN$474&gt;AW$266,'Client List'!IN$474&lt;=AW$269,SUM('Client List'!IM477:IM485)&gt;0),'Client List'!IK$474,"")),""),"")</f>
        <v/>
      </c>
      <c r="B269" s="270" t="s">
        <v>1</v>
      </c>
      <c r="C269" s="237" t="s">
        <v>868</v>
      </c>
      <c r="D269" s="267">
        <v>418.89</v>
      </c>
      <c r="E269" s="267">
        <v>395.4744</v>
      </c>
      <c r="F269" s="238">
        <f t="shared" si="57"/>
        <v>343.63412633305984</v>
      </c>
      <c r="G269" s="238">
        <f>IFERROR(ROUNDUP(F269*'Customer Base'!$J$5,2),0)</f>
        <v>5498.1500000000005</v>
      </c>
      <c r="H269" s="238">
        <f t="shared" si="58"/>
        <v>324.42526661197701</v>
      </c>
      <c r="I269" s="238">
        <f>IFERROR(ROUNDUP(H269*'Customer Base'!$J$5,2),0)</f>
        <v>5190.8100000000004</v>
      </c>
      <c r="J269" s="103" t="str">
        <f t="shared" si="40"/>
        <v/>
      </c>
      <c r="L269" s="103" t="str">
        <f t="shared" si="41"/>
        <v/>
      </c>
      <c r="N269" s="103">
        <v>268</v>
      </c>
      <c r="O269" s="103" t="str">
        <f ca="1">IF('Customer Base'!$I$15="MANUAL",IF(B269&lt;&gt;"",C269,""),IF('Customer Base'!$I$15="AUTOMATE",IF(A269&lt;&gt;"",C269,""),""))</f>
        <v/>
      </c>
      <c r="AO269" s="103" t="str">
        <f ca="1">IF('Customer Base'!$I$15="MANUAL",IFERROR(AM269*B269,""),IF('Customer Base'!$I$15="AUTOMATE",IFERROR(AM269*A269,""),""))</f>
        <v/>
      </c>
      <c r="AP269" s="103">
        <v>150</v>
      </c>
      <c r="AQ269" s="103">
        <v>1000</v>
      </c>
      <c r="AR269" s="103">
        <v>2000</v>
      </c>
      <c r="AS269" s="103">
        <v>4000</v>
      </c>
      <c r="AV269" s="103">
        <f t="shared" si="60"/>
        <v>0</v>
      </c>
      <c r="AW269" s="103">
        <f>IF('Customer Base'!$D$8=12,AQ269,IF('Customer Base'!$D$8=24,AR269,IF('Customer Base'!$D$8=48,AS269,"")))</f>
        <v>4000</v>
      </c>
    </row>
    <row r="270" spans="1:49">
      <c r="C270" s="237" t="s">
        <v>1036</v>
      </c>
      <c r="D270" s="267">
        <v>418.89</v>
      </c>
      <c r="E270" s="267">
        <v>395.47</v>
      </c>
      <c r="F270" s="238">
        <f t="shared" si="57"/>
        <v>343.63412633305984</v>
      </c>
      <c r="G270" s="238">
        <f>IFERROR(ROUNDUP(F270*'Customer Base'!$J$5,2),0)</f>
        <v>5498.1500000000005</v>
      </c>
      <c r="H270" s="238">
        <f t="shared" si="58"/>
        <v>324.42165709598032</v>
      </c>
      <c r="I270" s="238">
        <f>IFERROR(ROUNDUP(H270*'Customer Base'!$J$5,2),0)</f>
        <v>5190.75</v>
      </c>
      <c r="J270" s="103" t="str">
        <f t="shared" si="40"/>
        <v/>
      </c>
      <c r="L270" s="103" t="str">
        <f t="shared" si="41"/>
        <v/>
      </c>
      <c r="N270" s="103">
        <v>269</v>
      </c>
      <c r="O270" s="103" t="str">
        <f>IF('Customer Base'!$I$15="MANUAL",IF(B270&lt;&gt;"",C270,""),IF('Customer Base'!$I$15="AUTOMATE",IF(A270&lt;&gt;"",C270,""),""))</f>
        <v/>
      </c>
      <c r="AO270" s="103">
        <f>IF('Customer Base'!$I$15="MANUAL",IFERROR(AM270*B270,""),IF('Customer Base'!$I$15="AUTOMATE",IFERROR(AM270*A270,""),""))</f>
        <v>0</v>
      </c>
      <c r="AP270" s="103">
        <v>150</v>
      </c>
      <c r="AQ270" s="103">
        <v>1000</v>
      </c>
      <c r="AR270" s="103">
        <v>2000</v>
      </c>
      <c r="AS270" s="103">
        <v>4000</v>
      </c>
      <c r="AV270" s="103">
        <f t="shared" si="60"/>
        <v>0</v>
      </c>
      <c r="AW270" s="103">
        <f>IF('Customer Base'!$D$8=12,AQ270,IF('Customer Base'!$D$8=24,AR270,IF('Customer Base'!$D$8=48,AS270,"")))</f>
        <v>4000</v>
      </c>
    </row>
    <row r="271" spans="1:49">
      <c r="A271" s="103">
        <f ca="1">IFERROR(IF(AND('Customer Base'!D$7&lt;&gt;"Backup",'Customer Base'!D$13="Victron",'Customer Base'!D$14&lt;&gt;6),IF(AND('Client List'!EH474=150,'Client List'!EF$474&gt;AW$269,'Client List'!EF$474&lt;=AW$271,OR(SUM('Client List'!EE477:EE485)&gt;0,SUM('Client List'!EE477:EE491)=0)),'Client List'!EC$474,IF(AND('Client List'!IP474=150,'Client List'!IN$474&gt;AW$269,'Client List'!IN$474&lt;=AW$271,SUM('Client List'!IM477:IM485)&gt;0),'Client List'!IK$474,"")),""),"")</f>
        <v>4</v>
      </c>
      <c r="B271" s="270">
        <v>8</v>
      </c>
      <c r="C271" s="237" t="s">
        <v>869</v>
      </c>
      <c r="D271" s="267">
        <v>458.72</v>
      </c>
      <c r="E271" s="267">
        <v>432.05399999999997</v>
      </c>
      <c r="F271" s="238">
        <f t="shared" si="57"/>
        <v>376.30844954881047</v>
      </c>
      <c r="G271" s="238">
        <f>IFERROR(ROUNDUP(F271*'Customer Base'!$J$5,2),0)</f>
        <v>6020.9400000000005</v>
      </c>
      <c r="H271" s="238">
        <f t="shared" si="58"/>
        <v>354.43314191960621</v>
      </c>
      <c r="I271" s="238">
        <f>IFERROR(ROUNDUP(H271*'Customer Base'!$J$5,2),0)</f>
        <v>5670.9400000000005</v>
      </c>
      <c r="J271" s="103" t="str">
        <f t="shared" si="40"/>
        <v/>
      </c>
      <c r="L271" s="103" t="str">
        <f t="shared" si="41"/>
        <v/>
      </c>
      <c r="N271" s="103">
        <v>270</v>
      </c>
      <c r="O271" s="103" t="str">
        <f ca="1">IF('Customer Base'!$I$15="MANUAL",IF(B271&lt;&gt;"",C271,""),IF('Customer Base'!$I$15="AUTOMATE",IF(A271&lt;&gt;"",C271,""),""))</f>
        <v>Victron SmartSolar MPPT 150/85-Tr VE.Can</v>
      </c>
      <c r="AO271" s="103">
        <f ca="1">IF('Customer Base'!$I$15="MANUAL",IFERROR(AM271*B271,""),IF('Customer Base'!$I$15="AUTOMATE",IFERROR(AM271*A271,""),""))</f>
        <v>0</v>
      </c>
      <c r="AP271" s="103">
        <v>150</v>
      </c>
      <c r="AQ271" s="103">
        <v>1200</v>
      </c>
      <c r="AR271" s="103">
        <v>2400</v>
      </c>
      <c r="AS271" s="103">
        <v>4900</v>
      </c>
      <c r="AV271" s="103">
        <f t="shared" si="60"/>
        <v>0</v>
      </c>
      <c r="AW271" s="103">
        <f>IF('Customer Base'!$D$8=12,AQ271,IF('Customer Base'!$D$8=24,AR271,IF('Customer Base'!$D$8=48,AS271,"")))</f>
        <v>4900</v>
      </c>
    </row>
    <row r="272" spans="1:49">
      <c r="C272" s="237" t="s">
        <v>1037</v>
      </c>
      <c r="D272" s="267">
        <v>468.67</v>
      </c>
      <c r="E272" s="267">
        <v>441.41759999999999</v>
      </c>
      <c r="F272" s="238">
        <f t="shared" si="57"/>
        <v>384.47087776866283</v>
      </c>
      <c r="G272" s="238">
        <f>IFERROR(ROUNDUP(F272*'Customer Base'!$J$5,2),0)</f>
        <v>6151.54</v>
      </c>
      <c r="H272" s="238">
        <f t="shared" si="58"/>
        <v>362.11452009844129</v>
      </c>
      <c r="I272" s="238">
        <f>IFERROR(ROUNDUP(H272*'Customer Base'!$J$5,2),0)</f>
        <v>5793.84</v>
      </c>
      <c r="J272" s="103" t="str">
        <f t="shared" si="40"/>
        <v/>
      </c>
      <c r="L272" s="103" t="str">
        <f t="shared" si="41"/>
        <v/>
      </c>
      <c r="N272" s="103">
        <v>271</v>
      </c>
      <c r="O272" s="103" t="str">
        <f>IF('Customer Base'!$I$15="MANUAL",IF(B272&lt;&gt;"",C272,""),IF('Customer Base'!$I$15="AUTOMATE",IF(A272&lt;&gt;"",C272,""),""))</f>
        <v/>
      </c>
      <c r="AO272" s="103">
        <f>IF('Customer Base'!$I$15="MANUAL",IFERROR(AM272*B272,""),IF('Customer Base'!$I$15="AUTOMATE",IFERROR(AM272*A272,""),""))</f>
        <v>0</v>
      </c>
      <c r="AP272" s="103">
        <v>150</v>
      </c>
      <c r="AQ272" s="103">
        <v>1200</v>
      </c>
      <c r="AR272" s="103">
        <v>2400</v>
      </c>
      <c r="AS272" s="103">
        <v>4900</v>
      </c>
      <c r="AV272" s="103">
        <f t="shared" si="60"/>
        <v>0</v>
      </c>
      <c r="AW272" s="103">
        <f>IF('Customer Base'!$D$8=12,AQ272,IF('Customer Base'!$D$8=24,AR272,IF('Customer Base'!$D$8=48,AS272,"")))</f>
        <v>4900</v>
      </c>
    </row>
    <row r="273" spans="1:49">
      <c r="A273" s="242" t="str">
        <f ca="1">IFERROR(IF(AND('Customer Base'!D$7&lt;&gt;"Backup",'Customer Base'!D$13="Victron",'Customer Base'!D$14&lt;&gt;6),IF(AND('Client List'!EH474=150,'Client List'!EF$474&gt;AW$271,'Client List'!EF$474&lt;=AW$273,OR(SUM('Client List'!EE477:EE485)&gt;0,SUM('Client List'!EE477:EE491)=0)),'Client List'!EC$474,IF(AND('Client List'!IP474=150,'Client List'!IN$474&gt;AW$271,'Client List'!IN$474&lt;=AW$273,SUM('Client List'!IM477:IM485)&gt;0),'Client List'!IK$474,"")),""),"")</f>
        <v/>
      </c>
      <c r="B273" s="270" t="s">
        <v>1</v>
      </c>
      <c r="C273" s="237" t="s">
        <v>870</v>
      </c>
      <c r="D273" s="267">
        <v>522.85</v>
      </c>
      <c r="E273" s="267">
        <v>492.44760000000002</v>
      </c>
      <c r="F273" s="238">
        <f t="shared" si="57"/>
        <v>428.91714520098441</v>
      </c>
      <c r="G273" s="238">
        <f>IFERROR(ROUNDUP(F273*'Customer Base'!$J$5,2),0)</f>
        <v>6862.68</v>
      </c>
      <c r="H273" s="238">
        <f t="shared" si="58"/>
        <v>403.97670221493024</v>
      </c>
      <c r="I273" s="238">
        <f>IFERROR(ROUNDUP(H273*'Customer Base'!$J$5,2),0)</f>
        <v>6463.63</v>
      </c>
      <c r="J273" s="103" t="str">
        <f t="shared" ref="J273:J337" si="62">IF(D273&lt;&gt;"",IF(D273&lt;E273,"lkdfjk",""),"")</f>
        <v/>
      </c>
      <c r="L273" s="103" t="str">
        <f t="shared" ref="L273:L337" si="63">IF(H273&gt;F273,"lkkajdfkj","")</f>
        <v/>
      </c>
      <c r="N273" s="103">
        <v>272</v>
      </c>
      <c r="O273" s="103" t="str">
        <f ca="1">IF('Customer Base'!$I$15="MANUAL",IF(B273&lt;&gt;"",C273,""),IF('Customer Base'!$I$15="AUTOMATE",IF(A273&lt;&gt;"",C273,""),""))</f>
        <v/>
      </c>
      <c r="AO273" s="103" t="str">
        <f ca="1">IF('Customer Base'!$I$15="MANUAL",IFERROR(AM273*B273,""),IF('Customer Base'!$I$15="AUTOMATE",IFERROR(AM273*A273,""),""))</f>
        <v/>
      </c>
      <c r="AP273" s="103">
        <v>150</v>
      </c>
      <c r="AQ273" s="103">
        <v>1450</v>
      </c>
      <c r="AR273" s="103">
        <v>2900</v>
      </c>
      <c r="AS273" s="103">
        <v>5800</v>
      </c>
      <c r="AV273" s="103">
        <f t="shared" si="60"/>
        <v>0</v>
      </c>
      <c r="AW273" s="103">
        <f>IF('Customer Base'!$D$8=12,AQ273,IF('Customer Base'!$D$8=24,AR273,IF('Customer Base'!$D$8=48,AS273,"")))</f>
        <v>5800</v>
      </c>
    </row>
    <row r="274" spans="1:49">
      <c r="C274" s="237" t="s">
        <v>1038</v>
      </c>
      <c r="D274" s="267">
        <v>532.77</v>
      </c>
      <c r="E274" s="267">
        <v>501.79500000000002</v>
      </c>
      <c r="F274" s="238">
        <f t="shared" si="57"/>
        <v>437.05496308449545</v>
      </c>
      <c r="G274" s="238">
        <f>IFERROR(ROUNDUP(F274*'Customer Base'!$J$5,2),0)</f>
        <v>6992.88</v>
      </c>
      <c r="H274" s="238">
        <f t="shared" si="58"/>
        <v>411.64479081214108</v>
      </c>
      <c r="I274" s="238">
        <f>IFERROR(ROUNDUP(H274*'Customer Base'!$J$5,2),0)</f>
        <v>6586.3200000000006</v>
      </c>
      <c r="J274" s="103" t="str">
        <f t="shared" si="62"/>
        <v/>
      </c>
      <c r="L274" s="103" t="str">
        <f t="shared" si="63"/>
        <v/>
      </c>
      <c r="N274" s="103">
        <v>273</v>
      </c>
      <c r="O274" s="103" t="str">
        <f>IF('Customer Base'!$I$15="MANUAL",IF(B274&lt;&gt;"",C274,""),IF('Customer Base'!$I$15="AUTOMATE",IF(A274&lt;&gt;"",C274,""),""))</f>
        <v/>
      </c>
      <c r="AO274" s="103">
        <f>IF('Customer Base'!$I$15="MANUAL",IFERROR(AM274*B274,""),IF('Customer Base'!$I$15="AUTOMATE",IFERROR(AM274*A274,""),""))</f>
        <v>0</v>
      </c>
      <c r="AP274" s="103">
        <v>150</v>
      </c>
      <c r="AQ274" s="103">
        <v>1450</v>
      </c>
      <c r="AR274" s="103">
        <v>2900</v>
      </c>
      <c r="AS274" s="103">
        <v>5800</v>
      </c>
      <c r="AV274" s="103">
        <f t="shared" si="60"/>
        <v>0</v>
      </c>
      <c r="AW274" s="103">
        <f>IF('Customer Base'!$D$8=12,AQ274,IF('Customer Base'!$D$8=24,AR274,IF('Customer Base'!$D$8=48,AS274,"")))</f>
        <v>5800</v>
      </c>
    </row>
    <row r="275" spans="1:49">
      <c r="A275" s="103" t="str">
        <f ca="1">IFERROR(IF(AND('Customer Base'!D$7&lt;&gt;"Backup",'Customer Base'!D$13="Victron",'Customer Base'!D$14&lt;&gt;6),IF(AND('Client List'!EH474=250,'Client List'!EF$474&gt;0,'Client List'!EF$474&lt;=AW$275,OR(SUM('Client List'!EE489:EE491)&gt;0,SUM('Client List'!EE477:EE491)=0)),'Client List'!EC$474,IF(AND('Client List'!IP474=250,'Client List'!IN$474&gt;0,'Client List'!IN$474&lt;=AW$275,SUM('Client List'!IM489:IM491)&gt;0),'Client List'!IK$474,"")),""),"")</f>
        <v/>
      </c>
      <c r="B275" s="270" t="s">
        <v>1</v>
      </c>
      <c r="C275" s="237" t="s">
        <v>871</v>
      </c>
      <c r="D275" s="267">
        <v>419.89</v>
      </c>
      <c r="E275" s="267">
        <v>395.4744</v>
      </c>
      <c r="F275" s="238">
        <f t="shared" si="57"/>
        <v>344.45447087776864</v>
      </c>
      <c r="G275" s="238">
        <f>IFERROR(ROUNDUP(F275*'Customer Base'!$J$5,2),0)</f>
        <v>5511.2800000000007</v>
      </c>
      <c r="H275" s="238">
        <f t="shared" si="58"/>
        <v>324.42526661197701</v>
      </c>
      <c r="I275" s="238">
        <f>IFERROR(ROUNDUP(H275*'Customer Base'!$J$5,2),0)</f>
        <v>5190.8100000000004</v>
      </c>
      <c r="J275" s="103" t="str">
        <f t="shared" si="62"/>
        <v/>
      </c>
      <c r="L275" s="103" t="str">
        <f t="shared" si="63"/>
        <v/>
      </c>
      <c r="N275" s="103">
        <v>274</v>
      </c>
      <c r="O275" s="103" t="str">
        <f ca="1">IF('Customer Base'!$I$15="MANUAL",IF(B275&lt;&gt;"",C275,""),IF('Customer Base'!$I$15="AUTOMATE",IF(A275&lt;&gt;"",C275,""),""))</f>
        <v/>
      </c>
      <c r="AO275" s="103" t="str">
        <f ca="1">IF('Customer Base'!$I$15="MANUAL",IFERROR(AM275*B275,""),IF('Customer Base'!$I$15="AUTOMATE",IFERROR(AM275*A275,""),""))</f>
        <v/>
      </c>
      <c r="AP275" s="103">
        <v>250</v>
      </c>
      <c r="AQ275" s="103">
        <v>860</v>
      </c>
      <c r="AR275" s="103">
        <v>1720</v>
      </c>
      <c r="AS275" s="103">
        <v>3440</v>
      </c>
      <c r="AV275" s="103">
        <f t="shared" si="60"/>
        <v>0</v>
      </c>
      <c r="AW275" s="103">
        <f>IF('Customer Base'!$D$8=12,AQ275,IF('Customer Base'!$D$8=24,AR275,IF('Customer Base'!$D$8=48,AS275,"")))</f>
        <v>3440</v>
      </c>
    </row>
    <row r="276" spans="1:49">
      <c r="C276" s="237" t="s">
        <v>2741</v>
      </c>
      <c r="D276" s="267">
        <v>419.89</v>
      </c>
      <c r="E276" s="267">
        <v>395.47399999999999</v>
      </c>
      <c r="F276" s="238">
        <f t="shared" si="57"/>
        <v>344.45447087776864</v>
      </c>
      <c r="G276" s="238">
        <f>IFERROR(ROUNDUP(F276*'Customer Base'!$J$5,2),0)</f>
        <v>5511.2800000000007</v>
      </c>
      <c r="H276" s="238">
        <f t="shared" si="58"/>
        <v>324.42493847415909</v>
      </c>
      <c r="I276" s="238">
        <f>IFERROR(ROUNDUP(H276*'Customer Base'!$J$5,2),0)</f>
        <v>5190.8</v>
      </c>
      <c r="J276" s="103" t="str">
        <f t="shared" si="62"/>
        <v/>
      </c>
      <c r="L276" s="103" t="str">
        <f t="shared" si="63"/>
        <v/>
      </c>
      <c r="N276" s="103">
        <v>275</v>
      </c>
      <c r="O276" s="103" t="str">
        <f>IF('Customer Base'!$I$15="MANUAL",IF(B276&lt;&gt;"",C276,""),IF('Customer Base'!$I$15="AUTOMATE",IF(A276&lt;&gt;"",C276,""),""))</f>
        <v/>
      </c>
      <c r="AO276" s="103">
        <f>IF('Customer Base'!$I$15="MANUAL",IFERROR(AM276*B276,""),IF('Customer Base'!$I$15="AUTOMATE",IFERROR(AM276*A276,""),""))</f>
        <v>0</v>
      </c>
      <c r="AP276" s="103">
        <v>250</v>
      </c>
      <c r="AQ276" s="103">
        <v>860</v>
      </c>
      <c r="AR276" s="103">
        <v>1720</v>
      </c>
      <c r="AS276" s="103">
        <v>3440</v>
      </c>
      <c r="AV276" s="103">
        <f t="shared" si="60"/>
        <v>0</v>
      </c>
      <c r="AW276" s="103">
        <f>IF('Customer Base'!$D$8=12,AQ276,IF('Customer Base'!$D$8=24,AR276,IF('Customer Base'!$D$8=48,AS276,"")))</f>
        <v>3440</v>
      </c>
    </row>
    <row r="277" spans="1:49">
      <c r="C277" s="237" t="s">
        <v>872</v>
      </c>
      <c r="D277" s="267">
        <v>484</v>
      </c>
      <c r="E277" s="267">
        <v>455.86799999999999</v>
      </c>
      <c r="F277" s="238">
        <f t="shared" si="57"/>
        <v>397.04675963904839</v>
      </c>
      <c r="G277" s="238">
        <f>IFERROR(ROUNDUP(F277*'Customer Base'!$J$5,2),0)</f>
        <v>6352.75</v>
      </c>
      <c r="H277" s="238">
        <f t="shared" si="58"/>
        <v>373.96882690730104</v>
      </c>
      <c r="I277" s="238">
        <f>IFERROR(ROUNDUP(H277*'Customer Base'!$J$5,2),0)</f>
        <v>5983.51</v>
      </c>
      <c r="J277" s="103" t="str">
        <f t="shared" si="62"/>
        <v/>
      </c>
      <c r="L277" s="103" t="str">
        <f t="shared" si="63"/>
        <v/>
      </c>
      <c r="N277" s="103">
        <v>276</v>
      </c>
      <c r="O277" s="103" t="str">
        <f>IF('Customer Base'!$I$15="MANUAL",IF(B277&lt;&gt;"",C277,""),IF('Customer Base'!$I$15="AUTOMATE",IF(A277&lt;&gt;"",C277,""),""))</f>
        <v/>
      </c>
      <c r="AO277" s="103">
        <f>IF('Customer Base'!$I$15="MANUAL",IFERROR(AM277*B277,""),IF('Customer Base'!$I$15="AUTOMATE",IFERROR(AM277*A277,""),""))</f>
        <v>0</v>
      </c>
      <c r="AP277" s="103">
        <v>250</v>
      </c>
      <c r="AQ277" s="103">
        <v>1000</v>
      </c>
      <c r="AR277" s="103">
        <v>2000</v>
      </c>
      <c r="AS277" s="103">
        <v>4000</v>
      </c>
      <c r="AV277" s="103">
        <f t="shared" si="60"/>
        <v>0</v>
      </c>
      <c r="AW277" s="103">
        <f>IF('Customer Base'!$D$8=12,AQ277,IF('Customer Base'!$D$8=24,AR277,IF('Customer Base'!$D$8=48,AS277,"")))</f>
        <v>4000</v>
      </c>
    </row>
    <row r="278" spans="1:49">
      <c r="A278" s="103" t="str">
        <f ca="1">IFERROR(IF(AND('Customer Base'!D$7&lt;&gt;"Backup",'Customer Base'!D$13="Victron",'Customer Base'!D$14&lt;&gt;6),IF(AND('Client List'!EH474=250,'Client List'!EF$474&gt;AW$275,'Client List'!EF$474&lt;=AW$278,OR(SUM('Client List'!EE489:EE491)&gt;0,SUM('Client List'!EE477:EE491)=0)),'Client List'!EC$474,IF(AND('Client List'!IP474=250,'Client List'!IN$474&gt;AW$275,'Client List'!IN$474&lt;=AW$278,SUM('Client List'!IM489:IM491)&gt;0),'Client List'!IK$474,"")),""),"")</f>
        <v/>
      </c>
      <c r="B278" s="270" t="s">
        <v>1</v>
      </c>
      <c r="C278" s="237" t="s">
        <v>873</v>
      </c>
      <c r="D278" s="267">
        <v>516.52</v>
      </c>
      <c r="E278" s="267">
        <v>486.48599999999999</v>
      </c>
      <c r="F278" s="238">
        <f t="shared" si="57"/>
        <v>423.72436423297779</v>
      </c>
      <c r="G278" s="238">
        <f>IFERROR(ROUNDUP(F278*'Customer Base'!$J$5,2),0)</f>
        <v>6779.59</v>
      </c>
      <c r="H278" s="238">
        <f t="shared" si="58"/>
        <v>399.08613617719436</v>
      </c>
      <c r="I278" s="238">
        <f>IFERROR(ROUNDUP(H278*'Customer Base'!$J$5,2),0)</f>
        <v>6385.38</v>
      </c>
      <c r="J278" s="103" t="str">
        <f t="shared" si="62"/>
        <v/>
      </c>
      <c r="L278" s="103" t="str">
        <f t="shared" si="63"/>
        <v/>
      </c>
      <c r="N278" s="103">
        <v>277</v>
      </c>
      <c r="O278" s="103" t="str">
        <f ca="1">IF('Customer Base'!$I$15="MANUAL",IF(B278&lt;&gt;"",C278,""),IF('Customer Base'!$I$15="AUTOMATE",IF(A278&lt;&gt;"",C278,""),""))</f>
        <v/>
      </c>
      <c r="AO278" s="103" t="str">
        <f ca="1">IF('Customer Base'!$I$15="MANUAL",IFERROR(AM278*B278,""),IF('Customer Base'!$I$15="AUTOMATE",IFERROR(AM278*A278,""),""))</f>
        <v/>
      </c>
      <c r="AP278" s="103">
        <v>250</v>
      </c>
      <c r="AQ278" s="103">
        <v>1000</v>
      </c>
      <c r="AR278" s="103">
        <v>2000</v>
      </c>
      <c r="AS278" s="103">
        <v>4000</v>
      </c>
      <c r="AV278" s="103">
        <f t="shared" si="60"/>
        <v>0</v>
      </c>
      <c r="AW278" s="103">
        <f>IF('Customer Base'!$D$8=12,AQ278,IF('Customer Base'!$D$8=24,AR278,IF('Customer Base'!$D$8=48,AS278,"")))</f>
        <v>4000</v>
      </c>
    </row>
    <row r="279" spans="1:49">
      <c r="C279" s="237" t="s">
        <v>1039</v>
      </c>
      <c r="D279" s="267">
        <v>516.52</v>
      </c>
      <c r="E279" s="267">
        <v>486.49</v>
      </c>
      <c r="F279" s="238">
        <f t="shared" si="57"/>
        <v>423.72436423297779</v>
      </c>
      <c r="G279" s="238">
        <f>IFERROR(ROUNDUP(F279*'Customer Base'!$J$5,2),0)</f>
        <v>6779.59</v>
      </c>
      <c r="H279" s="238">
        <f t="shared" si="58"/>
        <v>399.08941755537325</v>
      </c>
      <c r="I279" s="238">
        <f>IFERROR(ROUNDUP(H279*'Customer Base'!$J$5,2),0)</f>
        <v>6385.4400000000005</v>
      </c>
      <c r="J279" s="103" t="str">
        <f t="shared" si="62"/>
        <v/>
      </c>
      <c r="L279" s="103" t="str">
        <f t="shared" si="63"/>
        <v/>
      </c>
      <c r="N279" s="103">
        <v>278</v>
      </c>
      <c r="O279" s="103" t="str">
        <f>IF('Customer Base'!$I$15="MANUAL",IF(B279&lt;&gt;"",C279,""),IF('Customer Base'!$I$15="AUTOMATE",IF(A279&lt;&gt;"",C279,""),""))</f>
        <v/>
      </c>
      <c r="AO279" s="103">
        <f>IF('Customer Base'!$I$15="MANUAL",IFERROR(AM279*B279,""),IF('Customer Base'!$I$15="AUTOMATE",IFERROR(AM279*A279,""),""))</f>
        <v>0</v>
      </c>
      <c r="AP279" s="103">
        <v>250</v>
      </c>
      <c r="AQ279" s="103">
        <v>1000</v>
      </c>
      <c r="AR279" s="103">
        <v>2000</v>
      </c>
      <c r="AS279" s="103">
        <v>4000</v>
      </c>
      <c r="AV279" s="103">
        <f t="shared" si="60"/>
        <v>0</v>
      </c>
      <c r="AW279" s="103">
        <f>IF('Customer Base'!$D$8=12,AQ279,IF('Customer Base'!$D$8=24,AR279,IF('Customer Base'!$D$8=48,AS279,"")))</f>
        <v>4000</v>
      </c>
    </row>
    <row r="280" spans="1:49">
      <c r="A280" s="103" t="str">
        <f ca="1">IFERROR(IF(AND('Customer Base'!D$7&lt;&gt;"Backup",'Customer Base'!D$13="Victron",'Customer Base'!D$14&lt;&gt;6),IF(AND('Client List'!EH474=250,'Client List'!EF$474&gt;AW$278,'Client List'!EF$474&lt;=AW$280,OR(SUM('Client List'!EE489:EE491)&gt;0,SUM('Client List'!EE477:EE491)=0)),'Client List'!EC$474,IF(AND('Client List'!IP474=250,'Client List'!IN$474&gt;AW$278,'Client List'!IN$474&lt;=AW$280,SUM('Client List'!IM489:IM491)&gt;0),'Client List'!IK$474,"")),""),"")</f>
        <v/>
      </c>
      <c r="B280" s="270" t="s">
        <v>1</v>
      </c>
      <c r="C280" s="237" t="s">
        <v>874</v>
      </c>
      <c r="D280" s="267">
        <v>555.35</v>
      </c>
      <c r="E280" s="267">
        <v>523.06560000000002</v>
      </c>
      <c r="F280" s="238">
        <f t="shared" si="57"/>
        <v>455.57834290401968</v>
      </c>
      <c r="G280" s="238">
        <f>IFERROR(ROUNDUP(F280*'Customer Base'!$J$5,2),0)</f>
        <v>7289.26</v>
      </c>
      <c r="H280" s="238">
        <f t="shared" si="58"/>
        <v>429.09401148482362</v>
      </c>
      <c r="I280" s="238">
        <f>IFERROR(ROUNDUP(H280*'Customer Base'!$J$5,2),0)</f>
        <v>6865.51</v>
      </c>
      <c r="J280" s="103" t="str">
        <f t="shared" si="62"/>
        <v/>
      </c>
      <c r="L280" s="103" t="str">
        <f t="shared" si="63"/>
        <v/>
      </c>
      <c r="N280" s="103">
        <v>279</v>
      </c>
      <c r="O280" s="103" t="str">
        <f ca="1">IF('Customer Base'!$I$15="MANUAL",IF(B280&lt;&gt;"",C280,""),IF('Customer Base'!$I$15="AUTOMATE",IF(A280&lt;&gt;"",C280,""),""))</f>
        <v/>
      </c>
      <c r="AO280" s="103" t="str">
        <f ca="1">IF('Customer Base'!$I$15="MANUAL",IFERROR(AM280*B280,""),IF('Customer Base'!$I$15="AUTOMATE",IFERROR(AM280*A280,""),""))</f>
        <v/>
      </c>
      <c r="AP280" s="103">
        <v>250</v>
      </c>
      <c r="AQ280" s="103">
        <v>1200</v>
      </c>
      <c r="AR280" s="103">
        <v>2400</v>
      </c>
      <c r="AS280" s="103">
        <v>4900</v>
      </c>
      <c r="AV280" s="103">
        <f t="shared" si="60"/>
        <v>0</v>
      </c>
      <c r="AW280" s="103">
        <f>IF('Customer Base'!$D$8=12,AQ280,IF('Customer Base'!$D$8=24,AR280,IF('Customer Base'!$D$8=48,AS280,"")))</f>
        <v>4900</v>
      </c>
    </row>
    <row r="281" spans="1:49">
      <c r="C281" s="237" t="s">
        <v>875</v>
      </c>
      <c r="D281" s="267">
        <v>565.28</v>
      </c>
      <c r="E281" s="267">
        <v>532.41300000000001</v>
      </c>
      <c r="F281" s="238">
        <f t="shared" si="57"/>
        <v>463.72436423297779</v>
      </c>
      <c r="G281" s="238">
        <f>IFERROR(ROUNDUP(F281*'Customer Base'!$J$5,2),0)</f>
        <v>7419.59</v>
      </c>
      <c r="H281" s="238">
        <f t="shared" si="58"/>
        <v>436.76210008203441</v>
      </c>
      <c r="I281" s="238">
        <f>IFERROR(ROUNDUP(H281*'Customer Base'!$J$5,2),0)</f>
        <v>6988.2</v>
      </c>
      <c r="J281" s="103" t="str">
        <f t="shared" si="62"/>
        <v/>
      </c>
      <c r="L281" s="103" t="str">
        <f t="shared" si="63"/>
        <v/>
      </c>
      <c r="N281" s="103">
        <v>280</v>
      </c>
      <c r="O281" s="103" t="str">
        <f>IF('Customer Base'!$I$15="MANUAL",IF(B281&lt;&gt;"",C281,""),IF('Customer Base'!$I$15="AUTOMATE",IF(A281&lt;&gt;"",C281,""),""))</f>
        <v/>
      </c>
      <c r="AO281" s="103">
        <f>IF('Customer Base'!$I$15="MANUAL",IFERROR(AM281*B281,""),IF('Customer Base'!$I$15="AUTOMATE",IFERROR(AM281*A281,""),""))</f>
        <v>0</v>
      </c>
      <c r="AP281" s="103">
        <v>250</v>
      </c>
      <c r="AQ281" s="103">
        <v>1200</v>
      </c>
      <c r="AR281" s="103">
        <v>2400</v>
      </c>
      <c r="AS281" s="103">
        <v>4900</v>
      </c>
      <c r="AV281" s="103">
        <f t="shared" si="60"/>
        <v>0</v>
      </c>
      <c r="AW281" s="103">
        <f>IF('Customer Base'!$D$8=12,AQ281,IF('Customer Base'!$D$8=24,AR281,IF('Customer Base'!$D$8=48,AS281,"")))</f>
        <v>4900</v>
      </c>
    </row>
    <row r="282" spans="1:49">
      <c r="A282" s="242" t="str">
        <f ca="1">IFERROR(IF(AND('Customer Base'!D$7&lt;&gt;"Backup",'Customer Base'!D$13="Victron",'Customer Base'!D$14&lt;&gt;6),IF(AND('Client List'!EH474=250,'Client List'!EF$474&gt;AW$280,'Client List'!EF$474&lt;=AW$282,OR(SUM('Client List'!EE489:EE491)&gt;0,SUM('Client List'!EE477:EE491)=0)),'Client List'!EC$474,IF(AND('Client List'!IP474=250,'Client List'!IN$474&gt;AW$280,'Client List'!IN$474&lt;=AW$282,SUM('Client List'!IM489:IM491)&gt;0),'Client List'!IK$474,"")),""),"")</f>
        <v/>
      </c>
      <c r="B282" s="270" t="s">
        <v>1</v>
      </c>
      <c r="C282" s="237" t="s">
        <v>876</v>
      </c>
      <c r="D282" s="267">
        <v>619.46</v>
      </c>
      <c r="E282" s="267">
        <v>583.44299999999998</v>
      </c>
      <c r="F282" s="238">
        <f t="shared" si="57"/>
        <v>508.17063166529942</v>
      </c>
      <c r="G282" s="238">
        <f>IFERROR(ROUNDUP(F282*'Customer Base'!$J$5,2),0)</f>
        <v>8130.74</v>
      </c>
      <c r="H282" s="238">
        <f t="shared" si="58"/>
        <v>478.62428219852336</v>
      </c>
      <c r="I282" s="238">
        <f>IFERROR(ROUNDUP(H282*'Customer Base'!$J$5,2),0)</f>
        <v>7657.99</v>
      </c>
      <c r="J282" s="103" t="str">
        <f t="shared" si="62"/>
        <v/>
      </c>
      <c r="L282" s="103" t="str">
        <f t="shared" si="63"/>
        <v/>
      </c>
      <c r="N282" s="103">
        <v>281</v>
      </c>
      <c r="O282" s="103" t="str">
        <f ca="1">IF('Customer Base'!$I$15="MANUAL",IF(B282&lt;&gt;"",C282,""),IF('Customer Base'!$I$15="AUTOMATE",IF(A282&lt;&gt;"",C282,""),""))</f>
        <v/>
      </c>
      <c r="AO282" s="103" t="str">
        <f ca="1">IF('Customer Base'!$I$15="MANUAL",IFERROR(AM282*B282,""),IF('Customer Base'!$I$15="AUTOMATE",IFERROR(AM282*A282,""),""))</f>
        <v/>
      </c>
      <c r="AP282" s="103">
        <v>250</v>
      </c>
      <c r="AQ282" s="103">
        <v>1450</v>
      </c>
      <c r="AR282" s="103">
        <v>2900</v>
      </c>
      <c r="AS282" s="103">
        <v>5800</v>
      </c>
      <c r="AV282" s="103">
        <f t="shared" si="60"/>
        <v>0</v>
      </c>
      <c r="AW282" s="103">
        <f>IF('Customer Base'!$D$8=12,AQ282,IF('Customer Base'!$D$8=24,AR282,IF('Customer Base'!$D$8=48,AS282,"")))</f>
        <v>5800</v>
      </c>
    </row>
    <row r="283" spans="1:49">
      <c r="C283" s="237" t="s">
        <v>877</v>
      </c>
      <c r="D283" s="267">
        <v>629.38</v>
      </c>
      <c r="E283" s="267">
        <v>592.79039999999998</v>
      </c>
      <c r="F283" s="238">
        <f t="shared" si="57"/>
        <v>516.30844954881047</v>
      </c>
      <c r="G283" s="238">
        <f>IFERROR(ROUNDUP(F283*'Customer Base'!$J$5,2),0)</f>
        <v>8260.94</v>
      </c>
      <c r="H283" s="238">
        <f t="shared" si="58"/>
        <v>486.29237079573414</v>
      </c>
      <c r="I283" s="238">
        <f>IFERROR(ROUNDUP(H283*'Customer Base'!$J$5,2),0)</f>
        <v>7780.68</v>
      </c>
      <c r="J283" s="103" t="str">
        <f t="shared" si="62"/>
        <v/>
      </c>
      <c r="L283" s="103" t="str">
        <f t="shared" si="63"/>
        <v/>
      </c>
      <c r="N283" s="103">
        <v>282</v>
      </c>
      <c r="O283" s="103" t="str">
        <f>IF('Customer Base'!$I$15="MANUAL",IF(B283&lt;&gt;"",C283,""),IF('Customer Base'!$I$15="AUTOMATE",IF(A283&lt;&gt;"",C283,""),""))</f>
        <v/>
      </c>
      <c r="AO283" s="103">
        <f>IF('Customer Base'!$I$15="MANUAL",IFERROR(AM283*B283,""),IF('Customer Base'!$I$15="AUTOMATE",IFERROR(AM283*A283,""),""))</f>
        <v>0</v>
      </c>
      <c r="AP283" s="103">
        <v>250</v>
      </c>
      <c r="AQ283" s="103">
        <v>1450</v>
      </c>
      <c r="AR283" s="103">
        <v>2900</v>
      </c>
      <c r="AS283" s="103">
        <v>5800</v>
      </c>
      <c r="AV283" s="103">
        <f t="shared" si="60"/>
        <v>0</v>
      </c>
      <c r="AW283" s="103">
        <f>IF('Customer Base'!$D$8=12,AQ283,IF('Customer Base'!$D$8=24,AR283,IF('Customer Base'!$D$8=48,AS283,"")))</f>
        <v>5800</v>
      </c>
    </row>
    <row r="284" spans="1:49">
      <c r="C284" s="237" t="s">
        <v>1033</v>
      </c>
      <c r="D284" s="267">
        <v>1120.6099999999999</v>
      </c>
      <c r="E284" s="267">
        <v>1055.462</v>
      </c>
      <c r="F284" s="238">
        <f t="shared" si="57"/>
        <v>919.28630024610322</v>
      </c>
      <c r="G284" s="238">
        <f>IFERROR(ROUNDUP(F284*'Customer Base'!$J$5,2),0)</f>
        <v>14708.59</v>
      </c>
      <c r="H284" s="238">
        <f t="shared" si="58"/>
        <v>865.84249384741588</v>
      </c>
      <c r="I284" s="238">
        <f>IFERROR(ROUNDUP(H284*'Customer Base'!$J$5,2),0)</f>
        <v>13853.48</v>
      </c>
      <c r="J284" s="103" t="str">
        <f t="shared" si="62"/>
        <v/>
      </c>
      <c r="L284" s="103" t="str">
        <f t="shared" si="63"/>
        <v/>
      </c>
      <c r="N284" s="103">
        <v>283</v>
      </c>
      <c r="O284" s="103" t="str">
        <f>IF('Customer Base'!$I$15="MANUAL",IF(B284&lt;&gt;"",C284,""),IF('Customer Base'!$I$15="AUTOMATE",IF(A284&lt;&gt;"",C284,""),""))</f>
        <v/>
      </c>
      <c r="AO284" s="103">
        <f>IF('Customer Base'!$I$15="MANUAL",IFERROR(AM284*B284,""),IF('Customer Base'!$I$15="AUTOMATE",IFERROR(AM284*A284,""),""))</f>
        <v>0</v>
      </c>
      <c r="AP284" s="103">
        <v>450</v>
      </c>
      <c r="AS284" s="103">
        <v>5760</v>
      </c>
      <c r="AV284" s="103">
        <f t="shared" si="60"/>
        <v>0</v>
      </c>
      <c r="AW284" s="103">
        <f>IF('Customer Base'!$D$8=12,AQ284,IF('Customer Base'!$D$8=24,AR284,IF('Customer Base'!$D$8=48,AS284,"")))</f>
        <v>5760</v>
      </c>
    </row>
    <row r="285" spans="1:49">
      <c r="C285" s="237" t="s">
        <v>1034</v>
      </c>
      <c r="D285" s="267">
        <v>1962.21</v>
      </c>
      <c r="E285" s="267">
        <v>1848.1279999999999</v>
      </c>
      <c r="F285" s="238">
        <f t="shared" si="57"/>
        <v>1609.6882690730106</v>
      </c>
      <c r="G285" s="238">
        <f>IFERROR(ROUNDUP(F285*'Customer Base'!$J$5,2),0)</f>
        <v>25755.019999999997</v>
      </c>
      <c r="H285" s="238">
        <f t="shared" si="58"/>
        <v>1516.1017227235436</v>
      </c>
      <c r="I285" s="238">
        <f>IFERROR(ROUNDUP(H285*'Customer Base'!$J$5,2),0)</f>
        <v>24257.629999999997</v>
      </c>
      <c r="J285" s="103" t="str">
        <f t="shared" si="62"/>
        <v/>
      </c>
      <c r="L285" s="103" t="str">
        <f t="shared" si="63"/>
        <v/>
      </c>
      <c r="N285" s="103">
        <v>284</v>
      </c>
      <c r="O285" s="103" t="str">
        <f>IF('Customer Base'!$I$15="MANUAL",IF(B285&lt;&gt;"",C285,""),IF('Customer Base'!$I$15="AUTOMATE",IF(A285&lt;&gt;"",C285,""),""))</f>
        <v/>
      </c>
      <c r="AO285" s="103">
        <f>IF('Customer Base'!$I$15="MANUAL",IFERROR(AM285*B285,""),IF('Customer Base'!$I$15="AUTOMATE",IFERROR(AM285*A285,""),""))</f>
        <v>0</v>
      </c>
      <c r="AP285" s="103">
        <v>450</v>
      </c>
      <c r="AS285" s="103">
        <v>11520</v>
      </c>
      <c r="AV285" s="103">
        <f t="shared" si="60"/>
        <v>0</v>
      </c>
      <c r="AW285" s="103">
        <f>IF('Customer Base'!$D$8=12,AQ285,IF('Customer Base'!$D$8=24,AR285,IF('Customer Base'!$D$8=48,AS285,"")))</f>
        <v>11520</v>
      </c>
    </row>
    <row r="286" spans="1:49">
      <c r="D286" s="319"/>
      <c r="E286" s="319"/>
      <c r="F286" s="224">
        <f t="shared" si="57"/>
        <v>0</v>
      </c>
      <c r="H286" s="224">
        <f t="shared" si="58"/>
        <v>0</v>
      </c>
      <c r="I286" s="224"/>
      <c r="J286" s="103" t="str">
        <f t="shared" si="62"/>
        <v/>
      </c>
      <c r="L286" s="103" t="str">
        <f t="shared" si="63"/>
        <v/>
      </c>
      <c r="N286" s="103">
        <v>285</v>
      </c>
      <c r="O286" s="103" t="str">
        <f>IF('Customer Base'!$I$15="MANUAL",IF(B286&lt;&gt;"",C286,""),IF('Customer Base'!$I$15="AUTOMATE",IF(A286&lt;&gt;"",C286,""),""))</f>
        <v/>
      </c>
      <c r="AO286" s="103">
        <f>IF('Customer Base'!$I$15="MANUAL",IFERROR(AM286*B286,""),IF('Customer Base'!$I$15="AUTOMATE",IFERROR(AM286*A286,""),""))</f>
        <v>0</v>
      </c>
      <c r="AV286" s="103">
        <f t="shared" si="60"/>
        <v>0</v>
      </c>
    </row>
    <row r="287" spans="1:49">
      <c r="C287" s="251" t="s">
        <v>878</v>
      </c>
      <c r="D287" s="328">
        <v>32.51</v>
      </c>
      <c r="E287" s="328">
        <v>30.617999999999999</v>
      </c>
      <c r="F287" s="245">
        <f t="shared" si="57"/>
        <v>26.669401148482358</v>
      </c>
      <c r="G287" s="245">
        <f>IFERROR(ROUNDUP(F287*'Customer Base'!$J$5,2),0)</f>
        <v>426.71999999999997</v>
      </c>
      <c r="H287" s="245">
        <f t="shared" si="58"/>
        <v>25.117309269893351</v>
      </c>
      <c r="I287" s="245">
        <f>IFERROR(ROUNDUP(H287*'Customer Base'!$J$5,2),0)</f>
        <v>401.88</v>
      </c>
      <c r="J287" s="103" t="str">
        <f t="shared" si="62"/>
        <v/>
      </c>
      <c r="L287" s="103" t="str">
        <f t="shared" si="63"/>
        <v/>
      </c>
      <c r="N287" s="103">
        <v>286</v>
      </c>
      <c r="O287" s="103" t="str">
        <f>IF('Customer Base'!$I$15="MANUAL",IF(B287&lt;&gt;"",C287,""),IF('Customer Base'!$I$15="AUTOMATE",IF(A287&lt;&gt;"",C287,""),""))</f>
        <v/>
      </c>
      <c r="AO287" s="103">
        <f>IF('Customer Base'!$I$15="MANUAL",IFERROR(AM287*B287,""),IF('Customer Base'!$I$15="AUTOMATE",IFERROR(AM287*A287,""),""))</f>
        <v>0</v>
      </c>
      <c r="AV287" s="103">
        <f t="shared" si="60"/>
        <v>0</v>
      </c>
    </row>
    <row r="288" spans="1:49">
      <c r="C288" s="251" t="s">
        <v>1040</v>
      </c>
      <c r="D288" s="328">
        <v>23.48</v>
      </c>
      <c r="E288" s="328">
        <v>22.113</v>
      </c>
      <c r="F288" s="245">
        <f t="shared" si="57"/>
        <v>19.261689909762101</v>
      </c>
      <c r="G288" s="245">
        <f>IFERROR(ROUNDUP(F288*'Customer Base'!$J$5,2),0)</f>
        <v>308.19</v>
      </c>
      <c r="H288" s="245">
        <f t="shared" si="58"/>
        <v>18.140278917145199</v>
      </c>
      <c r="I288" s="245">
        <f>IFERROR(ROUNDUP(H288*'Customer Base'!$J$5,2),0)</f>
        <v>290.25</v>
      </c>
      <c r="J288" s="103" t="str">
        <f t="shared" si="62"/>
        <v/>
      </c>
      <c r="L288" s="103" t="str">
        <f t="shared" si="63"/>
        <v/>
      </c>
      <c r="N288" s="103">
        <v>287</v>
      </c>
      <c r="O288" s="103" t="str">
        <f>IF('Customer Base'!$I$15="MANUAL",IF(B288&lt;&gt;"",C288,""),IF('Customer Base'!$I$15="AUTOMATE",IF(A288&lt;&gt;"",C288,""),""))</f>
        <v/>
      </c>
      <c r="AO288" s="103">
        <f>IF('Customer Base'!$I$15="MANUAL",IFERROR(AM288*B288,""),IF('Customer Base'!$I$15="AUTOMATE",IFERROR(AM288*A288,""),""))</f>
        <v>0</v>
      </c>
      <c r="AV288" s="103">
        <f t="shared" si="60"/>
        <v>0</v>
      </c>
    </row>
    <row r="289" spans="1:48">
      <c r="C289" s="251" t="s">
        <v>1041</v>
      </c>
      <c r="D289" s="328">
        <v>23.48</v>
      </c>
      <c r="E289" s="328">
        <v>22.113</v>
      </c>
      <c r="F289" s="245">
        <f t="shared" si="57"/>
        <v>19.261689909762101</v>
      </c>
      <c r="G289" s="245">
        <f>IFERROR(ROUNDUP(F289*'Customer Base'!$J$5,2),0)</f>
        <v>308.19</v>
      </c>
      <c r="H289" s="245">
        <f t="shared" si="58"/>
        <v>18.140278917145199</v>
      </c>
      <c r="I289" s="245">
        <f>IFERROR(ROUNDUP(H289*'Customer Base'!$J$5,2),0)</f>
        <v>290.25</v>
      </c>
      <c r="J289" s="103" t="str">
        <f t="shared" si="62"/>
        <v/>
      </c>
      <c r="L289" s="103" t="str">
        <f t="shared" si="63"/>
        <v/>
      </c>
      <c r="N289" s="103">
        <v>288</v>
      </c>
      <c r="O289" s="103" t="str">
        <f>IF('Customer Base'!$I$15="MANUAL",IF(B289&lt;&gt;"",C289,""),IF('Customer Base'!$I$15="AUTOMATE",IF(A289&lt;&gt;"",C289,""),""))</f>
        <v/>
      </c>
      <c r="AO289" s="103">
        <f>IF('Customer Base'!$I$15="MANUAL",IFERROR(AM289*B289,""),IF('Customer Base'!$I$15="AUTOMATE",IFERROR(AM289*A289,""),""))</f>
        <v>0</v>
      </c>
      <c r="AV289" s="103">
        <f t="shared" si="60"/>
        <v>0</v>
      </c>
    </row>
    <row r="290" spans="1:48">
      <c r="C290" s="251" t="s">
        <v>1042</v>
      </c>
      <c r="D290" s="328">
        <v>23.48</v>
      </c>
      <c r="E290" s="328">
        <v>22.113</v>
      </c>
      <c r="F290" s="245">
        <f t="shared" si="57"/>
        <v>19.261689909762101</v>
      </c>
      <c r="G290" s="245">
        <f>IFERROR(ROUNDUP(F290*'Customer Base'!$J$5,2),0)</f>
        <v>308.19</v>
      </c>
      <c r="H290" s="245">
        <f t="shared" si="58"/>
        <v>18.140278917145199</v>
      </c>
      <c r="I290" s="245">
        <f>IFERROR(ROUNDUP(H290*'Customer Base'!$J$5,2),0)</f>
        <v>290.25</v>
      </c>
      <c r="J290" s="103" t="str">
        <f t="shared" si="62"/>
        <v/>
      </c>
      <c r="L290" s="103" t="str">
        <f t="shared" si="63"/>
        <v/>
      </c>
      <c r="N290" s="103">
        <v>289</v>
      </c>
      <c r="O290" s="103" t="str">
        <f>IF('Customer Base'!$I$15="MANUAL",IF(B290&lt;&gt;"",C290,""),IF('Customer Base'!$I$15="AUTOMATE",IF(A290&lt;&gt;"",C290,""),""))</f>
        <v/>
      </c>
      <c r="AO290" s="103">
        <f>IF('Customer Base'!$I$15="MANUAL",IFERROR(AM290*B290,""),IF('Customer Base'!$I$15="AUTOMATE",IFERROR(AM290*A290,""),""))</f>
        <v>0</v>
      </c>
      <c r="AV290" s="103">
        <f t="shared" si="60"/>
        <v>0</v>
      </c>
    </row>
    <row r="291" spans="1:48">
      <c r="C291" s="226"/>
      <c r="D291" s="319"/>
      <c r="E291" s="319"/>
      <c r="I291" s="224"/>
      <c r="J291" s="103" t="str">
        <f t="shared" si="62"/>
        <v/>
      </c>
      <c r="L291" s="103" t="str">
        <f t="shared" si="63"/>
        <v/>
      </c>
      <c r="N291" s="103">
        <v>290</v>
      </c>
      <c r="O291" s="103" t="str">
        <f>IF('Customer Base'!$I$15="MANUAL",IF(B291&lt;&gt;"",C291,""),IF('Customer Base'!$I$15="AUTOMATE",IF(A291&lt;&gt;"",C291,""),""))</f>
        <v/>
      </c>
      <c r="AO291" s="103">
        <f>IF('Customer Base'!$I$15="MANUAL",IFERROR(AM291*B291,""),IF('Customer Base'!$I$15="AUTOMATE",IFERROR(AM291*A291,""),""))</f>
        <v>0</v>
      </c>
      <c r="AV291" s="103">
        <f t="shared" ref="AV291:AV338" si="64">IF(AU291&lt;&gt;"",AU291,AT291)</f>
        <v>0</v>
      </c>
    </row>
    <row r="292" spans="1:48">
      <c r="C292" s="232" t="s">
        <v>1891</v>
      </c>
      <c r="D292" s="320"/>
      <c r="E292" s="320"/>
      <c r="F292" s="234">
        <f t="shared" ref="F292:F311" si="65">$D292/1.219</f>
        <v>0</v>
      </c>
      <c r="G292" s="234">
        <f>IFERROR(ROUNDUP(F292*'Customer Base'!$J$5,2),0)</f>
        <v>0</v>
      </c>
      <c r="H292" s="234">
        <f t="shared" ref="H292:H311" si="66">$E292/1.219</f>
        <v>0</v>
      </c>
      <c r="I292" s="234">
        <f>IFERROR(ROUNDUP(H292*'Customer Base'!$J$5,2),0)</f>
        <v>0</v>
      </c>
      <c r="J292" s="103" t="str">
        <f t="shared" si="62"/>
        <v/>
      </c>
      <c r="L292" s="103" t="str">
        <f t="shared" si="63"/>
        <v/>
      </c>
      <c r="N292" s="103">
        <v>291</v>
      </c>
      <c r="O292" s="103" t="str">
        <f>IF('Customer Base'!$I$15="MANUAL",IF(B292&lt;&gt;"",C292,""),IF('Customer Base'!$I$15="AUTOMATE",IF(A292&lt;&gt;"",C292,""),""))</f>
        <v/>
      </c>
      <c r="AO292" s="103">
        <f>IF('Customer Base'!$I$15="MANUAL",IFERROR(AM292*B292,""),IF('Customer Base'!$I$15="AUTOMATE",IFERROR(AM292*A292,""),""))</f>
        <v>0</v>
      </c>
      <c r="AV292" s="103">
        <f t="shared" si="64"/>
        <v>0</v>
      </c>
    </row>
    <row r="293" spans="1:48">
      <c r="C293" s="250" t="s">
        <v>915</v>
      </c>
      <c r="D293" s="321">
        <v>111.97</v>
      </c>
      <c r="E293" s="321">
        <v>105.462</v>
      </c>
      <c r="F293" s="249">
        <f t="shared" si="65"/>
        <v>91.85397867104183</v>
      </c>
      <c r="G293" s="249">
        <f>IFERROR(ROUNDUP(F293*'Customer Base'!$J$5,2),0)</f>
        <v>1469.67</v>
      </c>
      <c r="H293" s="249">
        <f t="shared" si="66"/>
        <v>86.515176374077114</v>
      </c>
      <c r="I293" s="249">
        <f>IFERROR(ROUNDUP(H293*'Customer Base'!$J$5,2),0)</f>
        <v>1384.25</v>
      </c>
      <c r="J293" s="103" t="str">
        <f t="shared" si="62"/>
        <v/>
      </c>
      <c r="L293" s="103" t="str">
        <f t="shared" si="63"/>
        <v/>
      </c>
      <c r="N293" s="103">
        <v>292</v>
      </c>
      <c r="O293" s="103" t="str">
        <f>IF('Customer Base'!$I$15="MANUAL",IF(B293&lt;&gt;"",C293,""),IF('Customer Base'!$I$15="AUTOMATE",IF(A293&lt;&gt;"",C293,""),""))</f>
        <v/>
      </c>
      <c r="AO293" s="103">
        <f>IF('Customer Base'!$I$15="MANUAL",IFERROR(AM293*B293,""),IF('Customer Base'!$I$15="AUTOMATE",IFERROR(AM293*A293,""),""))</f>
        <v>0</v>
      </c>
      <c r="AV293" s="103">
        <f t="shared" si="64"/>
        <v>0</v>
      </c>
    </row>
    <row r="294" spans="1:48">
      <c r="C294" s="250" t="s">
        <v>1024</v>
      </c>
      <c r="D294" s="321">
        <v>111.97</v>
      </c>
      <c r="E294" s="321">
        <v>105.462</v>
      </c>
      <c r="F294" s="249">
        <f t="shared" si="65"/>
        <v>91.85397867104183</v>
      </c>
      <c r="G294" s="249">
        <f>IFERROR(ROUNDUP(F294*'Customer Base'!$J$5,2),0)</f>
        <v>1469.67</v>
      </c>
      <c r="H294" s="249">
        <f t="shared" si="66"/>
        <v>86.515176374077114</v>
      </c>
      <c r="I294" s="249">
        <f>IFERROR(ROUNDUP(H294*'Customer Base'!$J$5,2),0)</f>
        <v>1384.25</v>
      </c>
      <c r="J294" s="103" t="str">
        <f t="shared" si="62"/>
        <v/>
      </c>
      <c r="L294" s="103" t="str">
        <f t="shared" si="63"/>
        <v/>
      </c>
      <c r="N294" s="103">
        <v>293</v>
      </c>
      <c r="O294" s="103" t="str">
        <f>IF('Customer Base'!$I$15="MANUAL",IF(B294&lt;&gt;"",C294,""),IF('Customer Base'!$I$15="AUTOMATE",IF(A294&lt;&gt;"",C294,""),""))</f>
        <v/>
      </c>
      <c r="AO294" s="103">
        <f>IF('Customer Base'!$I$15="MANUAL",IFERROR(AM294*B294,""),IF('Customer Base'!$I$15="AUTOMATE",IFERROR(AM294*A294,""),""))</f>
        <v>0</v>
      </c>
      <c r="AV294" s="103">
        <f t="shared" si="64"/>
        <v>0</v>
      </c>
    </row>
    <row r="295" spans="1:48">
      <c r="C295" s="250" t="s">
        <v>916</v>
      </c>
      <c r="D295" s="321">
        <v>139.06</v>
      </c>
      <c r="E295" s="321">
        <v>130.977</v>
      </c>
      <c r="F295" s="249">
        <f t="shared" si="65"/>
        <v>114.07711238720262</v>
      </c>
      <c r="G295" s="249">
        <f>IFERROR(ROUNDUP(F295*'Customer Base'!$J$5,2),0)</f>
        <v>1825.24</v>
      </c>
      <c r="H295" s="249">
        <f t="shared" si="66"/>
        <v>107.44626743232158</v>
      </c>
      <c r="I295" s="249">
        <f>IFERROR(ROUNDUP(H295*'Customer Base'!$J$5,2),0)</f>
        <v>1719.15</v>
      </c>
      <c r="J295" s="103" t="str">
        <f t="shared" si="62"/>
        <v/>
      </c>
      <c r="L295" s="103" t="str">
        <f t="shared" si="63"/>
        <v/>
      </c>
      <c r="N295" s="103">
        <v>294</v>
      </c>
      <c r="O295" s="103" t="str">
        <f>IF('Customer Base'!$I$15="MANUAL",IF(B295&lt;&gt;"",C295,""),IF('Customer Base'!$I$15="AUTOMATE",IF(A295&lt;&gt;"",C295,""),""))</f>
        <v/>
      </c>
      <c r="AO295" s="103">
        <f>IF('Customer Base'!$I$15="MANUAL",IFERROR(AM295*B295,""),IF('Customer Base'!$I$15="AUTOMATE",IFERROR(AM295*A295,""),""))</f>
        <v>0</v>
      </c>
      <c r="AV295" s="103">
        <f t="shared" si="64"/>
        <v>0</v>
      </c>
    </row>
    <row r="296" spans="1:48">
      <c r="C296" s="250" t="s">
        <v>1025</v>
      </c>
      <c r="D296" s="321">
        <v>139.06</v>
      </c>
      <c r="E296" s="321">
        <v>130.977</v>
      </c>
      <c r="F296" s="249">
        <f t="shared" si="65"/>
        <v>114.07711238720262</v>
      </c>
      <c r="G296" s="249">
        <f>IFERROR(ROUNDUP(F296*'Customer Base'!$J$5,2),0)</f>
        <v>1825.24</v>
      </c>
      <c r="H296" s="249">
        <f t="shared" si="66"/>
        <v>107.44626743232158</v>
      </c>
      <c r="I296" s="249">
        <f>IFERROR(ROUNDUP(H296*'Customer Base'!$J$5,2),0)</f>
        <v>1719.15</v>
      </c>
      <c r="J296" s="103" t="str">
        <f t="shared" si="62"/>
        <v/>
      </c>
      <c r="L296" s="103" t="str">
        <f t="shared" si="63"/>
        <v/>
      </c>
      <c r="N296" s="103">
        <v>295</v>
      </c>
      <c r="O296" s="103" t="str">
        <f>IF('Customer Base'!$I$15="MANUAL",IF(B296&lt;&gt;"",C296,""),IF('Customer Base'!$I$15="AUTOMATE",IF(A296&lt;&gt;"",C296,""),""))</f>
        <v/>
      </c>
      <c r="AO296" s="103">
        <f>IF('Customer Base'!$I$15="MANUAL",IFERROR(AM296*B296,""),IF('Customer Base'!$I$15="AUTOMATE",IFERROR(AM296*A296,""),""))</f>
        <v>0</v>
      </c>
      <c r="AV296" s="103">
        <f t="shared" si="64"/>
        <v>0</v>
      </c>
    </row>
    <row r="297" spans="1:48">
      <c r="C297" s="250" t="s">
        <v>1023</v>
      </c>
      <c r="D297" s="321">
        <v>160.72999999999999</v>
      </c>
      <c r="E297" s="321">
        <v>151.38900000000001</v>
      </c>
      <c r="F297" s="249">
        <f t="shared" si="65"/>
        <v>131.85397867104183</v>
      </c>
      <c r="G297" s="249">
        <f>IFERROR(ROUNDUP(F297*'Customer Base'!$J$5,2),0)</f>
        <v>2109.67</v>
      </c>
      <c r="H297" s="249">
        <f t="shared" si="66"/>
        <v>124.19114027891715</v>
      </c>
      <c r="I297" s="249">
        <f>IFERROR(ROUNDUP(H297*'Customer Base'!$J$5,2),0)</f>
        <v>1987.06</v>
      </c>
      <c r="J297" s="103" t="str">
        <f t="shared" si="62"/>
        <v/>
      </c>
      <c r="L297" s="103" t="str">
        <f t="shared" si="63"/>
        <v/>
      </c>
      <c r="N297" s="103">
        <v>296</v>
      </c>
      <c r="O297" s="103" t="str">
        <f>IF('Customer Base'!$I$15="MANUAL",IF(B297&lt;&gt;"",C297,""),IF('Customer Base'!$I$15="AUTOMATE",IF(A297&lt;&gt;"",C297,""),""))</f>
        <v/>
      </c>
      <c r="AO297" s="103">
        <f>IF('Customer Base'!$I$15="MANUAL",IFERROR(AM297*B297,""),IF('Customer Base'!$I$15="AUTOMATE",IFERROR(AM297*A297,""),""))</f>
        <v>0</v>
      </c>
      <c r="AV297" s="103">
        <f t="shared" si="64"/>
        <v>0</v>
      </c>
    </row>
    <row r="298" spans="1:48">
      <c r="D298" s="319"/>
      <c r="E298" s="319"/>
      <c r="F298" s="224">
        <f t="shared" si="65"/>
        <v>0</v>
      </c>
      <c r="G298" s="224">
        <f>IFERROR(ROUNDUP(F298*'Customer Base'!$J$5,2),0)</f>
        <v>0</v>
      </c>
      <c r="H298" s="224">
        <f t="shared" si="66"/>
        <v>0</v>
      </c>
      <c r="I298" s="224">
        <f>IFERROR(ROUNDUP(H298*'Customer Base'!$J$5,2),0)</f>
        <v>0</v>
      </c>
      <c r="J298" s="103" t="str">
        <f t="shared" si="62"/>
        <v/>
      </c>
      <c r="L298" s="103" t="str">
        <f t="shared" si="63"/>
        <v/>
      </c>
      <c r="N298" s="103">
        <v>297</v>
      </c>
      <c r="O298" s="103" t="str">
        <f>IF('Customer Base'!$I$15="MANUAL",IF(B298&lt;&gt;"",C298,""),IF('Customer Base'!$I$15="AUTOMATE",IF(A298&lt;&gt;"",C298,""),""))</f>
        <v/>
      </c>
      <c r="AO298" s="103">
        <f>IF('Customer Base'!$I$15="MANUAL",IFERROR(AM298*B298,""),IF('Customer Base'!$I$15="AUTOMATE",IFERROR(AM298*A298,""),""))</f>
        <v>0</v>
      </c>
      <c r="AV298" s="103">
        <f t="shared" si="64"/>
        <v>0</v>
      </c>
    </row>
    <row r="299" spans="1:48">
      <c r="A299" s="103">
        <f>IF(AND('Customer Base'!D13="Victron",OR(AND('Customer Base'!D20="BYD",'Customer Base'!D19="Lithium"),'Customer Base'!D34="Yes")),1,"")</f>
        <v>1</v>
      </c>
      <c r="B299" s="270">
        <v>1</v>
      </c>
      <c r="C299" s="248" t="s">
        <v>898</v>
      </c>
      <c r="D299" s="329">
        <v>278.12</v>
      </c>
      <c r="E299" s="329">
        <v>261.95400000000001</v>
      </c>
      <c r="F299" s="261">
        <f t="shared" si="65"/>
        <v>228.15422477440524</v>
      </c>
      <c r="G299" s="249">
        <f>IFERROR(ROUNDUP(F299*'Customer Base'!$J$5,2),0)</f>
        <v>3650.4700000000003</v>
      </c>
      <c r="H299" s="261">
        <f t="shared" si="66"/>
        <v>214.89253486464315</v>
      </c>
      <c r="I299" s="249">
        <f>IFERROR(ROUNDUP(H299*'Customer Base'!$J$5,2),0)</f>
        <v>3438.2900000000004</v>
      </c>
      <c r="J299" s="103" t="str">
        <f t="shared" si="62"/>
        <v/>
      </c>
      <c r="L299" s="103" t="str">
        <f t="shared" si="63"/>
        <v/>
      </c>
      <c r="N299" s="103">
        <v>298</v>
      </c>
      <c r="O299" s="103" t="str">
        <f>IF('Customer Base'!$I$15="MANUAL",IF(B299&lt;&gt;"",C299,""),IF('Customer Base'!$I$15="AUTOMATE",IF(A299&lt;&gt;"",C299,""),""))</f>
        <v>Victron Cerbo GX</v>
      </c>
      <c r="AO299" s="103">
        <f>IF('Customer Base'!$I$15="MANUAL",IFERROR(AM299*B299,""),IF('Customer Base'!$I$15="AUTOMATE",IFERROR(AM299*A299,""),""))</f>
        <v>0</v>
      </c>
      <c r="AV299" s="103">
        <f t="shared" si="64"/>
        <v>0</v>
      </c>
    </row>
    <row r="300" spans="1:48">
      <c r="C300" s="248" t="s">
        <v>2728</v>
      </c>
      <c r="D300" s="329">
        <v>320.57</v>
      </c>
      <c r="E300" s="329">
        <v>301.93599999999998</v>
      </c>
      <c r="F300" s="261">
        <f t="shared" si="65"/>
        <v>262.97785069729287</v>
      </c>
      <c r="G300" s="249">
        <f>IFERROR(ROUNDUP(F300*'Customer Base'!$J$5,2),0)</f>
        <v>4207.6500000000005</v>
      </c>
      <c r="H300" s="261">
        <f t="shared" si="66"/>
        <v>247.69155045118947</v>
      </c>
      <c r="I300" s="249">
        <f>IFERROR(ROUNDUP(H300*'Customer Base'!$J$5,2),0)</f>
        <v>3963.07</v>
      </c>
      <c r="J300" s="103" t="str">
        <f t="shared" si="62"/>
        <v/>
      </c>
      <c r="L300" s="103" t="str">
        <f t="shared" si="63"/>
        <v/>
      </c>
      <c r="N300" s="103">
        <v>299</v>
      </c>
      <c r="O300" s="103" t="str">
        <f>IF('Customer Base'!$I$15="MANUAL",IF(B300&lt;&gt;"",C300,""),IF('Customer Base'!$I$15="AUTOMATE",IF(A300&lt;&gt;"",C300,""),""))</f>
        <v/>
      </c>
      <c r="AO300" s="103">
        <f>IF('Customer Base'!$I$15="MANUAL",IFERROR(AM300*B300,""),IF('Customer Base'!$I$15="AUTOMATE",IFERROR(AM300*A300,""),""))</f>
        <v>0</v>
      </c>
      <c r="AV300" s="103">
        <f t="shared" si="64"/>
        <v>0</v>
      </c>
    </row>
    <row r="301" spans="1:48">
      <c r="C301" s="248" t="s">
        <v>2729</v>
      </c>
      <c r="D301" s="329">
        <v>220.33</v>
      </c>
      <c r="E301" s="329">
        <v>207.52199999999999</v>
      </c>
      <c r="F301" s="261">
        <f t="shared" si="65"/>
        <v>180.74651353568498</v>
      </c>
      <c r="G301" s="249">
        <f>IFERROR(ROUNDUP(F301*'Customer Base'!$J$5,2),0)</f>
        <v>2891.9500000000003</v>
      </c>
      <c r="H301" s="261">
        <f t="shared" si="66"/>
        <v>170.23954060705495</v>
      </c>
      <c r="I301" s="249">
        <f>IFERROR(ROUNDUP(H301*'Customer Base'!$J$5,2),0)</f>
        <v>2723.84</v>
      </c>
      <c r="J301" s="103" t="str">
        <f t="shared" si="62"/>
        <v/>
      </c>
      <c r="L301" s="103" t="str">
        <f t="shared" si="63"/>
        <v/>
      </c>
      <c r="N301" s="103">
        <v>300</v>
      </c>
      <c r="O301" s="103" t="str">
        <f>IF('Customer Base'!$I$15="MANUAL",IF(B301&lt;&gt;"",C301,""),IF('Customer Base'!$I$15="AUTOMATE",IF(A301&lt;&gt;"",C301,""),""))</f>
        <v/>
      </c>
      <c r="AO301" s="103">
        <f>IF('Customer Base'!$I$15="MANUAL",IFERROR(AM301*B301,""),IF('Customer Base'!$I$15="AUTOMATE",IFERROR(AM301*A301,""),""))</f>
        <v>0</v>
      </c>
      <c r="AV301" s="103">
        <f t="shared" si="64"/>
        <v>0</v>
      </c>
    </row>
    <row r="302" spans="1:48">
      <c r="A302" s="103">
        <f>IF(AND('Customer Base'!D$34="Yes",A299=1),1,"")</f>
        <v>1</v>
      </c>
      <c r="B302" s="270">
        <v>1</v>
      </c>
      <c r="C302" s="248" t="s">
        <v>2831</v>
      </c>
      <c r="D302" s="329">
        <v>210.08</v>
      </c>
      <c r="E302" s="329">
        <v>208.32</v>
      </c>
      <c r="F302" s="261">
        <f t="shared" si="65"/>
        <v>172.33798195242002</v>
      </c>
      <c r="G302" s="249">
        <f>IFERROR(ROUNDUP(F302*'Customer Base'!$J$5,2),0)</f>
        <v>2757.4100000000003</v>
      </c>
      <c r="H302" s="261">
        <f t="shared" si="66"/>
        <v>170.89417555373254</v>
      </c>
      <c r="I302" s="249">
        <f>IFERROR(ROUNDUP(H302*'Customer Base'!$J$5,2),0)</f>
        <v>2734.3100000000004</v>
      </c>
      <c r="J302" s="103" t="str">
        <f t="shared" si="62"/>
        <v/>
      </c>
      <c r="L302" s="103" t="str">
        <f t="shared" si="63"/>
        <v/>
      </c>
      <c r="N302" s="103">
        <v>301</v>
      </c>
      <c r="O302" s="103" t="str">
        <f>IF('Customer Base'!$I$15="MANUAL",IF(B302&lt;&gt;"",C302,""),IF('Customer Base'!$I$15="AUTOMATE",IF(A302&lt;&gt;"",C302,""),""))</f>
        <v>Victron GX Touch 50</v>
      </c>
    </row>
    <row r="303" spans="1:48">
      <c r="A303" s="103">
        <f>IF(AND('Customer Base'!D$34="Yes",A299=1),1,"")</f>
        <v>1</v>
      </c>
      <c r="B303" s="270">
        <v>1</v>
      </c>
      <c r="C303" s="248" t="s">
        <v>1031</v>
      </c>
      <c r="D303" s="329">
        <v>15.34</v>
      </c>
      <c r="E303" s="329">
        <v>14.4504</v>
      </c>
      <c r="F303" s="261">
        <f t="shared" si="65"/>
        <v>12.584085315832649</v>
      </c>
      <c r="G303" s="249">
        <f>IFERROR(ROUNDUP(F303*'Customer Base'!$J$5,2),0)</f>
        <v>201.35</v>
      </c>
      <c r="H303" s="261">
        <f t="shared" si="66"/>
        <v>11.85430680885972</v>
      </c>
      <c r="I303" s="249">
        <f>IFERROR(ROUNDUP(H303*'Customer Base'!$J$5,2),0)</f>
        <v>189.67</v>
      </c>
      <c r="J303" s="103" t="str">
        <f t="shared" si="62"/>
        <v/>
      </c>
      <c r="L303" s="103" t="str">
        <f t="shared" si="63"/>
        <v/>
      </c>
      <c r="N303" s="103">
        <v>302</v>
      </c>
      <c r="O303" s="103" t="str">
        <f>IF('Customer Base'!$I$15="MANUAL",IF(B303&lt;&gt;"",C303,""),IF('Customer Base'!$I$15="AUTOMATE",IF(A303&lt;&gt;"",C303,""),""))</f>
        <v>Victron GX Touch 50 Wall Mount</v>
      </c>
      <c r="AO303" s="103">
        <f>IF('Customer Base'!$I$15="MANUAL",IFERROR(AM303*B303,""),IF('Customer Base'!$I$15="AUTOMATE",IFERROR(AM303*A303,""),""))</f>
        <v>0</v>
      </c>
      <c r="AV303" s="103">
        <f t="shared" si="64"/>
        <v>0</v>
      </c>
    </row>
    <row r="304" spans="1:48">
      <c r="C304" s="248" t="s">
        <v>1032</v>
      </c>
      <c r="D304" s="329">
        <v>20.78</v>
      </c>
      <c r="E304" s="329">
        <v>19.57</v>
      </c>
      <c r="F304" s="261">
        <f t="shared" si="65"/>
        <v>17.0467596390484</v>
      </c>
      <c r="G304" s="249">
        <f>IFERROR(ROUNDUP(F304*'Customer Base'!$J$5,2),0)</f>
        <v>272.75</v>
      </c>
      <c r="H304" s="261">
        <f t="shared" si="66"/>
        <v>16.054142739950777</v>
      </c>
      <c r="I304" s="249">
        <f>IFERROR(ROUNDUP(H304*'Customer Base'!$J$5,2),0)</f>
        <v>256.87</v>
      </c>
      <c r="J304" s="103" t="str">
        <f t="shared" si="62"/>
        <v/>
      </c>
      <c r="L304" s="103" t="str">
        <f t="shared" si="63"/>
        <v/>
      </c>
      <c r="N304" s="103">
        <v>303</v>
      </c>
      <c r="O304" s="103" t="str">
        <f>IF('Customer Base'!$I$15="MANUAL",IF(B304&lt;&gt;"",C304,""),IF('Customer Base'!$I$15="AUTOMATE",IF(A304&lt;&gt;"",C304,""),""))</f>
        <v/>
      </c>
      <c r="AO304" s="103">
        <f>IF('Customer Base'!$I$15="MANUAL",IFERROR(AM304*B304,""),IF('Customer Base'!$I$15="AUTOMATE",IFERROR(AM304*A304,""),""))</f>
        <v>0</v>
      </c>
      <c r="AV304" s="103">
        <f t="shared" si="64"/>
        <v>0</v>
      </c>
    </row>
    <row r="305" spans="3:48">
      <c r="C305" s="248" t="s">
        <v>2730</v>
      </c>
      <c r="D305" s="329">
        <v>17.170000000000002</v>
      </c>
      <c r="E305" s="329">
        <v>16.167999999999999</v>
      </c>
      <c r="F305" s="261">
        <f t="shared" si="65"/>
        <v>14.085315832649714</v>
      </c>
      <c r="G305" s="249">
        <f>IFERROR(ROUNDUP(F305*'Customer Base'!$J$5,2),0)</f>
        <v>225.37</v>
      </c>
      <c r="H305" s="261">
        <f t="shared" si="66"/>
        <v>13.263330598851516</v>
      </c>
      <c r="I305" s="249">
        <f>IFERROR(ROUNDUP(H305*'Customer Base'!$J$5,2),0)</f>
        <v>212.22</v>
      </c>
      <c r="J305" s="103" t="str">
        <f t="shared" si="62"/>
        <v/>
      </c>
      <c r="L305" s="103" t="str">
        <f t="shared" si="63"/>
        <v/>
      </c>
      <c r="N305" s="103">
        <v>304</v>
      </c>
      <c r="O305" s="103" t="str">
        <f>IF('Customer Base'!$I$15="MANUAL",IF(B305&lt;&gt;"",C305,""),IF('Customer Base'!$I$15="AUTOMATE",IF(A305&lt;&gt;"",C305,""),""))</f>
        <v/>
      </c>
      <c r="AO305" s="103">
        <f>IF('Customer Base'!$I$15="MANUAL",IFERROR(AM305*B305,""),IF('Customer Base'!$I$15="AUTOMATE",IFERROR(AM305*A305,""),""))</f>
        <v>0</v>
      </c>
      <c r="AV305" s="103">
        <f t="shared" si="64"/>
        <v>0</v>
      </c>
    </row>
    <row r="306" spans="3:48">
      <c r="C306" s="248" t="s">
        <v>1546</v>
      </c>
      <c r="D306" s="329">
        <v>438.86</v>
      </c>
      <c r="E306" s="329">
        <v>413.34300000000002</v>
      </c>
      <c r="F306" s="261">
        <f t="shared" si="65"/>
        <v>360.01640689089419</v>
      </c>
      <c r="G306" s="249">
        <f>IFERROR(ROUNDUP(F306*'Customer Base'!$J$5,2),0)</f>
        <v>5760.27</v>
      </c>
      <c r="H306" s="261">
        <f t="shared" si="66"/>
        <v>339.0836751435603</v>
      </c>
      <c r="I306" s="249">
        <f>IFERROR(ROUNDUP(H306*'Customer Base'!$J$5,2),0)</f>
        <v>5425.34</v>
      </c>
      <c r="J306" s="103" t="str">
        <f t="shared" si="62"/>
        <v/>
      </c>
      <c r="L306" s="103" t="str">
        <f t="shared" si="63"/>
        <v/>
      </c>
      <c r="N306" s="103">
        <v>305</v>
      </c>
      <c r="O306" s="103" t="str">
        <f>IF('Customer Base'!$I$15="MANUAL",IF(B306&lt;&gt;"",C306,""),IF('Customer Base'!$I$15="AUTOMATE",IF(A306&lt;&gt;"",C306,""),""))</f>
        <v/>
      </c>
      <c r="AO306" s="103">
        <f>IF('Customer Base'!$I$15="MANUAL",IFERROR(AM306*B306,""),IF('Customer Base'!$I$15="AUTOMATE",IFERROR(AM306*A306,""),""))</f>
        <v>0</v>
      </c>
      <c r="AV306" s="103">
        <f t="shared" si="64"/>
        <v>0</v>
      </c>
    </row>
    <row r="307" spans="3:48">
      <c r="C307" s="248" t="s">
        <v>2731</v>
      </c>
      <c r="D307" s="329">
        <v>570.70000000000005</v>
      </c>
      <c r="E307" s="329">
        <v>537.51599999999996</v>
      </c>
      <c r="F307" s="261">
        <f t="shared" si="65"/>
        <v>468.17063166529942</v>
      </c>
      <c r="G307" s="249">
        <f>IFERROR(ROUNDUP(F307*'Customer Base'!$J$5,2),0)</f>
        <v>7490.74</v>
      </c>
      <c r="H307" s="261">
        <f t="shared" si="66"/>
        <v>440.94831829368331</v>
      </c>
      <c r="I307" s="249">
        <f>IFERROR(ROUNDUP(H307*'Customer Base'!$J$5,2),0)</f>
        <v>7055.18</v>
      </c>
      <c r="J307" s="103" t="str">
        <f t="shared" si="62"/>
        <v/>
      </c>
      <c r="L307" s="103" t="str">
        <f t="shared" si="63"/>
        <v/>
      </c>
      <c r="N307" s="103">
        <v>306</v>
      </c>
      <c r="O307" s="103" t="str">
        <f>IF('Customer Base'!$I$15="MANUAL",IF(B307&lt;&gt;"",C307,""),IF('Customer Base'!$I$15="AUTOMATE",IF(A307&lt;&gt;"",C307,""),""))</f>
        <v/>
      </c>
      <c r="AO307" s="103">
        <f>IF('Customer Base'!$I$15="MANUAL",IFERROR(AM307*B307,""),IF('Customer Base'!$I$15="AUTOMATE",IFERROR(AM307*A307,""),""))</f>
        <v>0</v>
      </c>
      <c r="AV307" s="103">
        <f t="shared" si="64"/>
        <v>0</v>
      </c>
    </row>
    <row r="308" spans="3:48">
      <c r="C308" s="248" t="s">
        <v>889</v>
      </c>
      <c r="D308" s="329">
        <v>248.33</v>
      </c>
      <c r="E308" s="329">
        <v>233.89599999999999</v>
      </c>
      <c r="F308" s="261">
        <f t="shared" si="65"/>
        <v>203.71616078753075</v>
      </c>
      <c r="G308" s="249">
        <f>IFERROR(ROUNDUP(F308*'Customer Base'!$J$5,2),0)</f>
        <v>3259.46</v>
      </c>
      <c r="H308" s="261">
        <f t="shared" si="66"/>
        <v>191.87530762920423</v>
      </c>
      <c r="I308" s="249">
        <f>IFERROR(ROUNDUP(H308*'Customer Base'!$J$5,2),0)</f>
        <v>3070.01</v>
      </c>
      <c r="J308" s="103" t="str">
        <f t="shared" si="62"/>
        <v/>
      </c>
      <c r="L308" s="103" t="str">
        <f t="shared" si="63"/>
        <v/>
      </c>
      <c r="N308" s="103">
        <v>307</v>
      </c>
      <c r="O308" s="103" t="str">
        <f>IF('Customer Base'!$I$15="MANUAL",IF(B308&lt;&gt;"",C308,""),IF('Customer Base'!$I$15="AUTOMATE",IF(A308&lt;&gt;"",C308,""),""))</f>
        <v/>
      </c>
      <c r="AO308" s="103">
        <f>IF('Customer Base'!$I$15="MANUAL",IFERROR(AM308*B308,""),IF('Customer Base'!$I$15="AUTOMATE",IFERROR(AM308*A308,""),""))</f>
        <v>0</v>
      </c>
      <c r="AV308" s="103">
        <f t="shared" si="64"/>
        <v>0</v>
      </c>
    </row>
    <row r="309" spans="3:48">
      <c r="C309" s="248" t="s">
        <v>890</v>
      </c>
      <c r="D309" s="329">
        <v>22.57</v>
      </c>
      <c r="E309" s="329">
        <v>21.254000000000001</v>
      </c>
      <c r="F309" s="261">
        <f t="shared" si="65"/>
        <v>18.515176374077111</v>
      </c>
      <c r="G309" s="249">
        <f>IFERROR(ROUNDUP(F309*'Customer Base'!$J$5,2),0)</f>
        <v>296.25</v>
      </c>
      <c r="H309" s="261">
        <f t="shared" si="66"/>
        <v>17.435602953240362</v>
      </c>
      <c r="I309" s="249">
        <f>IFERROR(ROUNDUP(H309*'Customer Base'!$J$5,2),0)</f>
        <v>278.96999999999997</v>
      </c>
      <c r="J309" s="103" t="str">
        <f t="shared" si="62"/>
        <v/>
      </c>
      <c r="L309" s="103" t="str">
        <f t="shared" si="63"/>
        <v/>
      </c>
      <c r="N309" s="103">
        <v>308</v>
      </c>
      <c r="O309" s="103" t="str">
        <f>IF('Customer Base'!$I$15="MANUAL",IF(B309&lt;&gt;"",C309,""),IF('Customer Base'!$I$15="AUTOMATE",IF(A309&lt;&gt;"",C309,""),""))</f>
        <v/>
      </c>
      <c r="AO309" s="103">
        <f>IF('Customer Base'!$I$15="MANUAL",IFERROR(AM309*B309,""),IF('Customer Base'!$I$15="AUTOMATE",IFERROR(AM309*A309,""),""))</f>
        <v>0</v>
      </c>
      <c r="AV309" s="103">
        <f t="shared" si="64"/>
        <v>0</v>
      </c>
    </row>
    <row r="310" spans="3:48">
      <c r="C310" s="248" t="s">
        <v>2732</v>
      </c>
      <c r="D310" s="329">
        <v>134.54</v>
      </c>
      <c r="E310" s="329">
        <v>126.71599999999999</v>
      </c>
      <c r="F310" s="261">
        <f t="shared" si="65"/>
        <v>110.36915504511893</v>
      </c>
      <c r="G310" s="249">
        <f>IFERROR(ROUNDUP(F310*'Customer Base'!$J$5,2),0)</f>
        <v>1765.91</v>
      </c>
      <c r="H310" s="261">
        <f t="shared" si="66"/>
        <v>103.95077932731746</v>
      </c>
      <c r="I310" s="249">
        <f>IFERROR(ROUNDUP(H310*'Customer Base'!$J$5,2),0)</f>
        <v>1663.22</v>
      </c>
      <c r="J310" s="103" t="str">
        <f t="shared" si="62"/>
        <v/>
      </c>
      <c r="L310" s="103" t="str">
        <f t="shared" si="63"/>
        <v/>
      </c>
      <c r="N310" s="103">
        <v>309</v>
      </c>
      <c r="O310" s="103" t="str">
        <f>IF('Customer Base'!$I$15="MANUAL",IF(B310&lt;&gt;"",C310,""),IF('Customer Base'!$I$15="AUTOMATE",IF(A310&lt;&gt;"",C310,""),""))</f>
        <v/>
      </c>
      <c r="AO310" s="103">
        <f>IF('Customer Base'!$I$15="MANUAL",IFERROR(AM310*B310,""),IF('Customer Base'!$I$15="AUTOMATE",IFERROR(AM310*A310,""),""))</f>
        <v>0</v>
      </c>
      <c r="AV310" s="103">
        <f t="shared" si="64"/>
        <v>0</v>
      </c>
    </row>
    <row r="311" spans="3:48">
      <c r="C311" s="248" t="s">
        <v>896</v>
      </c>
      <c r="D311" s="329">
        <v>35.909999999999997</v>
      </c>
      <c r="E311" s="329">
        <v>32.319000000000003</v>
      </c>
      <c r="F311" s="261">
        <f t="shared" si="65"/>
        <v>29.4585726004922</v>
      </c>
      <c r="G311" s="249">
        <f>IFERROR(ROUNDUP(F311*'Customer Base'!$J$5,2),0)</f>
        <v>471.34</v>
      </c>
      <c r="H311" s="261">
        <f t="shared" si="66"/>
        <v>26.512715340442988</v>
      </c>
      <c r="I311" s="249">
        <f>IFERROR(ROUNDUP(H311*'Customer Base'!$J$5,2),0)</f>
        <v>424.21</v>
      </c>
      <c r="J311" s="103" t="str">
        <f t="shared" si="62"/>
        <v/>
      </c>
      <c r="L311" s="103" t="str">
        <f t="shared" si="63"/>
        <v/>
      </c>
      <c r="N311" s="103">
        <v>310</v>
      </c>
      <c r="O311" s="103" t="str">
        <f>IF('Customer Base'!$I$15="MANUAL",IF(B311&lt;&gt;"",C311,""),IF('Customer Base'!$I$15="AUTOMATE",IF(A311&lt;&gt;"",C311,""),""))</f>
        <v/>
      </c>
      <c r="AO311" s="103">
        <f>IF('Customer Base'!$I$15="MANUAL",IFERROR(AM311*B311,""),IF('Customer Base'!$I$15="AUTOMATE",IFERROR(AM311*A311,""),""))</f>
        <v>0</v>
      </c>
      <c r="AV311" s="103">
        <f t="shared" si="64"/>
        <v>0</v>
      </c>
    </row>
    <row r="312" spans="3:48">
      <c r="C312" s="248" t="s">
        <v>1622</v>
      </c>
      <c r="D312" s="329">
        <v>24.57</v>
      </c>
      <c r="E312" s="329">
        <v>22.113</v>
      </c>
      <c r="F312" s="261">
        <f t="shared" ref="F312:F377" si="67">$D312/1.219</f>
        <v>20.155865463494667</v>
      </c>
      <c r="G312" s="249">
        <f>IFERROR(ROUNDUP(F312*'Customer Base'!$J$5,2),0)</f>
        <v>322.5</v>
      </c>
      <c r="H312" s="261">
        <f t="shared" ref="H312:H377" si="68">$E312/1.219</f>
        <v>18.140278917145199</v>
      </c>
      <c r="I312" s="249">
        <f>IFERROR(ROUNDUP(H312*'Customer Base'!$J$5,2),0)</f>
        <v>290.25</v>
      </c>
      <c r="J312" s="103" t="str">
        <f t="shared" si="62"/>
        <v/>
      </c>
      <c r="L312" s="103" t="str">
        <f t="shared" si="63"/>
        <v/>
      </c>
      <c r="N312" s="103">
        <v>311</v>
      </c>
      <c r="O312" s="103" t="str">
        <f>IF('Customer Base'!$I$15="MANUAL",IF(B312&lt;&gt;"",C312,""),IF('Customer Base'!$I$15="AUTOMATE",IF(A312&lt;&gt;"",C312,""),""))</f>
        <v/>
      </c>
      <c r="AO312" s="103">
        <f>IF('Customer Base'!$I$15="MANUAL",IFERROR(AM312*B312,""),IF('Customer Base'!$I$15="AUTOMATE",IFERROR(AM312*A312,""),""))</f>
        <v>0</v>
      </c>
      <c r="AV312" s="103">
        <f t="shared" si="64"/>
        <v>0</v>
      </c>
    </row>
    <row r="313" spans="3:48">
      <c r="C313" s="248" t="s">
        <v>897</v>
      </c>
      <c r="D313" s="329">
        <v>39.69</v>
      </c>
      <c r="E313" s="329">
        <v>35.720999999999997</v>
      </c>
      <c r="F313" s="261">
        <f t="shared" si="67"/>
        <v>32.559474979491384</v>
      </c>
      <c r="G313" s="249">
        <f>IFERROR(ROUNDUP(F313*'Customer Base'!$J$5,2),0)</f>
        <v>520.96</v>
      </c>
      <c r="H313" s="261">
        <f t="shared" si="68"/>
        <v>29.303527481542243</v>
      </c>
      <c r="I313" s="249">
        <f>IFERROR(ROUNDUP(H313*'Customer Base'!$J$5,2),0)</f>
        <v>468.86</v>
      </c>
      <c r="J313" s="103" t="str">
        <f t="shared" si="62"/>
        <v/>
      </c>
      <c r="L313" s="103" t="str">
        <f t="shared" si="63"/>
        <v/>
      </c>
      <c r="N313" s="103">
        <v>312</v>
      </c>
      <c r="O313" s="103" t="str">
        <f>IF('Customer Base'!$I$15="MANUAL",IF(B313&lt;&gt;"",C313,""),IF('Customer Base'!$I$15="AUTOMATE",IF(A313&lt;&gt;"",C313,""),""))</f>
        <v/>
      </c>
      <c r="AO313" s="103">
        <f>IF('Customer Base'!$I$15="MANUAL",IFERROR(AM313*B313,""),IF('Customer Base'!$I$15="AUTOMATE",IFERROR(AM313*A313,""),""))</f>
        <v>0</v>
      </c>
      <c r="AV313" s="103">
        <f t="shared" si="64"/>
        <v>0</v>
      </c>
    </row>
    <row r="314" spans="3:48">
      <c r="C314" s="226"/>
      <c r="D314" s="324"/>
      <c r="E314" s="324"/>
      <c r="F314" s="256">
        <f t="shared" si="67"/>
        <v>0</v>
      </c>
      <c r="H314" s="256">
        <f t="shared" si="68"/>
        <v>0</v>
      </c>
      <c r="I314" s="224"/>
      <c r="J314" s="103" t="str">
        <f t="shared" si="62"/>
        <v/>
      </c>
      <c r="L314" s="103" t="str">
        <f t="shared" si="63"/>
        <v/>
      </c>
      <c r="N314" s="103">
        <v>313</v>
      </c>
      <c r="O314" s="103" t="str">
        <f>IF('Customer Base'!$I$15="MANUAL",IF(B314&lt;&gt;"",C314,""),IF('Customer Base'!$I$15="AUTOMATE",IF(A314&lt;&gt;"",C314,""),""))</f>
        <v/>
      </c>
      <c r="AO314" s="103">
        <f>IF('Customer Base'!$I$15="MANUAL",IFERROR(AM314*B314,""),IF('Customer Base'!$I$15="AUTOMATE",IFERROR(AM314*A314,""),""))</f>
        <v>0</v>
      </c>
      <c r="AV314" s="103">
        <f t="shared" si="64"/>
        <v>0</v>
      </c>
    </row>
    <row r="315" spans="3:48">
      <c r="C315" s="244" t="s">
        <v>2734</v>
      </c>
      <c r="D315" s="326">
        <v>173.38</v>
      </c>
      <c r="E315" s="326">
        <v>163.29599999999999</v>
      </c>
      <c r="F315" s="258">
        <f t="shared" si="67"/>
        <v>142.23133716160785</v>
      </c>
      <c r="G315" s="245">
        <f>IFERROR(ROUNDUP(F315*'Customer Base'!$J$5,2),0)</f>
        <v>2275.71</v>
      </c>
      <c r="H315" s="258">
        <f t="shared" si="68"/>
        <v>133.95898277276456</v>
      </c>
      <c r="I315" s="245">
        <f>IFERROR(ROUNDUP(H315*'Customer Base'!$J$5,2),0)</f>
        <v>2143.3500000000004</v>
      </c>
      <c r="J315" s="103" t="str">
        <f t="shared" si="62"/>
        <v/>
      </c>
      <c r="L315" s="103" t="str">
        <f t="shared" si="63"/>
        <v/>
      </c>
      <c r="N315" s="103">
        <v>314</v>
      </c>
      <c r="O315" s="103" t="str">
        <f>IF('Customer Base'!$I$15="MANUAL",IF(B315&lt;&gt;"",C315,""),IF('Customer Base'!$I$15="AUTOMATE",IF(A315&lt;&gt;"",C315,""),""))</f>
        <v/>
      </c>
      <c r="AO315" s="103">
        <f>IF('Customer Base'!$I$15="MANUAL",IFERROR(AM315*B315,""),IF('Customer Base'!$I$15="AUTOMATE",IFERROR(AM315*A315,""),""))</f>
        <v>0</v>
      </c>
      <c r="AV315" s="103">
        <f t="shared" si="64"/>
        <v>0</v>
      </c>
    </row>
    <row r="316" spans="3:48">
      <c r="C316" s="244" t="s">
        <v>892</v>
      </c>
      <c r="D316" s="326">
        <v>56.9</v>
      </c>
      <c r="E316" s="326">
        <v>53.59</v>
      </c>
      <c r="F316" s="258">
        <f t="shared" si="67"/>
        <v>46.677604593929445</v>
      </c>
      <c r="G316" s="245">
        <f>IFERROR(ROUNDUP(F316*'Customer Base'!$J$5,2),0)</f>
        <v>746.85</v>
      </c>
      <c r="H316" s="258">
        <f t="shared" si="68"/>
        <v>43.962264150943398</v>
      </c>
      <c r="I316" s="245">
        <f>IFERROR(ROUNDUP(H316*'Customer Base'!$J$5,2),0)</f>
        <v>703.4</v>
      </c>
      <c r="J316" s="103" t="str">
        <f t="shared" si="62"/>
        <v/>
      </c>
      <c r="L316" s="103" t="str">
        <f t="shared" si="63"/>
        <v/>
      </c>
      <c r="N316" s="103">
        <v>315</v>
      </c>
      <c r="O316" s="103" t="str">
        <f>IF('Customer Base'!$I$15="MANUAL",IF(B316&lt;&gt;"",C316,""),IF('Customer Base'!$I$15="AUTOMATE",IF(A316&lt;&gt;"",C316,""),""))</f>
        <v/>
      </c>
      <c r="AO316" s="103">
        <f>IF('Customer Base'!$I$15="MANUAL",IFERROR(AM316*B316,""),IF('Customer Base'!$I$15="AUTOMATE",IFERROR(AM316*A316,""),""))</f>
        <v>0</v>
      </c>
      <c r="AV316" s="103">
        <f t="shared" si="64"/>
        <v>0</v>
      </c>
    </row>
    <row r="317" spans="3:48">
      <c r="C317" s="244" t="s">
        <v>893</v>
      </c>
      <c r="D317" s="326">
        <v>100.24</v>
      </c>
      <c r="E317" s="326">
        <v>94.414000000000001</v>
      </c>
      <c r="F317" s="258">
        <f t="shared" si="67"/>
        <v>82.231337161607868</v>
      </c>
      <c r="G317" s="245">
        <f>IFERROR(ROUNDUP(F317*'Customer Base'!$J$5,2),0)</f>
        <v>1315.71</v>
      </c>
      <c r="H317" s="258">
        <f t="shared" si="68"/>
        <v>77.452009844134537</v>
      </c>
      <c r="I317" s="245">
        <f>IFERROR(ROUNDUP(H317*'Customer Base'!$J$5,2),0)</f>
        <v>1239.24</v>
      </c>
      <c r="J317" s="103" t="str">
        <f t="shared" si="62"/>
        <v/>
      </c>
      <c r="L317" s="103" t="str">
        <f t="shared" si="63"/>
        <v/>
      </c>
      <c r="N317" s="103">
        <v>316</v>
      </c>
      <c r="O317" s="103" t="str">
        <f>IF('Customer Base'!$I$15="MANUAL",IF(B317&lt;&gt;"",C317,""),IF('Customer Base'!$I$15="AUTOMATE",IF(A317&lt;&gt;"",C317,""),""))</f>
        <v/>
      </c>
      <c r="AO317" s="103">
        <f>IF('Customer Base'!$I$15="MANUAL",IFERROR(AM317*B317,""),IF('Customer Base'!$I$15="AUTOMATE",IFERROR(AM317*A317,""),""))</f>
        <v>0</v>
      </c>
      <c r="AV317" s="103">
        <f t="shared" si="64"/>
        <v>0</v>
      </c>
    </row>
    <row r="318" spans="3:48">
      <c r="C318" s="244" t="s">
        <v>2733</v>
      </c>
      <c r="D318" s="326">
        <v>133.63999999999999</v>
      </c>
      <c r="E318" s="326">
        <v>125.874</v>
      </c>
      <c r="F318" s="258">
        <f t="shared" si="67"/>
        <v>109.63084495488103</v>
      </c>
      <c r="G318" s="245">
        <f>IFERROR(ROUNDUP(F318*'Customer Base'!$J$5,2),0)</f>
        <v>1754.1</v>
      </c>
      <c r="H318" s="258">
        <f t="shared" si="68"/>
        <v>103.26004922067267</v>
      </c>
      <c r="I318" s="245">
        <f>IFERROR(ROUNDUP(H318*'Customer Base'!$J$5,2),0)</f>
        <v>1652.17</v>
      </c>
      <c r="J318" s="103" t="str">
        <f t="shared" si="62"/>
        <v/>
      </c>
      <c r="L318" s="103" t="str">
        <f t="shared" si="63"/>
        <v/>
      </c>
      <c r="N318" s="103">
        <v>317</v>
      </c>
      <c r="O318" s="103" t="str">
        <f>IF('Customer Base'!$I$15="MANUAL",IF(B318&lt;&gt;"",C318,""),IF('Customer Base'!$I$15="AUTOMATE",IF(A318&lt;&gt;"",C318,""),""))</f>
        <v/>
      </c>
      <c r="AO318" s="103">
        <f>IF('Customer Base'!$I$15="MANUAL",IFERROR(AM318*B318,""),IF('Customer Base'!$I$15="AUTOMATE",IFERROR(AM318*A318,""),""))</f>
        <v>0</v>
      </c>
    </row>
    <row r="319" spans="3:48">
      <c r="C319" s="244" t="s">
        <v>891</v>
      </c>
      <c r="D319" s="326">
        <v>146.29</v>
      </c>
      <c r="E319" s="326">
        <v>137.78100000000001</v>
      </c>
      <c r="F319" s="258">
        <f t="shared" si="67"/>
        <v>120.00820344544708</v>
      </c>
      <c r="G319" s="245">
        <f>IFERROR(ROUNDUP(F319*'Customer Base'!$J$5,2),0)</f>
        <v>1920.14</v>
      </c>
      <c r="H319" s="258">
        <f t="shared" si="68"/>
        <v>113.02789171452009</v>
      </c>
      <c r="I319" s="245">
        <f>IFERROR(ROUNDUP(H319*'Customer Base'!$J$5,2),0)</f>
        <v>1808.45</v>
      </c>
      <c r="J319" s="103" t="str">
        <f t="shared" si="62"/>
        <v/>
      </c>
      <c r="L319" s="103" t="str">
        <f t="shared" si="63"/>
        <v/>
      </c>
      <c r="N319" s="103">
        <v>318</v>
      </c>
      <c r="O319" s="103" t="str">
        <f>IF('Customer Base'!$I$15="MANUAL",IF(B319&lt;&gt;"",C319,""),IF('Customer Base'!$I$15="AUTOMATE",IF(A319&lt;&gt;"",C319,""),""))</f>
        <v/>
      </c>
      <c r="AO319" s="103">
        <f>IF('Customer Base'!$I$15="MANUAL",IFERROR(AM319*B319,""),IF('Customer Base'!$I$15="AUTOMATE",IFERROR(AM319*A319,""),""))</f>
        <v>0</v>
      </c>
      <c r="AV319" s="103">
        <f t="shared" si="64"/>
        <v>0</v>
      </c>
    </row>
    <row r="320" spans="3:48">
      <c r="C320" s="226"/>
      <c r="D320" s="324"/>
      <c r="E320" s="324"/>
      <c r="F320" s="256"/>
      <c r="H320" s="256"/>
      <c r="I320" s="224"/>
      <c r="J320" s="103" t="str">
        <f t="shared" si="62"/>
        <v/>
      </c>
      <c r="L320" s="103" t="str">
        <f t="shared" si="63"/>
        <v/>
      </c>
      <c r="N320" s="103">
        <v>319</v>
      </c>
      <c r="O320" s="103" t="str">
        <f>IF('Customer Base'!$I$15="MANUAL",IF(B320&lt;&gt;"",C320,""),IF('Customer Base'!$I$15="AUTOMATE",IF(A320&lt;&gt;"",C320,""),""))</f>
        <v/>
      </c>
      <c r="AO320" s="103">
        <f>IF('Customer Base'!$I$15="MANUAL",IFERROR(AM320*B320,""),IF('Customer Base'!$I$15="AUTOMATE",IFERROR(AM320*A320,""),""))</f>
        <v>0</v>
      </c>
      <c r="AV320" s="103">
        <f t="shared" si="64"/>
        <v>0</v>
      </c>
    </row>
    <row r="321" spans="1:48">
      <c r="C321" s="246" t="s">
        <v>1892</v>
      </c>
      <c r="D321" s="322"/>
      <c r="E321" s="322"/>
      <c r="F321" s="252">
        <f t="shared" si="67"/>
        <v>0</v>
      </c>
      <c r="G321" s="234"/>
      <c r="H321" s="252">
        <f t="shared" si="68"/>
        <v>0</v>
      </c>
      <c r="I321" s="234"/>
      <c r="J321" s="103" t="str">
        <f t="shared" si="62"/>
        <v/>
      </c>
      <c r="L321" s="103" t="str">
        <f t="shared" si="63"/>
        <v/>
      </c>
      <c r="N321" s="103">
        <v>320</v>
      </c>
      <c r="O321" s="103" t="str">
        <f>IF('Customer Base'!$I$15="MANUAL",IF(B321&lt;&gt;"",C321,""),IF('Customer Base'!$I$15="AUTOMATE",IF(A321&lt;&gt;"",C321,""),""))</f>
        <v/>
      </c>
      <c r="AO321" s="103">
        <f>IF('Customer Base'!$I$15="MANUAL",IFERROR(AM321*B321,""),IF('Customer Base'!$I$15="AUTOMATE",IFERROR(AM321*A321,""),""))</f>
        <v>0</v>
      </c>
      <c r="AV321" s="103">
        <f t="shared" si="64"/>
        <v>0</v>
      </c>
    </row>
    <row r="322" spans="1:48">
      <c r="C322" s="237" t="s">
        <v>948</v>
      </c>
      <c r="D322" s="267">
        <v>163.43</v>
      </c>
      <c r="E322" s="267">
        <v>153.93199999999999</v>
      </c>
      <c r="F322" s="238">
        <f t="shared" si="67"/>
        <v>134.06890894175552</v>
      </c>
      <c r="G322" s="238">
        <f>IFERROR(ROUNDUP(F322*'Customer Base'!$J$5,2),0)</f>
        <v>2145.11</v>
      </c>
      <c r="H322" s="238">
        <f t="shared" si="68"/>
        <v>126.27727645611155</v>
      </c>
      <c r="I322" s="238">
        <f>IFERROR(ROUNDUP(H322*'Customer Base'!$J$5,2),0)</f>
        <v>2020.44</v>
      </c>
      <c r="J322" s="103" t="str">
        <f t="shared" si="62"/>
        <v/>
      </c>
      <c r="L322" s="103" t="str">
        <f t="shared" si="63"/>
        <v/>
      </c>
      <c r="N322" s="103">
        <v>321</v>
      </c>
      <c r="O322" s="103" t="str">
        <f>IF('Customer Base'!$I$15="MANUAL",IF(B322&lt;&gt;"",C322,""),IF('Customer Base'!$I$15="AUTOMATE",IF(A322&lt;&gt;"",C322,""),""))</f>
        <v/>
      </c>
      <c r="AO322" s="103">
        <f>IF('Customer Base'!$I$15="MANUAL",IFERROR(AM322*B322,""),IF('Customer Base'!$I$15="AUTOMATE",IFERROR(AM322*A322,""),""))</f>
        <v>0</v>
      </c>
      <c r="AV322" s="103">
        <f t="shared" si="64"/>
        <v>0</v>
      </c>
    </row>
    <row r="323" spans="1:48">
      <c r="A323" s="103" t="str">
        <f>IF(AND('Customer Base'!D$19="Lithium",MAX(SUMPRODUCT(A$6:A$132,AW$6:AW$132),('Customer Base'!D15*'Customer Base'!D14*1000/'Customer Base'!D8))&gt;600,MAX(SUMPRODUCT(A$6:A$132,AW$6:AW$132),('Customer Base'!D15*'Customer Base'!D14*1000/'Customer Base'!D8))&lt;=1000),1,IF(MAX(SUMPRODUCT(A$6:A$132,AW$6:AW$132),('Customer Base'!D15*'Customer Base'!D14*1000/'Customer Base'!D8))&gt;1000,ROUNDUP(MAX(SUMPRODUCT(A$6:A$132,AW$6:AW$132),('Customer Base'!D15*'Customer Base'!D14*1000/'Customer Base'!D8))/1000,0),""))</f>
        <v/>
      </c>
      <c r="B323" s="270" t="s">
        <v>1</v>
      </c>
      <c r="C323" s="237" t="s">
        <v>2753</v>
      </c>
      <c r="D323" s="267">
        <v>223.94</v>
      </c>
      <c r="E323" s="267">
        <v>210.92400000000001</v>
      </c>
      <c r="F323" s="238">
        <f t="shared" si="67"/>
        <v>183.70795734208366</v>
      </c>
      <c r="G323" s="238">
        <f>IFERROR(ROUNDUP(F323*'Customer Base'!$J$5,2),0)</f>
        <v>2939.3300000000004</v>
      </c>
      <c r="H323" s="238">
        <f t="shared" si="68"/>
        <v>173.03035274815423</v>
      </c>
      <c r="I323" s="238">
        <f>IFERROR(ROUNDUP(H323*'Customer Base'!$J$5,2),0)</f>
        <v>2768.4900000000002</v>
      </c>
      <c r="J323" s="103" t="str">
        <f t="shared" si="62"/>
        <v/>
      </c>
      <c r="L323" s="103" t="str">
        <f t="shared" si="63"/>
        <v/>
      </c>
      <c r="N323" s="103">
        <v>322</v>
      </c>
      <c r="O323" s="103" t="str">
        <f>IF('Customer Base'!$I$15="MANUAL",IF(B323&lt;&gt;"",C323,""),IF('Customer Base'!$I$15="AUTOMATE",IF(A323&lt;&gt;"",C323,""),""))</f>
        <v/>
      </c>
      <c r="AO323" s="103" t="str">
        <f>IF('Customer Base'!$I$15="MANUAL",IFERROR(AM323*B323,""),IF('Customer Base'!$I$15="AUTOMATE",IFERROR(AM323*A323,""),""))</f>
        <v/>
      </c>
      <c r="AV323" s="103">
        <f t="shared" si="64"/>
        <v>0</v>
      </c>
    </row>
    <row r="324" spans="1:48">
      <c r="C324" s="237" t="s">
        <v>2754</v>
      </c>
      <c r="D324" s="267">
        <v>18.95</v>
      </c>
      <c r="E324" s="267">
        <v>17.852</v>
      </c>
      <c r="F324" s="238">
        <f t="shared" si="67"/>
        <v>15.545529122231336</v>
      </c>
      <c r="G324" s="238">
        <f>IFERROR(ROUNDUP(F324*'Customer Base'!$J$5,2),0)</f>
        <v>248.73</v>
      </c>
      <c r="H324" s="238">
        <f t="shared" si="68"/>
        <v>14.644790812141098</v>
      </c>
      <c r="I324" s="238">
        <f>IFERROR(ROUNDUP(H324*'Customer Base'!$J$5,2),0)</f>
        <v>234.32</v>
      </c>
      <c r="J324" s="103" t="str">
        <f t="shared" si="62"/>
        <v/>
      </c>
      <c r="L324" s="103" t="str">
        <f t="shared" si="63"/>
        <v/>
      </c>
      <c r="N324" s="103">
        <v>323</v>
      </c>
      <c r="O324" s="103" t="str">
        <f>IF('Customer Base'!$I$15="MANUAL",IF(B324&lt;&gt;"",C324,""),IF('Customer Base'!$I$15="AUTOMATE",IF(A324&lt;&gt;"",C324,""),""))</f>
        <v/>
      </c>
      <c r="AO324" s="103">
        <f>IF('Customer Base'!$I$15="MANUAL",IFERROR(AM324*B324,""),IF('Customer Base'!$I$15="AUTOMATE",IFERROR(AM324*A324,""),""))</f>
        <v>0</v>
      </c>
      <c r="AV324" s="103">
        <f t="shared" si="64"/>
        <v>0</v>
      </c>
    </row>
    <row r="325" spans="1:48">
      <c r="C325" s="237" t="s">
        <v>2755</v>
      </c>
      <c r="D325" s="267">
        <v>28.896000000000001</v>
      </c>
      <c r="E325" s="267">
        <v>27.216000000000001</v>
      </c>
      <c r="F325" s="238">
        <f t="shared" si="67"/>
        <v>23.70467596390484</v>
      </c>
      <c r="G325" s="238">
        <f>IFERROR(ROUNDUP(F325*'Customer Base'!$J$5,2),0)</f>
        <v>379.28</v>
      </c>
      <c r="H325" s="238">
        <f t="shared" si="68"/>
        <v>22.326497128794092</v>
      </c>
      <c r="I325" s="238">
        <f>IFERROR(ROUNDUP(H325*'Customer Base'!$J$5,2),0)</f>
        <v>357.23</v>
      </c>
      <c r="J325" s="103" t="str">
        <f t="shared" si="62"/>
        <v/>
      </c>
      <c r="L325" s="103" t="str">
        <f t="shared" si="63"/>
        <v/>
      </c>
      <c r="N325" s="103">
        <v>324</v>
      </c>
      <c r="O325" s="103" t="str">
        <f>IF('Customer Base'!$I$15="MANUAL",IF(B325&lt;&gt;"",C325,""),IF('Customer Base'!$I$15="AUTOMATE",IF(A325&lt;&gt;"",C325,""),""))</f>
        <v/>
      </c>
      <c r="AO325" s="103">
        <f>IF('Customer Base'!$I$15="MANUAL",IFERROR(AM325*B325,""),IF('Customer Base'!$I$15="AUTOMATE",IFERROR(AM325*A325,""),""))</f>
        <v>0</v>
      </c>
      <c r="AV325" s="103">
        <f t="shared" si="64"/>
        <v>0</v>
      </c>
    </row>
    <row r="326" spans="1:48">
      <c r="A326" s="103">
        <f>IF(AND('Customer Base'!D$19="Lithium",MAX(SUMPRODUCT(A$6:A$132,AW$6:AW$132),('Customer Base'!D15*'Customer Base'!D14*1000/'Customer Base'!D8))&gt;0,MAX(SUMPRODUCT(A$6:A$132,AW$6:AW$132),('Customer Base'!D15*'Customer Base'!D14*1000/'Customer Base'!D8))&lt;=150),2,"")</f>
        <v>2</v>
      </c>
      <c r="B326" s="270" t="s">
        <v>1</v>
      </c>
      <c r="C326" s="237" t="s">
        <v>2756</v>
      </c>
      <c r="D326" s="267">
        <v>18.95</v>
      </c>
      <c r="E326" s="267">
        <v>17.852</v>
      </c>
      <c r="F326" s="238">
        <f t="shared" si="67"/>
        <v>15.545529122231336</v>
      </c>
      <c r="G326" s="238">
        <f>IFERROR(ROUNDUP(F326*'Customer Base'!$J$5,2),0)</f>
        <v>248.73</v>
      </c>
      <c r="H326" s="238">
        <f t="shared" si="68"/>
        <v>14.644790812141098</v>
      </c>
      <c r="I326" s="238">
        <f>IFERROR(ROUNDUP(H326*'Customer Base'!$J$5,2),0)</f>
        <v>234.32</v>
      </c>
      <c r="J326" s="103" t="str">
        <f t="shared" si="62"/>
        <v/>
      </c>
      <c r="L326" s="103" t="str">
        <f t="shared" si="63"/>
        <v/>
      </c>
      <c r="N326" s="103">
        <v>325</v>
      </c>
      <c r="O326" s="103" t="str">
        <f>IF('Customer Base'!$I$15="MANUAL",IF(B326&lt;&gt;"",C326,""),IF('Customer Base'!$I$15="AUTOMATE",IF(A326&lt;&gt;"",C326,""),""))</f>
        <v>Victron Solar Busbar 150A 4P +cover</v>
      </c>
      <c r="AO326" s="103">
        <f>IF('Customer Base'!$I$15="MANUAL",IFERROR(AM326*B326,""),IF('Customer Base'!$I$15="AUTOMATE",IFERROR(AM326*A326,""),""))</f>
        <v>0</v>
      </c>
    </row>
    <row r="327" spans="1:48">
      <c r="C327" s="237" t="s">
        <v>998</v>
      </c>
      <c r="D327" s="267">
        <v>28</v>
      </c>
      <c r="E327" s="267">
        <v>26.373999999999999</v>
      </c>
      <c r="F327" s="238">
        <f t="shared" si="67"/>
        <v>22.969647251845775</v>
      </c>
      <c r="G327" s="238">
        <f>IFERROR(ROUNDUP(F327*'Customer Base'!$J$5,2),0)</f>
        <v>367.52</v>
      </c>
      <c r="H327" s="238">
        <f t="shared" si="68"/>
        <v>21.635767022149299</v>
      </c>
      <c r="I327" s="238">
        <f>IFERROR(ROUNDUP(H327*'Customer Base'!$J$5,2),0)</f>
        <v>346.18</v>
      </c>
      <c r="J327" s="103" t="str">
        <f t="shared" si="62"/>
        <v/>
      </c>
      <c r="L327" s="103" t="str">
        <f t="shared" si="63"/>
        <v/>
      </c>
      <c r="N327" s="103">
        <v>326</v>
      </c>
      <c r="O327" s="103" t="str">
        <f>IF('Customer Base'!$I$15="MANUAL",IF(B327&lt;&gt;"",C327,""),IF('Customer Base'!$I$15="AUTOMATE",IF(A327&lt;&gt;"",C327,""),""))</f>
        <v/>
      </c>
      <c r="AO327" s="103">
        <f>IF('Customer Base'!$I$15="MANUAL",IFERROR(AM327*B327,""),IF('Customer Base'!$I$15="AUTOMATE",IFERROR(AM327*A327,""),""))</f>
        <v>0</v>
      </c>
    </row>
    <row r="328" spans="1:48">
      <c r="C328" s="237" t="s">
        <v>2757</v>
      </c>
      <c r="D328" s="267">
        <v>44.24</v>
      </c>
      <c r="E328" s="267">
        <v>41.67</v>
      </c>
      <c r="F328" s="238">
        <f t="shared" si="67"/>
        <v>36.292042657916326</v>
      </c>
      <c r="G328" s="238">
        <f>IFERROR(ROUNDUP(F328*'Customer Base'!$J$5,2),0)</f>
        <v>580.67999999999995</v>
      </c>
      <c r="H328" s="238">
        <f t="shared" si="68"/>
        <v>34.183757178014766</v>
      </c>
      <c r="I328" s="238">
        <f>IFERROR(ROUNDUP(H328*'Customer Base'!$J$5,2),0)</f>
        <v>546.95000000000005</v>
      </c>
      <c r="J328" s="103" t="str">
        <f t="shared" si="62"/>
        <v/>
      </c>
      <c r="L328" s="103" t="str">
        <f t="shared" si="63"/>
        <v/>
      </c>
      <c r="N328" s="103">
        <v>327</v>
      </c>
      <c r="O328" s="103" t="str">
        <f>IF('Customer Base'!$I$15="MANUAL",IF(B328&lt;&gt;"",C328,""),IF('Customer Base'!$I$15="AUTOMATE",IF(A328&lt;&gt;"",C328,""),""))</f>
        <v/>
      </c>
      <c r="AO328" s="103">
        <f>IF('Customer Base'!$I$15="MANUAL",IFERROR(AM328*B328,""),IF('Customer Base'!$I$15="AUTOMATE",IFERROR(AM328*A328,""),""))</f>
        <v>0</v>
      </c>
      <c r="AV328" s="103">
        <f t="shared" si="64"/>
        <v>0</v>
      </c>
    </row>
    <row r="329" spans="1:48">
      <c r="C329" s="237" t="s">
        <v>2758</v>
      </c>
      <c r="D329" s="267">
        <v>50.57</v>
      </c>
      <c r="E329" s="267">
        <v>47.628</v>
      </c>
      <c r="F329" s="238">
        <f t="shared" si="67"/>
        <v>41.484823625922886</v>
      </c>
      <c r="G329" s="238">
        <f>IFERROR(ROUNDUP(F329*'Customer Base'!$J$5,2),0)</f>
        <v>663.76</v>
      </c>
      <c r="H329" s="238">
        <f t="shared" si="68"/>
        <v>39.071369975389658</v>
      </c>
      <c r="I329" s="238">
        <f>IFERROR(ROUNDUP(H329*'Customer Base'!$J$5,2),0)</f>
        <v>625.15</v>
      </c>
      <c r="J329" s="103" t="str">
        <f t="shared" si="62"/>
        <v/>
      </c>
      <c r="L329" s="103" t="str">
        <f t="shared" si="63"/>
        <v/>
      </c>
      <c r="N329" s="103">
        <v>328</v>
      </c>
      <c r="O329" s="103" t="str">
        <f>IF('Customer Base'!$I$15="MANUAL",IF(B329&lt;&gt;"",C329,""),IF('Customer Base'!$I$15="AUTOMATE",IF(A329&lt;&gt;"",C329,""),""))</f>
        <v/>
      </c>
      <c r="AO329" s="103">
        <f>IF('Customer Base'!$I$15="MANUAL",IFERROR(AM329*B329,""),IF('Customer Base'!$I$15="AUTOMATE",IFERROR(AM329*A329,""),""))</f>
        <v>0</v>
      </c>
    </row>
    <row r="330" spans="1:48">
      <c r="C330" s="237" t="s">
        <v>2759</v>
      </c>
      <c r="D330" s="267">
        <v>57.79</v>
      </c>
      <c r="E330" s="267">
        <v>54.432000000000002</v>
      </c>
      <c r="F330" s="238">
        <f t="shared" si="67"/>
        <v>47.40771123872026</v>
      </c>
      <c r="G330" s="238">
        <f>IFERROR(ROUNDUP(F330*'Customer Base'!$J$5,2),0)</f>
        <v>758.53</v>
      </c>
      <c r="H330" s="238">
        <f t="shared" si="68"/>
        <v>44.652994257588183</v>
      </c>
      <c r="I330" s="238">
        <f>IFERROR(ROUNDUP(H330*'Customer Base'!$J$5,2),0)</f>
        <v>714.45</v>
      </c>
      <c r="J330" s="103" t="str">
        <f t="shared" si="62"/>
        <v/>
      </c>
      <c r="L330" s="103" t="str">
        <f t="shared" si="63"/>
        <v/>
      </c>
      <c r="N330" s="103">
        <v>329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Base'!D$19="Lithium",MAX(SUMPRODUCT(A$6:A$132,AW$6:AW$132),('Customer Base'!D15*'Customer Base'!D14*1000/'Customer Base'!D8))&gt;150,MAX(SUMPRODUCT(A$6:A$132,AW$6:AW$132),('Customer Base'!D15*'Customer Base'!D14*1000/'Customer Base'!D8))&lt;=250),2,"")</f>
        <v/>
      </c>
      <c r="B331" s="270" t="s">
        <v>1</v>
      </c>
      <c r="C331" s="237" t="s">
        <v>2760</v>
      </c>
      <c r="D331" s="267">
        <v>62.3</v>
      </c>
      <c r="E331" s="267">
        <v>58.676000000000002</v>
      </c>
      <c r="F331" s="238">
        <f t="shared" si="67"/>
        <v>51.107465135356847</v>
      </c>
      <c r="G331" s="238">
        <f>IFERROR(ROUNDUP(F331*'Customer Base'!$J$5,2),0)</f>
        <v>817.72</v>
      </c>
      <c r="H331" s="238">
        <f t="shared" si="68"/>
        <v>48.134536505332235</v>
      </c>
      <c r="I331" s="238">
        <f>IFERROR(ROUNDUP(H331*'Customer Base'!$J$5,2),0)</f>
        <v>770.16</v>
      </c>
      <c r="J331" s="103" t="str">
        <f t="shared" si="62"/>
        <v/>
      </c>
      <c r="L331" s="103" t="str">
        <f t="shared" si="63"/>
        <v/>
      </c>
      <c r="N331" s="103">
        <v>330</v>
      </c>
      <c r="O331" s="103" t="str">
        <f>IF('Customer Base'!$I$15="MANUAL",IF(B331&lt;&gt;"",C331,""),IF('Customer Base'!$I$15="AUTOMATE",IF(A331&lt;&gt;"",C331,""),""))</f>
        <v/>
      </c>
      <c r="AO331" s="103" t="str">
        <f>IF('Customer Base'!$I$15="MANUAL",IFERROR(AM331*B331,""),IF('Customer Base'!$I$15="AUTOMATE",IFERROR(AM331*A331,""),""))</f>
        <v/>
      </c>
    </row>
    <row r="332" spans="1:48">
      <c r="C332" s="237" t="s">
        <v>999</v>
      </c>
      <c r="D332" s="267">
        <v>131.84</v>
      </c>
      <c r="E332" s="267">
        <v>124.173</v>
      </c>
      <c r="F332" s="238">
        <f t="shared" si="67"/>
        <v>108.15422477440525</v>
      </c>
      <c r="G332" s="238">
        <f>IFERROR(ROUNDUP(F332*'Customer Base'!$J$5,2),0)</f>
        <v>1730.47</v>
      </c>
      <c r="H332" s="238">
        <f t="shared" si="68"/>
        <v>101.86464315012304</v>
      </c>
      <c r="I332" s="238">
        <f>IFERROR(ROUNDUP(H332*'Customer Base'!$J$5,2),0)</f>
        <v>1629.84</v>
      </c>
      <c r="J332" s="103" t="str">
        <f t="shared" si="62"/>
        <v/>
      </c>
      <c r="L332" s="103" t="str">
        <f t="shared" si="63"/>
        <v/>
      </c>
      <c r="N332" s="103">
        <v>331</v>
      </c>
      <c r="O332" s="103" t="str">
        <f>IF('Customer Base'!$I$15="MANUAL",IF(B332&lt;&gt;"",C332,""),IF('Customer Base'!$I$15="AUTOMATE",IF(A332&lt;&gt;"",C332,""),""))</f>
        <v/>
      </c>
      <c r="AO332" s="103">
        <f>IF('Customer Base'!$I$15="MANUAL",IFERROR(AM332*B332,""),IF('Customer Base'!$I$15="AUTOMATE",IFERROR(AM332*A332,""),""))</f>
        <v>0</v>
      </c>
      <c r="AV332" s="103">
        <f t="shared" si="64"/>
        <v>0</v>
      </c>
    </row>
    <row r="333" spans="1:48">
      <c r="A333" s="103" t="str">
        <f>IF(AND('Customer Base'!D$19="Lithium",MAX(SUMPRODUCT(A$6:A$132,AW$6:AW$132),('Customer Base'!D15*'Customer Base'!D14*1000/'Customer Base'!D8))&gt;250,MAX(SUMPRODUCT(A$6:A$132,AW$6:AW$132),('Customer Base'!D15*'Customer Base'!D14*1000/'Customer Base'!D8))&lt;=600),2,"")</f>
        <v/>
      </c>
      <c r="B333" s="270">
        <v>2</v>
      </c>
      <c r="C333" s="237" t="s">
        <v>1000</v>
      </c>
      <c r="D333" s="267">
        <v>204.99</v>
      </c>
      <c r="E333" s="267">
        <v>193.072</v>
      </c>
      <c r="F333" s="238">
        <f t="shared" si="67"/>
        <v>168.16242821985233</v>
      </c>
      <c r="G333" s="238">
        <f>IFERROR(ROUNDUP(F333*'Customer Base'!$J$5,2),0)</f>
        <v>2690.6000000000004</v>
      </c>
      <c r="H333" s="238">
        <f t="shared" si="68"/>
        <v>158.38556193601312</v>
      </c>
      <c r="I333" s="238">
        <f>IFERROR(ROUNDUP(H333*'Customer Base'!$J$5,2),0)</f>
        <v>2534.17</v>
      </c>
      <c r="J333" s="103" t="str">
        <f t="shared" si="62"/>
        <v/>
      </c>
      <c r="L333" s="103" t="str">
        <f t="shared" si="63"/>
        <v/>
      </c>
      <c r="N333" s="103">
        <v>332</v>
      </c>
      <c r="O333" s="103" t="str">
        <f>IF('Customer Base'!$I$15="MANUAL",IF(B333&lt;&gt;"",C333,""),IF('Customer Base'!$I$15="AUTOMATE",IF(A333&lt;&gt;"",C333,""),""))</f>
        <v/>
      </c>
      <c r="AO333" s="103" t="str">
        <f>IF('Customer Base'!$I$15="MANUAL",IFERROR(AM333*B333,""),IF('Customer Base'!$I$15="AUTOMATE",IFERROR(AM333*A333,""),""))</f>
        <v/>
      </c>
      <c r="AV333" s="103">
        <f t="shared" si="64"/>
        <v>0</v>
      </c>
    </row>
    <row r="334" spans="1:48">
      <c r="C334" s="237" t="s">
        <v>1063</v>
      </c>
      <c r="D334" s="267">
        <v>35.229999999999997</v>
      </c>
      <c r="E334" s="267">
        <v>33.177999999999997</v>
      </c>
      <c r="F334" s="238">
        <f t="shared" si="67"/>
        <v>28.900738310090233</v>
      </c>
      <c r="G334" s="238">
        <f>IFERROR(ROUNDUP(F334*'Customer Base'!$J$5,2),0)</f>
        <v>462.42</v>
      </c>
      <c r="H334" s="238">
        <f t="shared" si="68"/>
        <v>27.217391304347821</v>
      </c>
      <c r="I334" s="238">
        <f>IFERROR(ROUNDUP(H334*'Customer Base'!$J$5,2),0)</f>
        <v>435.48</v>
      </c>
      <c r="J334" s="103" t="str">
        <f t="shared" si="62"/>
        <v/>
      </c>
      <c r="L334" s="103" t="str">
        <f t="shared" si="63"/>
        <v/>
      </c>
      <c r="N334" s="103">
        <v>333</v>
      </c>
      <c r="O334" s="103" t="str">
        <f>IF('Customer Base'!$I$15="MANUAL",IF(B334&lt;&gt;"",C334,""),IF('Customer Base'!$I$15="AUTOMATE",IF(A334&lt;&gt;"",C334,""),""))</f>
        <v/>
      </c>
      <c r="AO334" s="103">
        <f>IF('Customer Base'!$I$15="MANUAL",IFERROR(AM334*B334,""),IF('Customer Base'!$I$15="AUTOMATE",IFERROR(AM334*A334,""),""))</f>
        <v>0</v>
      </c>
      <c r="AV334" s="103">
        <f t="shared" si="64"/>
        <v>0</v>
      </c>
    </row>
    <row r="335" spans="1:48">
      <c r="D335" s="319"/>
      <c r="E335" s="319"/>
      <c r="F335" s="224">
        <f t="shared" si="67"/>
        <v>0</v>
      </c>
      <c r="G335" s="224">
        <f>IFERROR(ROUNDUP(F335*'Customer Base'!$J$5,2),0)</f>
        <v>0</v>
      </c>
      <c r="H335" s="224">
        <f t="shared" si="68"/>
        <v>0</v>
      </c>
      <c r="I335" s="224">
        <f>IFERROR(ROUNDUP(H335*'Customer Base'!$J$5,2),0)</f>
        <v>0</v>
      </c>
      <c r="J335" s="103" t="str">
        <f t="shared" si="62"/>
        <v/>
      </c>
      <c r="L335" s="103" t="str">
        <f t="shared" si="63"/>
        <v/>
      </c>
      <c r="N335" s="103">
        <v>334</v>
      </c>
      <c r="O335" s="103" t="str">
        <f>IF('Customer Base'!$I$15="MANUAL",IF(B335&lt;&gt;"",C335,""),IF('Customer Base'!$I$15="AUTOMATE",IF(A335&lt;&gt;"",C335,""),""))</f>
        <v/>
      </c>
      <c r="AO335" s="103">
        <f>IF('Customer Base'!$I$15="MANUAL",IFERROR(AM335*B335,""),IF('Customer Base'!$I$15="AUTOMATE",IFERROR(AM335*A335,""),""))</f>
        <v>0</v>
      </c>
      <c r="AV335" s="103">
        <f t="shared" si="64"/>
        <v>0</v>
      </c>
    </row>
    <row r="336" spans="1:48">
      <c r="A336" s="103">
        <f ca="1">IFERROR(IF(AND(AND('Customer Base'!D$13="Victron",'Customer Base'!D14&lt;&gt;6),'Customer Base'!D$7&lt;&gt;"Backup",'Client List'!$EE$474&lt;&gt;""),IF(IF('Client List'!IM474=2,'Client List'!IK474,0)+IF('Client List'!EE474=2,'Client List'!EC474,0)=0,"",IF('Client List'!IM474=2,'Client List'!IK474,0)+IF('Client List'!EE474=2,'Client List'!EC474,0)),""),"")</f>
        <v>1</v>
      </c>
      <c r="B336" s="270" t="s">
        <v>1</v>
      </c>
      <c r="C336" s="237" t="s">
        <v>1043</v>
      </c>
      <c r="D336" s="267">
        <v>120.4</v>
      </c>
      <c r="E336" s="267">
        <v>113.4</v>
      </c>
      <c r="F336" s="238">
        <f t="shared" si="67"/>
        <v>98.769483182936838</v>
      </c>
      <c r="G336" s="238">
        <f>IFERROR(ROUNDUP(F336*'Customer Base'!$J$5,2),0)</f>
        <v>1580.32</v>
      </c>
      <c r="H336" s="238">
        <f t="shared" si="68"/>
        <v>93.027071369975388</v>
      </c>
      <c r="I336" s="238">
        <f>IFERROR(ROUNDUP(H336*'Customer Base'!$J$5,2),0)</f>
        <v>1488.44</v>
      </c>
      <c r="J336" s="103" t="str">
        <f t="shared" si="62"/>
        <v/>
      </c>
      <c r="L336" s="103" t="str">
        <f t="shared" si="63"/>
        <v/>
      </c>
      <c r="N336" s="103">
        <v>335</v>
      </c>
      <c r="O336" s="103" t="str">
        <f ca="1">IF('Customer Base'!$I$15="MANUAL",IF(B336&lt;&gt;"",C336,""),IF('Customer Base'!$I$15="AUTOMATE",IF(A336&lt;&gt;"",C336,""),""))</f>
        <v>Solar DC Combiner BHS 2/1</v>
      </c>
      <c r="AO336" s="103">
        <f ca="1">IF('Customer Base'!$I$15="MANUAL",IFERROR(AM336*B336,""),IF('Customer Base'!$I$15="AUTOMATE",IFERROR(AM336*A336,""),""))</f>
        <v>0</v>
      </c>
      <c r="AV336" s="103">
        <f t="shared" si="64"/>
        <v>0</v>
      </c>
    </row>
    <row r="337" spans="1:48">
      <c r="A337" s="103">
        <f ca="1">IFERROR(IF(AND(AND('Customer Base'!D$13="Victron",'Customer Base'!D14&lt;&gt;6),'Customer Base'!D$7&lt;&gt;"Backup",'Client List'!$EE$474&lt;&gt;""),IF(IF('Client List'!IM474=3,'Client List'!IK474,0)+IF('Client List'!EE474=3,'Client List'!EC474,0)=0,"",IF('Client List'!IM474=3,'Client List'!IK474,0)+IF('Client List'!EE474=3,'Client List'!EC474,0)),""),"")</f>
        <v>4</v>
      </c>
      <c r="B337" s="270">
        <v>8</v>
      </c>
      <c r="C337" s="237" t="s">
        <v>1044</v>
      </c>
      <c r="D337" s="267">
        <v>126.42</v>
      </c>
      <c r="E337" s="267">
        <v>119.07</v>
      </c>
      <c r="F337" s="238">
        <f t="shared" si="67"/>
        <v>103.70795734208367</v>
      </c>
      <c r="G337" s="238">
        <f>IFERROR(ROUNDUP(F337*'Customer Base'!$J$5,2),0)</f>
        <v>1659.33</v>
      </c>
      <c r="H337" s="238">
        <f t="shared" si="68"/>
        <v>97.678424938474151</v>
      </c>
      <c r="I337" s="238">
        <f>IFERROR(ROUNDUP(H337*'Customer Base'!$J$5,2),0)</f>
        <v>1562.86</v>
      </c>
      <c r="J337" s="103" t="str">
        <f t="shared" si="62"/>
        <v/>
      </c>
      <c r="L337" s="103" t="str">
        <f t="shared" si="63"/>
        <v/>
      </c>
      <c r="N337" s="103">
        <v>336</v>
      </c>
      <c r="O337" s="103" t="str">
        <f ca="1">IF('Customer Base'!$I$15="MANUAL",IF(B337&lt;&gt;"",C337,""),IF('Customer Base'!$I$15="AUTOMATE",IF(A337&lt;&gt;"",C337,""),""))</f>
        <v>Solar DC Combiner BHS 3/1</v>
      </c>
      <c r="AO337" s="103">
        <f ca="1">IF('Customer Base'!$I$15="MANUAL",IFERROR(AM337*B337,""),IF('Customer Base'!$I$15="AUTOMATE",IFERROR(AM337*A337,""),""))</f>
        <v>0</v>
      </c>
      <c r="AV337" s="103">
        <f t="shared" si="64"/>
        <v>0</v>
      </c>
    </row>
    <row r="338" spans="1:48">
      <c r="A338" s="103" t="str">
        <f ca="1">IFERROR(IF(AND(AND('Customer Base'!D$13="Victron",'Customer Base'!D14&lt;&gt;6),'Customer Base'!D$7&lt;&gt;"Backup",'Client List'!$EE$474&lt;&gt;""),IF(IF('Client List'!IM474=4,'Client List'!IK474,0)+IF('Client List'!EE474=4,'Client List'!EC474,0)=0,"",IF('Client List'!IM474=4,'Client List'!IK474,0)+IF('Client List'!EE474=4,'Client List'!EC474,0)),""),"")</f>
        <v/>
      </c>
      <c r="B338" s="270" t="s">
        <v>1</v>
      </c>
      <c r="C338" s="237" t="s">
        <v>1045</v>
      </c>
      <c r="D338" s="267">
        <v>163.4</v>
      </c>
      <c r="E338" s="267">
        <v>153.9</v>
      </c>
      <c r="F338" s="238">
        <f t="shared" si="67"/>
        <v>134.04429860541427</v>
      </c>
      <c r="G338" s="238">
        <f>IFERROR(ROUNDUP(F338*'Customer Base'!$J$5,2),0)</f>
        <v>2144.71</v>
      </c>
      <c r="H338" s="238">
        <f t="shared" si="68"/>
        <v>126.25102543068088</v>
      </c>
      <c r="I338" s="238">
        <f>IFERROR(ROUNDUP(H338*'Customer Base'!$J$5,2),0)</f>
        <v>2020.02</v>
      </c>
      <c r="J338" s="103" t="str">
        <f t="shared" ref="J338:J401" si="69">IF(D338&lt;&gt;"",IF(D338&lt;E338,"lkdfjk",""),"")</f>
        <v/>
      </c>
      <c r="L338" s="103" t="str">
        <f t="shared" ref="L338:L401" si="70">IF(H338&gt;F338,"lkkajdfkj","")</f>
        <v/>
      </c>
      <c r="N338" s="103">
        <v>337</v>
      </c>
      <c r="O338" s="103" t="str">
        <f ca="1">IF('Customer Base'!$I$15="MANUAL",IF(B338&lt;&gt;"",C338,""),IF('Customer Base'!$I$15="AUTOMATE",IF(A338&lt;&gt;"",C338,""),""))</f>
        <v/>
      </c>
      <c r="AO338" s="103" t="str">
        <f ca="1">IF('Customer Base'!$I$15="MANUAL",IFERROR(AM338*B338,""),IF('Customer Base'!$I$15="AUTOMATE",IFERROR(AM338*A338,""),""))</f>
        <v/>
      </c>
      <c r="AV338" s="103">
        <f t="shared" si="64"/>
        <v>0</v>
      </c>
    </row>
    <row r="339" spans="1:48">
      <c r="C339" s="237" t="s">
        <v>1046</v>
      </c>
      <c r="D339" s="267">
        <v>206.4</v>
      </c>
      <c r="E339" s="267">
        <v>194.4</v>
      </c>
      <c r="F339" s="238">
        <f t="shared" si="67"/>
        <v>169.31911402789171</v>
      </c>
      <c r="G339" s="238">
        <f>IFERROR(ROUNDUP(F339*'Customer Base'!$J$5,2),0)</f>
        <v>2709.11</v>
      </c>
      <c r="H339" s="238">
        <f t="shared" si="68"/>
        <v>159.47497949138636</v>
      </c>
      <c r="I339" s="238">
        <f>IFERROR(ROUNDUP(H339*'Customer Base'!$J$5,2),0)</f>
        <v>2551.6000000000004</v>
      </c>
      <c r="J339" s="103" t="str">
        <f t="shared" si="69"/>
        <v/>
      </c>
      <c r="L339" s="103" t="str">
        <f t="shared" si="70"/>
        <v/>
      </c>
      <c r="N339" s="103">
        <v>338</v>
      </c>
      <c r="O339" s="103" t="str">
        <f>IF('Customer Base'!$I$15="MANUAL",IF(B339&lt;&gt;"",C339,""),IF('Customer Base'!$I$15="AUTOMATE",IF(A339&lt;&gt;"",C339,""),""))</f>
        <v/>
      </c>
      <c r="AO339" s="103">
        <f>IF('Customer Base'!$I$15="MANUAL",IFERROR(AM339*B339,""),IF('Customer Base'!$I$15="AUTOMATE",IFERROR(AM339*A339,""),""))</f>
        <v>0</v>
      </c>
      <c r="AV339" s="103">
        <f t="shared" ref="AV339:AV400" si="71">IF(AU339&lt;&gt;"",AU339,AT339)</f>
        <v>0</v>
      </c>
    </row>
    <row r="340" spans="1:48">
      <c r="C340" s="237" t="s">
        <v>1047</v>
      </c>
      <c r="D340" s="267">
        <v>240.8</v>
      </c>
      <c r="E340" s="267">
        <v>226.8</v>
      </c>
      <c r="F340" s="238">
        <f t="shared" si="67"/>
        <v>197.53896636587368</v>
      </c>
      <c r="G340" s="238">
        <f>IFERROR(ROUNDUP(F340*'Customer Base'!$J$5,2),0)</f>
        <v>3160.63</v>
      </c>
      <c r="H340" s="238">
        <f t="shared" si="68"/>
        <v>186.05414273995078</v>
      </c>
      <c r="I340" s="238">
        <f>IFERROR(ROUNDUP(H340*'Customer Base'!$J$5,2),0)</f>
        <v>2976.8700000000003</v>
      </c>
      <c r="J340" s="103" t="str">
        <f t="shared" si="69"/>
        <v/>
      </c>
      <c r="L340" s="103" t="str">
        <f t="shared" si="70"/>
        <v/>
      </c>
      <c r="N340" s="103">
        <v>339</v>
      </c>
      <c r="O340" s="103" t="str">
        <f>IF('Customer Base'!$I$15="MANUAL",IF(B340&lt;&gt;"",C340,""),IF('Customer Base'!$I$15="AUTOMATE",IF(A340&lt;&gt;"",C340,""),""))</f>
        <v/>
      </c>
      <c r="AO340" s="103">
        <f>IF('Customer Base'!$I$15="MANUAL",IFERROR(AM340*B340,""),IF('Customer Base'!$I$15="AUTOMATE",IFERROR(AM340*A340,""),""))</f>
        <v>0</v>
      </c>
      <c r="AV340" s="103">
        <f t="shared" si="71"/>
        <v>0</v>
      </c>
    </row>
    <row r="341" spans="1:48">
      <c r="C341" s="237" t="s">
        <v>1048</v>
      </c>
      <c r="D341" s="267">
        <v>239.08</v>
      </c>
      <c r="E341" s="267">
        <v>225.18</v>
      </c>
      <c r="F341" s="238">
        <f t="shared" si="67"/>
        <v>196.12797374897457</v>
      </c>
      <c r="G341" s="238">
        <f>IFERROR(ROUNDUP(F341*'Customer Base'!$J$5,2),0)</f>
        <v>3138.05</v>
      </c>
      <c r="H341" s="238">
        <f t="shared" si="68"/>
        <v>184.72518457752255</v>
      </c>
      <c r="I341" s="238">
        <f>IFERROR(ROUNDUP(H341*'Customer Base'!$J$5,2),0)</f>
        <v>2955.61</v>
      </c>
      <c r="J341" s="103" t="str">
        <f t="shared" si="69"/>
        <v/>
      </c>
      <c r="L341" s="103" t="str">
        <f t="shared" si="70"/>
        <v/>
      </c>
      <c r="N341" s="103">
        <v>340</v>
      </c>
      <c r="O341" s="103" t="str">
        <f>IF('Customer Base'!$I$15="MANUAL",IF(B341&lt;&gt;"",C341,""),IF('Customer Base'!$I$15="AUTOMATE",IF(A341&lt;&gt;"",C341,""),""))</f>
        <v/>
      </c>
      <c r="AO341" s="103">
        <f>IF('Customer Base'!$I$15="MANUAL",IFERROR(AM341*B341,""),IF('Customer Base'!$I$15="AUTOMATE",IFERROR(AM341*A341,""),""))</f>
        <v>0</v>
      </c>
      <c r="AV341" s="103">
        <f t="shared" si="71"/>
        <v>0</v>
      </c>
    </row>
    <row r="342" spans="1:48">
      <c r="C342" s="237" t="s">
        <v>1049</v>
      </c>
      <c r="D342" s="267">
        <v>233.92</v>
      </c>
      <c r="E342" s="267">
        <v>220.32</v>
      </c>
      <c r="F342" s="238">
        <f t="shared" si="67"/>
        <v>191.89499589827724</v>
      </c>
      <c r="G342" s="238">
        <f>IFERROR(ROUNDUP(F342*'Customer Base'!$J$5,2),0)</f>
        <v>3070.32</v>
      </c>
      <c r="H342" s="238">
        <f t="shared" si="68"/>
        <v>180.73831009023789</v>
      </c>
      <c r="I342" s="238">
        <f>IFERROR(ROUNDUP(H342*'Customer Base'!$J$5,2),0)</f>
        <v>2891.82</v>
      </c>
      <c r="J342" s="103" t="str">
        <f t="shared" si="69"/>
        <v/>
      </c>
      <c r="L342" s="103" t="str">
        <f t="shared" si="70"/>
        <v/>
      </c>
      <c r="N342" s="103">
        <v>341</v>
      </c>
      <c r="O342" s="103" t="str">
        <f>IF('Customer Base'!$I$15="MANUAL",IF(B342&lt;&gt;"",C342,""),IF('Customer Base'!$I$15="AUTOMATE",IF(A342&lt;&gt;"",C342,""),""))</f>
        <v/>
      </c>
      <c r="AO342" s="103">
        <f>IF('Customer Base'!$I$15="MANUAL",IFERROR(AM342*B342,""),IF('Customer Base'!$I$15="AUTOMATE",IFERROR(AM342*A342,""),""))</f>
        <v>0</v>
      </c>
      <c r="AV342" s="103">
        <f t="shared" si="71"/>
        <v>0</v>
      </c>
    </row>
    <row r="343" spans="1:48">
      <c r="C343" s="237" t="s">
        <v>1050</v>
      </c>
      <c r="D343" s="267">
        <v>460.96</v>
      </c>
      <c r="E343" s="267">
        <v>434.16</v>
      </c>
      <c r="F343" s="238">
        <f t="shared" si="67"/>
        <v>378.14602132895811</v>
      </c>
      <c r="G343" s="238">
        <f>IFERROR(ROUNDUP(F343*'Customer Base'!$J$5,2),0)</f>
        <v>6050.34</v>
      </c>
      <c r="H343" s="238">
        <f t="shared" si="68"/>
        <v>356.16078753076289</v>
      </c>
      <c r="I343" s="238">
        <f>IFERROR(ROUNDUP(H343*'Customer Base'!$J$5,2),0)</f>
        <v>5698.58</v>
      </c>
      <c r="J343" s="103" t="str">
        <f t="shared" si="69"/>
        <v/>
      </c>
      <c r="L343" s="103" t="str">
        <f t="shared" si="70"/>
        <v/>
      </c>
      <c r="N343" s="103">
        <v>342</v>
      </c>
      <c r="O343" s="103" t="str">
        <f>IF('Customer Base'!$I$15="MANUAL",IF(B343&lt;&gt;"",C343,""),IF('Customer Base'!$I$15="AUTOMATE",IF(A343&lt;&gt;"",C343,""),""))</f>
        <v/>
      </c>
      <c r="AO343" s="103">
        <f>IF('Customer Base'!$I$15="MANUAL",IFERROR(AM343*B343,""),IF('Customer Base'!$I$15="AUTOMATE",IFERROR(AM343*A343,""),""))</f>
        <v>0</v>
      </c>
      <c r="AV343" s="103">
        <f t="shared" si="71"/>
        <v>0</v>
      </c>
    </row>
    <row r="344" spans="1:48">
      <c r="D344" s="319"/>
      <c r="E344" s="319"/>
      <c r="F344" s="224">
        <f t="shared" si="67"/>
        <v>0</v>
      </c>
      <c r="G344" s="224">
        <f>IFERROR(ROUNDUP(F344*'Customer Base'!$J$5,2),0)</f>
        <v>0</v>
      </c>
      <c r="H344" s="224">
        <f t="shared" si="68"/>
        <v>0</v>
      </c>
      <c r="I344" s="224">
        <f>IFERROR(ROUNDUP(H344*'Customer Base'!$J$5,2),0)</f>
        <v>0</v>
      </c>
      <c r="J344" s="103" t="str">
        <f t="shared" si="69"/>
        <v/>
      </c>
      <c r="L344" s="103" t="str">
        <f t="shared" si="70"/>
        <v/>
      </c>
      <c r="N344" s="103">
        <v>343</v>
      </c>
      <c r="O344" s="103" t="str">
        <f>IF('Customer Base'!$I$15="MANUAL",IF(B344&lt;&gt;"",C344,""),IF('Customer Base'!$I$15="AUTOMATE",IF(A344&lt;&gt;"",C344,""),""))</f>
        <v/>
      </c>
      <c r="AO344" s="103">
        <f>IF('Customer Base'!$I$15="MANUAL",IFERROR(AM344*B344,""),IF('Customer Base'!$I$15="AUTOMATE",IFERROR(AM344*A344,""),""))</f>
        <v>0</v>
      </c>
      <c r="AV344" s="103">
        <f t="shared" si="71"/>
        <v>0</v>
      </c>
    </row>
    <row r="345" spans="1:48">
      <c r="C345" s="237" t="s">
        <v>1051</v>
      </c>
      <c r="D345" s="267">
        <v>344</v>
      </c>
      <c r="E345" s="267">
        <v>324</v>
      </c>
      <c r="F345" s="238">
        <f t="shared" si="67"/>
        <v>282.19852337981951</v>
      </c>
      <c r="G345" s="238">
        <f>IFERROR(ROUNDUP(F345*'Customer Base'!$J$5,2),0)</f>
        <v>4515.18</v>
      </c>
      <c r="H345" s="238">
        <f t="shared" si="68"/>
        <v>265.79163248564396</v>
      </c>
      <c r="I345" s="238">
        <f>IFERROR(ROUNDUP(H345*'Customer Base'!$J$5,2),0)</f>
        <v>4252.67</v>
      </c>
      <c r="J345" s="103" t="str">
        <f t="shared" si="69"/>
        <v/>
      </c>
      <c r="L345" s="103" t="str">
        <f t="shared" si="70"/>
        <v/>
      </c>
      <c r="N345" s="103">
        <v>344</v>
      </c>
      <c r="O345" s="103" t="str">
        <f>IF('Customer Base'!$I$15="MANUAL",IF(B345&lt;&gt;"",C345,""),IF('Customer Base'!$I$15="AUTOMATE",IF(A345&lt;&gt;"",C345,""),""))</f>
        <v/>
      </c>
      <c r="AO345" s="103">
        <f>IF('Customer Base'!$I$15="MANUAL",IFERROR(AM345*B345,""),IF('Customer Base'!$I$15="AUTOMATE",IFERROR(AM345*A345,""),""))</f>
        <v>0</v>
      </c>
      <c r="AV345" s="103">
        <f t="shared" si="71"/>
        <v>0</v>
      </c>
    </row>
    <row r="346" spans="1:48">
      <c r="C346" s="237" t="s">
        <v>1052</v>
      </c>
      <c r="D346" s="267">
        <v>354.32</v>
      </c>
      <c r="E346" s="267">
        <v>333.72</v>
      </c>
      <c r="F346" s="238">
        <f t="shared" si="67"/>
        <v>290.6644790812141</v>
      </c>
      <c r="G346" s="238">
        <f>IFERROR(ROUNDUP(F346*'Customer Base'!$J$5,2),0)</f>
        <v>4650.6400000000003</v>
      </c>
      <c r="H346" s="238">
        <f t="shared" si="68"/>
        <v>273.76538146021329</v>
      </c>
      <c r="I346" s="238">
        <f>IFERROR(ROUNDUP(H346*'Customer Base'!$J$5,2),0)</f>
        <v>4380.25</v>
      </c>
      <c r="J346" s="103" t="str">
        <f t="shared" si="69"/>
        <v/>
      </c>
      <c r="L346" s="103" t="str">
        <f t="shared" si="70"/>
        <v/>
      </c>
      <c r="N346" s="103">
        <v>345</v>
      </c>
      <c r="O346" s="103" t="str">
        <f>IF('Customer Base'!$I$15="MANUAL",IF(B346&lt;&gt;"",C346,""),IF('Customer Base'!$I$15="AUTOMATE",IF(A346&lt;&gt;"",C346,""),""))</f>
        <v/>
      </c>
      <c r="AO346" s="103">
        <f>IF('Customer Base'!$I$15="MANUAL",IFERROR(AM346*B346,""),IF('Customer Base'!$I$15="AUTOMATE",IFERROR(AM346*A346,""),""))</f>
        <v>0</v>
      </c>
      <c r="AV346" s="103">
        <f t="shared" si="71"/>
        <v>0</v>
      </c>
    </row>
    <row r="347" spans="1:48">
      <c r="C347" s="237" t="s">
        <v>1053</v>
      </c>
      <c r="D347" s="267">
        <v>393.88</v>
      </c>
      <c r="E347" s="267">
        <v>370.98</v>
      </c>
      <c r="F347" s="238">
        <f t="shared" si="67"/>
        <v>323.11730926989333</v>
      </c>
      <c r="G347" s="238">
        <f>IFERROR(ROUNDUP(F347*'Customer Base'!$J$5,2),0)</f>
        <v>5169.88</v>
      </c>
      <c r="H347" s="238">
        <f t="shared" si="68"/>
        <v>304.33141919606231</v>
      </c>
      <c r="I347" s="238">
        <f>IFERROR(ROUNDUP(H347*'Customer Base'!$J$5,2),0)</f>
        <v>4869.3100000000004</v>
      </c>
      <c r="J347" s="103" t="str">
        <f t="shared" si="69"/>
        <v/>
      </c>
      <c r="L347" s="103" t="str">
        <f t="shared" si="70"/>
        <v/>
      </c>
      <c r="N347" s="103">
        <v>346</v>
      </c>
      <c r="O347" s="103" t="str">
        <f>IF('Customer Base'!$I$15="MANUAL",IF(B347&lt;&gt;"",C347,""),IF('Customer Base'!$I$15="AUTOMATE",IF(A347&lt;&gt;"",C347,""),""))</f>
        <v/>
      </c>
      <c r="AO347" s="103">
        <f>IF('Customer Base'!$I$15="MANUAL",IFERROR(AM347*B347,""),IF('Customer Base'!$I$15="AUTOMATE",IFERROR(AM347*A347,""),""))</f>
        <v>0</v>
      </c>
      <c r="AV347" s="103">
        <f t="shared" si="71"/>
        <v>0</v>
      </c>
    </row>
    <row r="348" spans="1:48">
      <c r="C348" s="237" t="s">
        <v>1054</v>
      </c>
      <c r="D348" s="267">
        <v>474.72</v>
      </c>
      <c r="E348" s="267">
        <v>447.12</v>
      </c>
      <c r="F348" s="238">
        <f t="shared" si="67"/>
        <v>389.43396226415092</v>
      </c>
      <c r="G348" s="238">
        <f>IFERROR(ROUNDUP(F348*'Customer Base'!$J$5,2),0)</f>
        <v>6230.95</v>
      </c>
      <c r="H348" s="238">
        <f t="shared" si="68"/>
        <v>366.79245283018867</v>
      </c>
      <c r="I348" s="238">
        <f>IFERROR(ROUNDUP(H348*'Customer Base'!$J$5,2),0)</f>
        <v>5868.68</v>
      </c>
      <c r="J348" s="103" t="str">
        <f t="shared" si="69"/>
        <v/>
      </c>
      <c r="L348" s="103" t="str">
        <f t="shared" si="70"/>
        <v/>
      </c>
      <c r="N348" s="103">
        <v>347</v>
      </c>
      <c r="O348" s="103" t="str">
        <f>IF('Customer Base'!$I$15="MANUAL",IF(B348&lt;&gt;"",C348,""),IF('Customer Base'!$I$15="AUTOMATE",IF(A348&lt;&gt;"",C348,""),""))</f>
        <v/>
      </c>
      <c r="AO348" s="103">
        <f>IF('Customer Base'!$I$15="MANUAL",IFERROR(AM348*B348,""),IF('Customer Base'!$I$15="AUTOMATE",IFERROR(AM348*A348,""),""))</f>
        <v>0</v>
      </c>
      <c r="AV348" s="103">
        <f t="shared" si="71"/>
        <v>0</v>
      </c>
    </row>
    <row r="349" spans="1:48">
      <c r="C349" s="237" t="s">
        <v>1055</v>
      </c>
      <c r="D349" s="267">
        <v>1948.76</v>
      </c>
      <c r="E349" s="267">
        <v>1835.46</v>
      </c>
      <c r="F349" s="238">
        <f t="shared" si="67"/>
        <v>1598.6546349466776</v>
      </c>
      <c r="G349" s="238">
        <f>IFERROR(ROUNDUP(F349*'Customer Base'!$J$5,2),0)</f>
        <v>25578.48</v>
      </c>
      <c r="H349" s="238">
        <f t="shared" si="68"/>
        <v>1505.7095980311731</v>
      </c>
      <c r="I349" s="238">
        <f>IFERROR(ROUNDUP(H349*'Customer Base'!$J$5,2),0)</f>
        <v>24091.359999999997</v>
      </c>
      <c r="J349" s="103" t="str">
        <f t="shared" si="69"/>
        <v/>
      </c>
      <c r="L349" s="103" t="str">
        <f t="shared" si="70"/>
        <v/>
      </c>
      <c r="N349" s="103">
        <v>348</v>
      </c>
      <c r="O349" s="103" t="str">
        <f>IF('Customer Base'!$I$15="MANUAL",IF(B349&lt;&gt;"",C349,""),IF('Customer Base'!$I$15="AUTOMATE",IF(A349&lt;&gt;"",C349,""),""))</f>
        <v/>
      </c>
      <c r="AO349" s="103">
        <f>IF('Customer Base'!$I$15="MANUAL",IFERROR(AM349*B349,""),IF('Customer Base'!$I$15="AUTOMATE",IFERROR(AM349*A349,""),""))</f>
        <v>0</v>
      </c>
      <c r="AV349" s="103">
        <f t="shared" si="71"/>
        <v>0</v>
      </c>
    </row>
    <row r="350" spans="1:48">
      <c r="C350" s="237" t="s">
        <v>1056</v>
      </c>
      <c r="D350" s="267">
        <v>1345.04</v>
      </c>
      <c r="E350" s="267">
        <v>1266.8399999999999</v>
      </c>
      <c r="F350" s="238">
        <f t="shared" si="67"/>
        <v>1103.3962264150941</v>
      </c>
      <c r="G350" s="238">
        <f>IFERROR(ROUNDUP(F350*'Customer Base'!$J$5,2),0)</f>
        <v>17654.34</v>
      </c>
      <c r="H350" s="238">
        <f t="shared" si="68"/>
        <v>1039.2452830188679</v>
      </c>
      <c r="I350" s="238">
        <f>IFERROR(ROUNDUP(H350*'Customer Base'!$J$5,2),0)</f>
        <v>16627.929999999997</v>
      </c>
      <c r="J350" s="103" t="str">
        <f t="shared" si="69"/>
        <v/>
      </c>
      <c r="L350" s="103" t="str">
        <f t="shared" si="70"/>
        <v/>
      </c>
      <c r="N350" s="103">
        <v>349</v>
      </c>
      <c r="O350" s="103" t="str">
        <f>IF('Customer Base'!$I$15="MANUAL",IF(B350&lt;&gt;"",C350,""),IF('Customer Base'!$I$15="AUTOMATE",IF(A350&lt;&gt;"",C350,""),""))</f>
        <v/>
      </c>
      <c r="AO350" s="103">
        <f>IF('Customer Base'!$I$15="MANUAL",IFERROR(AM350*B350,""),IF('Customer Base'!$I$15="AUTOMATE",IFERROR(AM350*A350,""),""))</f>
        <v>0</v>
      </c>
      <c r="AV350" s="103">
        <f t="shared" si="71"/>
        <v>0</v>
      </c>
    </row>
    <row r="351" spans="1:48">
      <c r="C351" s="237" t="s">
        <v>1057</v>
      </c>
      <c r="D351" s="267">
        <v>1376</v>
      </c>
      <c r="E351" s="267">
        <v>1296</v>
      </c>
      <c r="F351" s="238">
        <f t="shared" si="67"/>
        <v>1128.794093519278</v>
      </c>
      <c r="G351" s="238">
        <f>IFERROR(ROUNDUP(F351*'Customer Base'!$J$5,2),0)</f>
        <v>18060.71</v>
      </c>
      <c r="H351" s="238">
        <f t="shared" si="68"/>
        <v>1063.1665299425758</v>
      </c>
      <c r="I351" s="238">
        <f>IFERROR(ROUNDUP(H351*'Customer Base'!$J$5,2),0)</f>
        <v>17010.669999999998</v>
      </c>
      <c r="J351" s="103" t="str">
        <f t="shared" si="69"/>
        <v/>
      </c>
      <c r="L351" s="103" t="str">
        <f t="shared" si="70"/>
        <v/>
      </c>
      <c r="N351" s="103">
        <v>350</v>
      </c>
      <c r="O351" s="103" t="str">
        <f>IF('Customer Base'!$I$15="MANUAL",IF(B351&lt;&gt;"",C351,""),IF('Customer Base'!$I$15="AUTOMATE",IF(A351&lt;&gt;"",C351,""),""))</f>
        <v/>
      </c>
      <c r="AO351" s="103">
        <f>IF('Customer Base'!$I$15="MANUAL",IFERROR(AM351*B351,""),IF('Customer Base'!$I$15="AUTOMATE",IFERROR(AM351*A351,""),""))</f>
        <v>0</v>
      </c>
      <c r="AV351" s="103">
        <f t="shared" si="71"/>
        <v>0</v>
      </c>
    </row>
    <row r="352" spans="1:48">
      <c r="C352" s="237" t="s">
        <v>1058</v>
      </c>
      <c r="D352" s="267">
        <v>1869.64</v>
      </c>
      <c r="E352" s="267">
        <v>1760.94</v>
      </c>
      <c r="F352" s="238">
        <f t="shared" si="67"/>
        <v>1533.748974569319</v>
      </c>
      <c r="G352" s="238">
        <f>IFERROR(ROUNDUP(F352*'Customer Base'!$J$5,2),0)</f>
        <v>24539.989999999998</v>
      </c>
      <c r="H352" s="238">
        <f t="shared" si="68"/>
        <v>1444.577522559475</v>
      </c>
      <c r="I352" s="238">
        <f>IFERROR(ROUNDUP(H352*'Customer Base'!$J$5,2),0)</f>
        <v>23113.25</v>
      </c>
      <c r="J352" s="103" t="str">
        <f t="shared" si="69"/>
        <v/>
      </c>
      <c r="L352" s="103" t="str">
        <f t="shared" si="70"/>
        <v/>
      </c>
      <c r="N352" s="103">
        <v>351</v>
      </c>
      <c r="O352" s="103" t="str">
        <f>IF('Customer Base'!$I$15="MANUAL",IF(B352&lt;&gt;"",C352,""),IF('Customer Base'!$I$15="AUTOMATE",IF(A352&lt;&gt;"",C352,""),""))</f>
        <v/>
      </c>
      <c r="AO352" s="103">
        <f>IF('Customer Base'!$I$15="MANUAL",IFERROR(AM352*B352,""),IF('Customer Base'!$I$15="AUTOMATE",IFERROR(AM352*A352,""),""))</f>
        <v>0</v>
      </c>
      <c r="AV352" s="103">
        <f t="shared" si="71"/>
        <v>0</v>
      </c>
    </row>
    <row r="353" spans="1:48">
      <c r="C353" s="237" t="s">
        <v>1059</v>
      </c>
      <c r="D353" s="267">
        <v>1862.76</v>
      </c>
      <c r="E353" s="267">
        <v>1754.46</v>
      </c>
      <c r="F353" s="238">
        <f t="shared" si="67"/>
        <v>1528.1050041017227</v>
      </c>
      <c r="G353" s="238">
        <f>IFERROR(ROUNDUP(F353*'Customer Base'!$J$5,2),0)</f>
        <v>24449.69</v>
      </c>
      <c r="H353" s="238">
        <f t="shared" si="68"/>
        <v>1439.261689909762</v>
      </c>
      <c r="I353" s="238">
        <f>IFERROR(ROUNDUP(H353*'Customer Base'!$J$5,2),0)</f>
        <v>23028.19</v>
      </c>
      <c r="J353" s="103" t="str">
        <f t="shared" si="69"/>
        <v/>
      </c>
      <c r="L353" s="103" t="str">
        <f t="shared" si="70"/>
        <v/>
      </c>
      <c r="N353" s="103">
        <v>352</v>
      </c>
      <c r="O353" s="103" t="str">
        <f>IF('Customer Base'!$I$15="MANUAL",IF(B353&lt;&gt;"",C353,""),IF('Customer Base'!$I$15="AUTOMATE",IF(A353&lt;&gt;"",C353,""),""))</f>
        <v/>
      </c>
      <c r="AO353" s="103">
        <f>IF('Customer Base'!$I$15="MANUAL",IFERROR(AM353*B353,""),IF('Customer Base'!$I$15="AUTOMATE",IFERROR(AM353*A353,""),""))</f>
        <v>0</v>
      </c>
      <c r="AV353" s="103">
        <f t="shared" si="71"/>
        <v>0</v>
      </c>
    </row>
    <row r="354" spans="1:48">
      <c r="C354" s="237" t="s">
        <v>1060</v>
      </c>
      <c r="D354" s="267">
        <v>2008.96</v>
      </c>
      <c r="E354" s="267">
        <v>1892.16</v>
      </c>
      <c r="F354" s="238">
        <f t="shared" si="67"/>
        <v>1648.0393765381459</v>
      </c>
      <c r="G354" s="238">
        <f>IFERROR(ROUNDUP(F354*'Customer Base'!$J$5,2),0)</f>
        <v>26368.639999999999</v>
      </c>
      <c r="H354" s="238">
        <f t="shared" si="68"/>
        <v>1552.2231337161606</v>
      </c>
      <c r="I354" s="238">
        <f>IFERROR(ROUNDUP(H354*'Customer Base'!$J$5,2),0)</f>
        <v>24835.579999999998</v>
      </c>
      <c r="J354" s="103" t="str">
        <f t="shared" si="69"/>
        <v/>
      </c>
      <c r="L354" s="103" t="str">
        <f t="shared" si="70"/>
        <v/>
      </c>
      <c r="N354" s="103">
        <v>353</v>
      </c>
      <c r="O354" s="103" t="str">
        <f>IF('Customer Base'!$I$15="MANUAL",IF(B354&lt;&gt;"",C354,""),IF('Customer Base'!$I$15="AUTOMATE",IF(A354&lt;&gt;"",C354,""),""))</f>
        <v/>
      </c>
      <c r="AO354" s="103">
        <f>IF('Customer Base'!$I$15="MANUAL",IFERROR(AM354*B354,""),IF('Customer Base'!$I$15="AUTOMATE",IFERROR(AM354*A354,""),""))</f>
        <v>0</v>
      </c>
      <c r="AV354" s="103">
        <f t="shared" si="71"/>
        <v>0</v>
      </c>
    </row>
    <row r="355" spans="1:48">
      <c r="C355" s="237" t="s">
        <v>1061</v>
      </c>
      <c r="D355" s="267">
        <v>68.8</v>
      </c>
      <c r="E355" s="267">
        <v>64.8</v>
      </c>
      <c r="F355" s="238">
        <f t="shared" si="67"/>
        <v>56.439704675963895</v>
      </c>
      <c r="G355" s="238">
        <f>IFERROR(ROUNDUP(F355*'Customer Base'!$J$5,2),0)</f>
        <v>903.04</v>
      </c>
      <c r="H355" s="238">
        <f t="shared" si="68"/>
        <v>53.15832649712879</v>
      </c>
      <c r="I355" s="238">
        <f>IFERROR(ROUNDUP(H355*'Customer Base'!$J$5,2),0)</f>
        <v>850.54</v>
      </c>
      <c r="J355" s="103" t="str">
        <f t="shared" si="69"/>
        <v/>
      </c>
      <c r="L355" s="103" t="str">
        <f t="shared" si="70"/>
        <v/>
      </c>
      <c r="N355" s="103">
        <v>354</v>
      </c>
      <c r="O355" s="103" t="str">
        <f>IF('Customer Base'!$I$15="MANUAL",IF(B355&lt;&gt;"",C355,""),IF('Customer Base'!$I$15="AUTOMATE",IF(A355&lt;&gt;"",C355,""),""))</f>
        <v/>
      </c>
      <c r="AO355" s="103">
        <f>IF('Customer Base'!$I$15="MANUAL",IFERROR(AM355*B355,""),IF('Customer Base'!$I$15="AUTOMATE",IFERROR(AM355*A355,""),""))</f>
        <v>0</v>
      </c>
      <c r="AV355" s="103">
        <f t="shared" si="71"/>
        <v>0</v>
      </c>
    </row>
    <row r="356" spans="1:48">
      <c r="C356" s="237" t="s">
        <v>1062</v>
      </c>
      <c r="D356" s="267">
        <v>72.239999999999995</v>
      </c>
      <c r="E356" s="267">
        <v>68.040000000000006</v>
      </c>
      <c r="F356" s="238">
        <f t="shared" si="67"/>
        <v>59.26168990976209</v>
      </c>
      <c r="G356" s="238">
        <f>IFERROR(ROUNDUP(F356*'Customer Base'!$J$5,2),0)</f>
        <v>948.18999999999994</v>
      </c>
      <c r="H356" s="238">
        <f t="shared" si="68"/>
        <v>55.816242821985234</v>
      </c>
      <c r="I356" s="238">
        <f>IFERROR(ROUNDUP(H356*'Customer Base'!$J$5,2),0)</f>
        <v>893.06</v>
      </c>
      <c r="J356" s="103" t="str">
        <f t="shared" si="69"/>
        <v/>
      </c>
      <c r="L356" s="103" t="str">
        <f t="shared" si="70"/>
        <v/>
      </c>
      <c r="N356" s="103">
        <v>355</v>
      </c>
      <c r="O356" s="103" t="str">
        <f>IF('Customer Base'!$I$15="MANUAL",IF(B356&lt;&gt;"",C356,""),IF('Customer Base'!$I$15="AUTOMATE",IF(A356&lt;&gt;"",C356,""),""))</f>
        <v/>
      </c>
      <c r="AO356" s="103">
        <f>IF('Customer Base'!$I$15="MANUAL",IFERROR(AM356*B356,""),IF('Customer Base'!$I$15="AUTOMATE",IFERROR(AM356*A356,""),""))</f>
        <v>0</v>
      </c>
      <c r="AV356" s="103">
        <f t="shared" si="71"/>
        <v>0</v>
      </c>
    </row>
    <row r="357" spans="1:48">
      <c r="D357" s="319"/>
      <c r="E357" s="319"/>
      <c r="F357" s="224">
        <f t="shared" si="67"/>
        <v>0</v>
      </c>
      <c r="G357" s="224">
        <f>IFERROR(ROUNDUP(F357*'Customer Base'!$J$5,2),0)</f>
        <v>0</v>
      </c>
      <c r="H357" s="224">
        <f t="shared" si="68"/>
        <v>0</v>
      </c>
      <c r="I357" s="224">
        <f>IFERROR(ROUNDUP(H357*'Customer Base'!$J$5,2),0)</f>
        <v>0</v>
      </c>
      <c r="J357" s="103" t="str">
        <f t="shared" si="69"/>
        <v/>
      </c>
      <c r="L357" s="103" t="str">
        <f t="shared" si="70"/>
        <v/>
      </c>
      <c r="N357" s="103">
        <v>356</v>
      </c>
      <c r="O357" s="103" t="str">
        <f>IF('Customer Base'!$I$15="MANUAL",IF(B357&lt;&gt;"",C357,""),IF('Customer Base'!$I$15="AUTOMATE",IF(A357&lt;&gt;"",C357,""),""))</f>
        <v/>
      </c>
      <c r="AO357" s="103">
        <f>IF('Customer Base'!$I$15="MANUAL",IFERROR(AM357*B357,""),IF('Customer Base'!$I$15="AUTOMATE",IFERROR(AM357*A357,""),""))</f>
        <v>0</v>
      </c>
      <c r="AV357" s="103">
        <f t="shared" si="71"/>
        <v>0</v>
      </c>
    </row>
    <row r="358" spans="1:48">
      <c r="A358" s="103" t="str">
        <f>IF('Customer Base'!D$9=1,1,"")</f>
        <v/>
      </c>
      <c r="B358" s="270" t="s">
        <v>1</v>
      </c>
      <c r="C358" s="237" t="s">
        <v>1029</v>
      </c>
      <c r="D358" s="267">
        <v>48.85</v>
      </c>
      <c r="E358" s="267">
        <v>46.008000000000003</v>
      </c>
      <c r="F358" s="238">
        <f t="shared" si="67"/>
        <v>40.073831009023792</v>
      </c>
      <c r="G358" s="238">
        <f>IFERROR(ROUNDUP(F358*'Customer Base'!$J$5,2),0)</f>
        <v>641.18999999999994</v>
      </c>
      <c r="H358" s="238">
        <f t="shared" si="68"/>
        <v>37.742411812961443</v>
      </c>
      <c r="I358" s="238">
        <f>IFERROR(ROUNDUP(H358*'Customer Base'!$J$5,2),0)</f>
        <v>603.88</v>
      </c>
      <c r="J358" s="103" t="str">
        <f t="shared" si="69"/>
        <v/>
      </c>
      <c r="L358" s="103" t="str">
        <f t="shared" si="70"/>
        <v/>
      </c>
      <c r="N358" s="103">
        <v>357</v>
      </c>
      <c r="O358" s="103" t="str">
        <f>IF('Customer Base'!$I$15="MANUAL",IF(B358&lt;&gt;"",C358,""),IF('Customer Base'!$I$15="AUTOMATE",IF(A358&lt;&gt;"",C358,""),""))</f>
        <v/>
      </c>
      <c r="AO358" s="103" t="str">
        <f>IF('Customer Base'!$I$15="MANUAL",IFERROR(AM358*B358,""),IF('Customer Base'!$I$15="AUTOMATE",IFERROR(AM358*A358,""),""))</f>
        <v/>
      </c>
      <c r="AV358" s="103">
        <f t="shared" si="71"/>
        <v>0</v>
      </c>
    </row>
    <row r="359" spans="1:48">
      <c r="A359" s="103">
        <f>IF('Customer Base'!D$9=3,1,"")</f>
        <v>1</v>
      </c>
      <c r="B359" s="270">
        <v>1</v>
      </c>
      <c r="C359" s="237" t="s">
        <v>1030</v>
      </c>
      <c r="D359" s="267">
        <v>92.03</v>
      </c>
      <c r="E359" s="267">
        <v>86.686000000000007</v>
      </c>
      <c r="F359" s="238">
        <f t="shared" si="67"/>
        <v>75.496308449548806</v>
      </c>
      <c r="G359" s="238">
        <f>IFERROR(ROUNDUP(F359*'Customer Base'!$J$5,2),0)</f>
        <v>1207.95</v>
      </c>
      <c r="H359" s="238">
        <f t="shared" si="68"/>
        <v>71.112387202625101</v>
      </c>
      <c r="I359" s="238">
        <f>IFERROR(ROUNDUP(H359*'Customer Base'!$J$5,2),0)</f>
        <v>1137.8</v>
      </c>
      <c r="J359" s="103" t="str">
        <f t="shared" si="69"/>
        <v/>
      </c>
      <c r="L359" s="103" t="str">
        <f t="shared" si="70"/>
        <v/>
      </c>
      <c r="N359" s="103">
        <v>358</v>
      </c>
      <c r="O359" s="103" t="str">
        <f>IF('Customer Base'!$I$15="MANUAL",IF(B359&lt;&gt;"",C359,""),IF('Customer Base'!$I$15="AUTOMATE",IF(A359&lt;&gt;"",C359,""),""))</f>
        <v>Citel AC Surge Protection Device DAC50VGS-31-275/G VAC 3-Phase</v>
      </c>
      <c r="AO359" s="103">
        <f>IF('Customer Base'!$I$15="MANUAL",IFERROR(AM359*B359,""),IF('Customer Base'!$I$15="AUTOMATE",IFERROR(AM359*A359,""),""))</f>
        <v>0</v>
      </c>
      <c r="AV359" s="103">
        <f t="shared" si="71"/>
        <v>0</v>
      </c>
    </row>
    <row r="360" spans="1:48">
      <c r="D360" s="319"/>
      <c r="E360" s="319"/>
      <c r="F360" s="224">
        <f t="shared" si="67"/>
        <v>0</v>
      </c>
      <c r="G360" s="224">
        <f>IFERROR(ROUNDUP(F360*'Customer Base'!$J$5,2),0)</f>
        <v>0</v>
      </c>
      <c r="H360" s="224">
        <f t="shared" si="68"/>
        <v>0</v>
      </c>
      <c r="I360" s="224">
        <f>IFERROR(ROUNDUP(H360*'Customer Base'!$J$5,2),0)</f>
        <v>0</v>
      </c>
      <c r="J360" s="103" t="str">
        <f t="shared" si="69"/>
        <v/>
      </c>
      <c r="L360" s="103" t="str">
        <f t="shared" si="70"/>
        <v/>
      </c>
      <c r="N360" s="103">
        <v>359</v>
      </c>
      <c r="O360" s="103" t="str">
        <f>IF('Customer Base'!$I$15="MANUAL",IF(B360&lt;&gt;"",C360,""),IF('Customer Base'!$I$15="AUTOMATE",IF(A360&lt;&gt;"",C360,""),""))</f>
        <v/>
      </c>
      <c r="AO360" s="103">
        <f>IF('Customer Base'!$I$15="MANUAL",IFERROR(AM360*B360,""),IF('Customer Base'!$I$15="AUTOMATE",IFERROR(AM360*A360,""),""))</f>
        <v>0</v>
      </c>
      <c r="AV360" s="103">
        <f t="shared" si="71"/>
        <v>0</v>
      </c>
    </row>
    <row r="361" spans="1:48">
      <c r="A361" s="103" t="str">
        <f>IFERROR(IF(AND(OR(AND('Customer Base'!D$13&lt;&gt;"Victron",'Customer Base'!D7="Hybrid"),'Customer Base'!D7="Mini-Grid",'Customer Base'!D7="Grid-Tied"),(SUMPRODUCT(A242:A255,AQ242:AQ255)/SUM(A6:A132))&lt;600,'Customer Base'!D7&lt;&gt;"Backup"),IF('Customer Base'!D13&lt;&gt;"Victron",'Customer Base'!D15,IF(AND('Customer Base'!D7="Mini-Grid",'Customer Base'!F13&lt;&gt;""),'Customer Base'!F15,"")),""),"")</f>
        <v/>
      </c>
      <c r="B361" s="270" t="s">
        <v>1</v>
      </c>
      <c r="C361" s="237" t="s">
        <v>2727</v>
      </c>
      <c r="D361" s="267">
        <v>63.86</v>
      </c>
      <c r="E361" s="267">
        <v>60.151000000000003</v>
      </c>
      <c r="F361" s="238">
        <f t="shared" si="67"/>
        <v>52.387202625102539</v>
      </c>
      <c r="G361" s="238">
        <f>IFERROR(ROUNDUP(F361*'Customer Base'!$J$5,2),0)</f>
        <v>838.2</v>
      </c>
      <c r="H361" s="238">
        <f t="shared" si="68"/>
        <v>49.344544708777683</v>
      </c>
      <c r="I361" s="238">
        <f>IFERROR(ROUNDUP(H361*'Customer Base'!$J$5,2),0)</f>
        <v>789.52</v>
      </c>
      <c r="J361" s="103" t="str">
        <f t="shared" si="69"/>
        <v/>
      </c>
      <c r="L361" s="103" t="str">
        <f t="shared" si="70"/>
        <v/>
      </c>
      <c r="N361" s="103">
        <v>360</v>
      </c>
      <c r="O361" s="103" t="str">
        <f>IF('Customer Base'!$I$15="MANUAL",IF(B361&lt;&gt;"",C361,""),IF('Customer Base'!$I$15="AUTOMATE",IF(A361&lt;&gt;"",C361,""),""))</f>
        <v/>
      </c>
      <c r="AO361" s="103" t="str">
        <f>IF('Customer Base'!$I$15="MANUAL",IFERROR(AM361*B361,""),IF('Customer Base'!$I$15="AUTOMATE",IFERROR(AM361*A361,""),""))</f>
        <v/>
      </c>
      <c r="AV361" s="103">
        <f t="shared" si="71"/>
        <v>0</v>
      </c>
    </row>
    <row r="362" spans="1:48">
      <c r="A362" s="103" t="str">
        <f>IFERROR(IF(AND(OR(AND('Customer Base'!D$13&lt;&gt;"Victron",'Customer Base'!D7="Hybrid"),'Customer Base'!D7="Mini-Grid",'Customer Base'!D7="Grid-Tied"),(SUMPRODUCT(A242:A255,AQ242:AQ255)/SUM(A6:A132))&gt;600),IF('Customer Base'!D13&lt;&gt;"Victron",'Customer Base'!D15,IF(AND('Customer Base'!D7="Mini-Grid",'Customer Base'!F13&lt;&gt;""),'Customer Base'!F15,"")),""),"")</f>
        <v/>
      </c>
      <c r="B362" s="270" t="s">
        <v>1</v>
      </c>
      <c r="C362" s="237" t="s">
        <v>946</v>
      </c>
      <c r="D362" s="267">
        <v>104.51</v>
      </c>
      <c r="E362" s="267">
        <v>98.430999999999997</v>
      </c>
      <c r="F362" s="238">
        <f t="shared" si="67"/>
        <v>85.734208367514356</v>
      </c>
      <c r="G362" s="238">
        <f>IFERROR(ROUNDUP(F362*'Customer Base'!$J$5,2),0)</f>
        <v>1371.75</v>
      </c>
      <c r="H362" s="238">
        <f t="shared" si="68"/>
        <v>80.747333880229689</v>
      </c>
      <c r="I362" s="238">
        <f>IFERROR(ROUNDUP(H362*'Customer Base'!$J$5,2),0)</f>
        <v>1291.96</v>
      </c>
      <c r="J362" s="103" t="str">
        <f t="shared" si="69"/>
        <v/>
      </c>
      <c r="L362" s="103" t="str">
        <f t="shared" si="70"/>
        <v/>
      </c>
      <c r="N362" s="103">
        <v>361</v>
      </c>
      <c r="O362" s="103" t="str">
        <f>IF('Customer Base'!$I$15="MANUAL",IF(B362&lt;&gt;"",C362,""),IF('Customer Base'!$I$15="AUTOMATE",IF(A362&lt;&gt;"",C362,""),""))</f>
        <v/>
      </c>
      <c r="AO362" s="103" t="str">
        <f>IF('Customer Base'!$I$15="MANUAL",IFERROR(AM362*B362,""),IF('Customer Base'!$I$15="AUTOMATE",IFERROR(AM362*A362,""),""))</f>
        <v/>
      </c>
      <c r="AV362" s="103">
        <f t="shared" si="71"/>
        <v>0</v>
      </c>
    </row>
    <row r="363" spans="1:48">
      <c r="C363" s="237" t="s">
        <v>947</v>
      </c>
      <c r="D363" s="267">
        <v>113.31</v>
      </c>
      <c r="E363" s="267">
        <v>106.726</v>
      </c>
      <c r="F363" s="238">
        <f t="shared" si="67"/>
        <v>92.953240360951597</v>
      </c>
      <c r="G363" s="238">
        <f>IFERROR(ROUNDUP(F363*'Customer Base'!$J$5,2),0)</f>
        <v>1487.26</v>
      </c>
      <c r="H363" s="238">
        <f t="shared" si="68"/>
        <v>87.552091878588996</v>
      </c>
      <c r="I363" s="238">
        <f>IFERROR(ROUNDUP(H363*'Customer Base'!$J$5,2),0)</f>
        <v>1400.84</v>
      </c>
      <c r="J363" s="103" t="str">
        <f t="shared" si="69"/>
        <v/>
      </c>
      <c r="L363" s="103" t="str">
        <f t="shared" si="70"/>
        <v/>
      </c>
      <c r="N363" s="103">
        <v>362</v>
      </c>
      <c r="O363" s="103" t="str">
        <f>IF('Customer Base'!$I$15="MANUAL",IF(B363&lt;&gt;"",C363,""),IF('Customer Base'!$I$15="AUTOMATE",IF(A363&lt;&gt;"",C363,""),""))</f>
        <v/>
      </c>
      <c r="AO363" s="103">
        <f>IF('Customer Base'!$I$15="MANUAL",IFERROR(AM363*B363,""),IF('Customer Base'!$I$15="AUTOMATE",IFERROR(AM363*A363,""),""))</f>
        <v>0</v>
      </c>
      <c r="AV363" s="103">
        <f t="shared" si="71"/>
        <v>0</v>
      </c>
    </row>
    <row r="364" spans="1:48">
      <c r="C364" s="237" t="s">
        <v>2726</v>
      </c>
      <c r="D364" s="267">
        <v>37.58</v>
      </c>
      <c r="E364" s="267">
        <v>35.396999999999998</v>
      </c>
      <c r="F364" s="238">
        <f t="shared" si="67"/>
        <v>30.828547990155862</v>
      </c>
      <c r="G364" s="238">
        <f>IFERROR(ROUNDUP(F364*'Customer Base'!$J$5,2),0)</f>
        <v>493.26</v>
      </c>
      <c r="H364" s="238">
        <f t="shared" si="68"/>
        <v>29.037735849056599</v>
      </c>
      <c r="I364" s="238">
        <f>IFERROR(ROUNDUP(H364*'Customer Base'!$J$5,2),0)</f>
        <v>464.61</v>
      </c>
      <c r="J364" s="103" t="str">
        <f t="shared" si="69"/>
        <v/>
      </c>
      <c r="L364" s="103" t="str">
        <f t="shared" si="70"/>
        <v/>
      </c>
      <c r="N364" s="103">
        <v>363</v>
      </c>
      <c r="O364" s="103" t="str">
        <f>IF('Customer Base'!$I$15="MANUAL",IF(B364&lt;&gt;"",C364,""),IF('Customer Base'!$I$15="AUTOMATE",IF(A364&lt;&gt;"",C364,""),""))</f>
        <v/>
      </c>
      <c r="AO364" s="103">
        <f>IF('Customer Base'!$I$15="MANUAL",IFERROR(AM364*B364,""),IF('Customer Base'!$I$15="AUTOMATE",IFERROR(AM364*A364,""),""))</f>
        <v>0</v>
      </c>
      <c r="AV364" s="103">
        <f t="shared" si="71"/>
        <v>0</v>
      </c>
    </row>
    <row r="365" spans="1:48">
      <c r="D365" s="319"/>
      <c r="E365" s="319"/>
      <c r="I365" s="224"/>
      <c r="J365" s="103" t="str">
        <f t="shared" si="69"/>
        <v/>
      </c>
      <c r="L365" s="103" t="str">
        <f t="shared" si="70"/>
        <v/>
      </c>
      <c r="N365" s="103">
        <v>364</v>
      </c>
      <c r="O365" s="103" t="str">
        <f>IF('Customer Base'!$I$15="MANUAL",IF(B365&lt;&gt;"",C365,""),IF('Customer Base'!$I$15="AUTOMATE",IF(A365&lt;&gt;"",C365,""),""))</f>
        <v/>
      </c>
      <c r="AO365" s="103">
        <f>IF('Customer Base'!$I$15="MANUAL",IFERROR(AM365*B365,""),IF('Customer Base'!$I$15="AUTOMATE",IFERROR(AM365*A365,""),""))</f>
        <v>0</v>
      </c>
      <c r="AV365" s="103">
        <f t="shared" si="71"/>
        <v>0</v>
      </c>
    </row>
    <row r="366" spans="1:48">
      <c r="C366" s="246" t="s">
        <v>1894</v>
      </c>
      <c r="D366" s="322"/>
      <c r="E366" s="322"/>
      <c r="F366" s="252">
        <f t="shared" si="67"/>
        <v>0</v>
      </c>
      <c r="G366" s="234">
        <f>IFERROR(ROUNDUP(F366*'Customer Base'!$J$5,2),0)</f>
        <v>0</v>
      </c>
      <c r="H366" s="252">
        <f t="shared" si="68"/>
        <v>0</v>
      </c>
      <c r="I366" s="234">
        <f>IFERROR(ROUNDUP(H366*'Customer Base'!$J$5,2),0)</f>
        <v>0</v>
      </c>
      <c r="J366" s="103" t="str">
        <f t="shared" si="69"/>
        <v/>
      </c>
      <c r="L366" s="103" t="str">
        <f t="shared" si="70"/>
        <v/>
      </c>
      <c r="N366" s="103">
        <v>365</v>
      </c>
      <c r="O366" s="103" t="str">
        <f>IF('Customer Base'!$I$15="MANUAL",IF(B366&lt;&gt;"",C366,""),IF('Customer Base'!$I$15="AUTOMATE",IF(A366&lt;&gt;"",C366,""),""))</f>
        <v/>
      </c>
      <c r="AO366" s="103">
        <f>IF('Customer Base'!$I$15="MANUAL",IFERROR(AM366*B366,""),IF('Customer Base'!$I$15="AUTOMATE",IFERROR(AM366*A366,""),""))</f>
        <v>0</v>
      </c>
      <c r="AV366" s="103">
        <f t="shared" si="71"/>
        <v>0</v>
      </c>
    </row>
    <row r="367" spans="1:48">
      <c r="A367" s="103">
        <f ca="1">IFERROR(IF(IF('CABLE SIZING TOOL'!E$104*100&lt;=3,'Customer Base'!D$31*L$1*2,0)+IF(AND('Customer Base'!D7="Mini-Grid",'CABLE SIZING TOOL'!K$104*100&lt;=3),'Customer Base'!D$31*L$5*2,0)+IF(AND('Customer Base'!D$13="Victron",'Customer Base'!D$7&lt;&gt;"Backup",'Customer Base'!D14&lt;&gt;6),IF(Items!L$1=1,0,Items!L$1*10),0)=0,"",IF('CABLE SIZING TOOL'!E$104*100&lt;=3,'Customer Base'!D$31*L$1*2,0)+IF(AND('Customer Base'!D7="Mini-Grid",'CABLE SIZING TOOL'!K$104*100&lt;=3),'Customer Base'!D$31*L$5*2,0)+IF(AND('Customer Base'!D$13="Victron",'Customer Base'!D$7&lt;&gt;"Backup",'Customer Base'!D14&lt;&gt;6),IF(Items!L$1=1,0,Items!L$1*10),0)),"")</f>
        <v>140</v>
      </c>
      <c r="B367" s="270">
        <v>240</v>
      </c>
      <c r="C367" s="253" t="s">
        <v>1134</v>
      </c>
      <c r="D367" s="325">
        <v>1.02</v>
      </c>
      <c r="E367" s="325">
        <v>0.93500000000000005</v>
      </c>
      <c r="F367" s="255">
        <f t="shared" si="67"/>
        <v>0.83675143560295318</v>
      </c>
      <c r="G367" s="255">
        <f>IFERROR(ROUNDUP(F367*'Customer Base'!$J$5,2),0)</f>
        <v>13.39</v>
      </c>
      <c r="H367" s="255">
        <f t="shared" si="68"/>
        <v>0.76702214930270718</v>
      </c>
      <c r="I367" s="255">
        <f>IFERROR(ROUNDUP(H367*'Customer Base'!$J$5,2),0)</f>
        <v>12.28</v>
      </c>
      <c r="J367" s="103" t="str">
        <f t="shared" si="69"/>
        <v/>
      </c>
      <c r="L367" s="103" t="str">
        <f t="shared" si="70"/>
        <v/>
      </c>
      <c r="N367" s="103">
        <v>366</v>
      </c>
      <c r="O367" s="103" t="str">
        <f ca="1">IF('Customer Base'!$I$15="MANUAL",IF(B367&lt;&gt;"",C367,""),IF('Customer Base'!$I$15="AUTOMATE",IF(A367&lt;&gt;"",C367,""),""))</f>
        <v>Hikra Sol DC Solar cable 1x4mm2 1500V H1Z2Z2</v>
      </c>
      <c r="AO367" s="103">
        <f ca="1">IF('Customer Base'!$I$15="MANUAL",IFERROR(AM367*B367,""),IF('Customer Base'!$I$15="AUTOMATE",IFERROR(AM367*A367,""),""))</f>
        <v>0</v>
      </c>
      <c r="AV367" s="103">
        <f t="shared" si="71"/>
        <v>0</v>
      </c>
    </row>
    <row r="368" spans="1:48">
      <c r="A368" s="242" t="str">
        <f ca="1">IF(IFERROR(IF(AND('CABLE SIZING TOOL'!E$104*100&gt;3,'CABLE SIZING TOOL'!F$104*100&lt;=3),'Customer Base'!D$31*(IF(AND('Customer Base'!D7&lt;&gt;"Backup",'Customer Base'!D7&lt;&gt;"Grid-Tied",SUM(Items!A258:A290)&gt;0),SUM(Items!A258:A290),L$1)*2),0)+IF(AND('Customer Base'!D7="Mini-Grid",'CABLE SIZING TOOL'!K$104*100&gt;3,'CABLE SIZING TOOL'!L$104*100&lt;=3),'Customer Base'!D$31*L$5*2,0),"")=0,"",IFERROR(IF(AND('CABLE SIZING TOOL'!E$104*100&gt;3,'CABLE SIZING TOOL'!F$104*100&lt;=3),'Customer Base'!D$31*(IF(AND('Customer Base'!D7&lt;&gt;"Backup",'Customer Base'!D7&lt;&gt;"Grid-Tied",SUM(Items!A258:A290)&gt;0),SUM(Items!A258:A290),L$1)*2),0)+IF(AND('Customer Base'!D7="Mini-Grid",'CABLE SIZING TOOL'!K$104*100&gt;3,'CABLE SIZING TOOL'!L$104*100&lt;=3),'Customer Base'!D$31*L$5*2,0),""))</f>
        <v/>
      </c>
      <c r="B368" s="270" t="s">
        <v>1</v>
      </c>
      <c r="C368" s="253" t="s">
        <v>1135</v>
      </c>
      <c r="D368" s="325">
        <v>1.36</v>
      </c>
      <c r="E368" s="325">
        <v>1.2529999999999999</v>
      </c>
      <c r="F368" s="255">
        <f t="shared" si="67"/>
        <v>1.1156685808039377</v>
      </c>
      <c r="G368" s="255">
        <f>IFERROR(ROUNDUP(F368*'Customer Base'!$J$5,2),0)</f>
        <v>17.860000000000003</v>
      </c>
      <c r="H368" s="255">
        <f t="shared" si="68"/>
        <v>1.0278917145200983</v>
      </c>
      <c r="I368" s="255">
        <f>IFERROR(ROUNDUP(H368*'Customer Base'!$J$5,2),0)</f>
        <v>16.450000000000003</v>
      </c>
      <c r="J368" s="103" t="str">
        <f t="shared" si="69"/>
        <v/>
      </c>
      <c r="L368" s="103" t="str">
        <f t="shared" si="70"/>
        <v/>
      </c>
      <c r="N368" s="103">
        <v>367</v>
      </c>
      <c r="O368" s="103" t="str">
        <f ca="1">IF('Customer Base'!$I$15="MANUAL",IF(B368&lt;&gt;"",C368,""),IF('Customer Base'!$I$15="AUTOMATE",IF(A368&lt;&gt;"",C368,""),""))</f>
        <v/>
      </c>
      <c r="AO368" s="103" t="str">
        <f ca="1">IF('Customer Base'!$I$15="MANUAL",IFERROR(AM368*B368,""),IF('Customer Base'!$I$15="AUTOMATE",IFERROR(AM368*A368,""),""))</f>
        <v/>
      </c>
      <c r="AV368" s="103">
        <f t="shared" si="71"/>
        <v>0</v>
      </c>
    </row>
    <row r="369" spans="1:48">
      <c r="A369" s="103">
        <f ca="1">IFERROR(IF(AND('CABLE SIZING TOOL'!E$104*100&gt;3,'CABLE SIZING TOOL'!F$104*100&gt;3,'CABLE SIZING TOOL'!G$104*100&lt;=3),'Customer Base'!D$31*(IF(AND('Customer Base'!D7&lt;&gt;"Backup",'Customer Base'!D7&lt;&gt;"Grid-Tied",SUM(Items!A258:A290)&gt;0),SUM(Items!A258:A290),L$1)*2),""),"")</f>
        <v>200</v>
      </c>
      <c r="B369" s="270">
        <v>320</v>
      </c>
      <c r="C369" s="253" t="s">
        <v>1136</v>
      </c>
      <c r="D369" s="325">
        <v>2.35</v>
      </c>
      <c r="E369" s="325">
        <v>2.1589999999999998</v>
      </c>
      <c r="F369" s="255">
        <f t="shared" si="67"/>
        <v>1.9278096800656275</v>
      </c>
      <c r="G369" s="255">
        <f>IFERROR(ROUNDUP(F369*'Customer Base'!$J$5,2),0)</f>
        <v>30.85</v>
      </c>
      <c r="H369" s="255">
        <f t="shared" si="68"/>
        <v>1.7711238720262508</v>
      </c>
      <c r="I369" s="255">
        <f>IFERROR(ROUNDUP(H369*'Customer Base'!$J$5,2),0)</f>
        <v>28.34</v>
      </c>
      <c r="J369" s="103" t="str">
        <f t="shared" si="69"/>
        <v/>
      </c>
      <c r="L369" s="103" t="str">
        <f t="shared" si="70"/>
        <v/>
      </c>
      <c r="N369" s="103">
        <v>368</v>
      </c>
      <c r="O369" s="103" t="str">
        <f ca="1">IF('Customer Base'!$I$15="MANUAL",IF(B369&lt;&gt;"",C369,""),IF('Customer Base'!$I$15="AUTOMATE",IF(A369&lt;&gt;"",C369,""),""))</f>
        <v>Hikra Sol DC Solar cable 1x10mm2 1500V H1Z2Z2</v>
      </c>
      <c r="AO369" s="103">
        <f ca="1">IF('Customer Base'!$I$15="MANUAL",IFERROR(AM369*B369,""),IF('Customer Base'!$I$15="AUTOMATE",IFERROR(AM369*A369,""),""))</f>
        <v>0</v>
      </c>
      <c r="AV369" s="103">
        <f t="shared" si="71"/>
        <v>0</v>
      </c>
    </row>
    <row r="370" spans="1:48">
      <c r="A370" s="103">
        <f ca="1">IFERROR(IF(AND('Customer Base'!D$20="BYD",'Customer Base'!E$20=5,'Customer Base'!D7&lt;&gt;"Grid-Tied"),'Customer Base'!J$8+IF(AND('Customer Base'!D13="Victron",'Customer Base'!D7="Backup"),'Customer Base'!J8,0)+IF(AND('Customer Base'!D7="Backup",'Customer Base'!D13="Victron"),0,IF(AND('CABLE SIZING TOOL'!E$104*100&gt;3,'CABLE SIZING TOOL'!F$104*100&gt;=3,'CABLE SIZING TOOL'!G$104*100&gt;3,'CABLE SIZING TOOL'!H$104*100&lt;=3),'Customer Base'!D$31*(IF(AND('Customer Base'!D7&lt;&gt;"Backup",'Customer Base'!D7&lt;&gt;"Grid-Tied",SUM(Items!A258:A290)&gt;0),SUM(Items!A258:A290),L$1)*2),IF(AND('CABLE SIZING TOOL'!E$104*100&gt;3,'CABLE SIZING TOOL'!F$104*100&gt;3,'CABLE SIZING TOOL'!G$104*100&gt;3,'CABLE SIZING TOOL'!H$104*100&lt;=3),'Customer Base'!D$31*(IF(AND('Customer Base'!D7&lt;&gt;"Backup",'Customer Base'!D7&lt;&gt;"Grid-Tied",SUM(Items!A258:A290)&gt;0),SUM(Items!A258:A290),L$1)*2)))),""),"")</f>
        <v>90</v>
      </c>
      <c r="B370" s="270">
        <v>90</v>
      </c>
      <c r="C370" s="253" t="s">
        <v>1142</v>
      </c>
      <c r="D370" s="325">
        <v>4.53</v>
      </c>
      <c r="E370" s="325">
        <v>4.165</v>
      </c>
      <c r="F370" s="255">
        <f t="shared" si="67"/>
        <v>3.7161607875307627</v>
      </c>
      <c r="G370" s="255">
        <f>IFERROR(ROUNDUP(F370*'Customer Base'!$J$5,2),0)</f>
        <v>59.46</v>
      </c>
      <c r="H370" s="255">
        <f t="shared" si="68"/>
        <v>3.416735028712059</v>
      </c>
      <c r="I370" s="255">
        <f>IFERROR(ROUNDUP(H370*'Customer Base'!$J$5,2),0)</f>
        <v>54.669999999999995</v>
      </c>
      <c r="J370" s="103" t="str">
        <f t="shared" si="69"/>
        <v/>
      </c>
      <c r="L370" s="103" t="str">
        <f t="shared" si="70"/>
        <v/>
      </c>
      <c r="N370" s="103">
        <v>369</v>
      </c>
      <c r="O370" s="103" t="str">
        <f ca="1">IF('Customer Base'!$I$15="MANUAL",IF(B370&lt;&gt;"",C370,""),IF('Customer Base'!$I$15="AUTOMATE",IF(A370&lt;&gt;"",C370,""),""))</f>
        <v>Hikra Sol DC Solar cable 1x16mm2 1500V H1Z2Z2</v>
      </c>
      <c r="AO370" s="103">
        <f ca="1">IF('Customer Base'!$I$15="MANUAL",IFERROR(AM370*B370,""),IF('Customer Base'!$I$15="AUTOMATE",IFERROR(AM370*A370,""),""))</f>
        <v>0</v>
      </c>
      <c r="AV370" s="103">
        <f t="shared" si="71"/>
        <v>0</v>
      </c>
    </row>
    <row r="371" spans="1:48">
      <c r="A371" s="103">
        <f ca="1">IF(AND('Customer Base'!D13="Victron",'Customer Base'!D7&lt;&gt;"Backup",SUMPRODUCT(A6:A66,AP6:AP66)=0),5*SUM(A258:A290)+IF('CABLE SIZING TOOL'!I$45&lt;=25,5*'Customer Base'!D$15,0),IF('CABLE SIZING TOOL'!I$45&lt;=25,5*'Customer Base'!D$15,""))</f>
        <v>30</v>
      </c>
      <c r="B371" s="270">
        <v>40</v>
      </c>
      <c r="C371" s="253" t="s">
        <v>1143</v>
      </c>
      <c r="D371" s="325">
        <v>8.25</v>
      </c>
      <c r="E371" s="325">
        <v>7.5819999999999999</v>
      </c>
      <c r="F371" s="255">
        <f t="shared" si="67"/>
        <v>6.7678424938474153</v>
      </c>
      <c r="G371" s="255">
        <f>IFERROR(ROUNDUP(F371*'Customer Base'!$J$5,2),0)</f>
        <v>108.29</v>
      </c>
      <c r="H371" s="255">
        <f t="shared" si="68"/>
        <v>6.2198523379819521</v>
      </c>
      <c r="I371" s="255">
        <f>IFERROR(ROUNDUP(H371*'Customer Base'!$J$5,2),0)</f>
        <v>99.52000000000001</v>
      </c>
      <c r="J371" s="103" t="str">
        <f t="shared" si="69"/>
        <v/>
      </c>
      <c r="L371" s="103" t="str">
        <f t="shared" si="70"/>
        <v/>
      </c>
      <c r="N371" s="103">
        <v>370</v>
      </c>
      <c r="O371" s="103" t="str">
        <f ca="1">IF('Customer Base'!$I$15="MANUAL",IF(B371&lt;&gt;"",C371,""),IF('Customer Base'!$I$15="AUTOMATE",IF(A371&lt;&gt;"",C371,""),""))</f>
        <v>Hikra Sol DC Solar cable 1x25mm2 1500V H1Z2Z2</v>
      </c>
      <c r="AO371" s="103">
        <f ca="1">IF('Customer Base'!$I$15="MANUAL",IFERROR(AM371*B371,""),IF('Customer Base'!$I$15="AUTOMATE",IFERROR(AM371*A371,""),""))</f>
        <v>0</v>
      </c>
      <c r="AV371" s="103">
        <f t="shared" si="71"/>
        <v>0</v>
      </c>
    </row>
    <row r="372" spans="1:48">
      <c r="A372" s="103" t="str">
        <f>IF('CABLE SIZING TOOL'!I$45=35,5*'Customer Base'!D$15,"")</f>
        <v/>
      </c>
      <c r="B372" s="270" t="s">
        <v>1</v>
      </c>
      <c r="C372" s="253" t="s">
        <v>1144</v>
      </c>
      <c r="D372" s="325">
        <v>12.75</v>
      </c>
      <c r="E372" s="325">
        <v>11.712999999999999</v>
      </c>
      <c r="F372" s="255">
        <f t="shared" si="67"/>
        <v>10.459392945036916</v>
      </c>
      <c r="G372" s="255">
        <f>IFERROR(ROUNDUP(F372*'Customer Base'!$J$5,2),0)</f>
        <v>167.35999999999999</v>
      </c>
      <c r="H372" s="255">
        <f t="shared" si="68"/>
        <v>9.6086956521739122</v>
      </c>
      <c r="I372" s="255">
        <f>IFERROR(ROUNDUP(H372*'Customer Base'!$J$5,2),0)</f>
        <v>153.73999999999998</v>
      </c>
      <c r="J372" s="103" t="str">
        <f t="shared" si="69"/>
        <v/>
      </c>
      <c r="L372" s="103" t="str">
        <f t="shared" si="70"/>
        <v/>
      </c>
      <c r="N372" s="103">
        <v>371</v>
      </c>
      <c r="O372" s="103" t="str">
        <f>IF('Customer Base'!$I$15="MANUAL",IF(B372&lt;&gt;"",C372,""),IF('Customer Base'!$I$15="AUTOMATE",IF(A372&lt;&gt;"",C372,""),""))</f>
        <v/>
      </c>
      <c r="AO372" s="103" t="str">
        <f>IF('Customer Base'!$I$15="MANUAL",IFERROR(AM372*B372,""),IF('Customer Base'!$I$15="AUTOMATE",IFERROR(AM372*A372,""),""))</f>
        <v/>
      </c>
      <c r="AV372" s="103">
        <f t="shared" si="71"/>
        <v>0</v>
      </c>
    </row>
    <row r="373" spans="1:48">
      <c r="A373" s="103" t="str">
        <f>IF('CABLE SIZING TOOL'!I$45=50,5*'Customer Base'!D$15,"")</f>
        <v/>
      </c>
      <c r="B373" s="270" t="s">
        <v>1</v>
      </c>
      <c r="C373" s="253" t="s">
        <v>1145</v>
      </c>
      <c r="D373" s="325">
        <v>23.85</v>
      </c>
      <c r="E373" s="325">
        <v>21.913</v>
      </c>
      <c r="F373" s="255">
        <f t="shared" si="67"/>
        <v>19.565217391304348</v>
      </c>
      <c r="G373" s="255">
        <f>IFERROR(ROUNDUP(F373*'Customer Base'!$J$5,2),0)</f>
        <v>313.05</v>
      </c>
      <c r="H373" s="255">
        <f t="shared" si="68"/>
        <v>17.976210008203445</v>
      </c>
      <c r="I373" s="255">
        <f>IFERROR(ROUNDUP(H373*'Customer Base'!$J$5,2),0)</f>
        <v>287.62</v>
      </c>
      <c r="J373" s="103" t="str">
        <f t="shared" si="69"/>
        <v/>
      </c>
      <c r="L373" s="103" t="str">
        <f t="shared" si="70"/>
        <v/>
      </c>
      <c r="N373" s="103">
        <v>372</v>
      </c>
      <c r="O373" s="103" t="str">
        <f>IF('Customer Base'!$I$15="MANUAL",IF(B373&lt;&gt;"",C373,""),IF('Customer Base'!$I$15="AUTOMATE",IF(A373&lt;&gt;"",C373,""),""))</f>
        <v/>
      </c>
      <c r="AO373" s="103" t="str">
        <f>IF('Customer Base'!$I$15="MANUAL",IFERROR(AM373*B373,""),IF('Customer Base'!$I$15="AUTOMATE",IFERROR(AM373*A373,""),""))</f>
        <v/>
      </c>
      <c r="AV373" s="103">
        <f t="shared" si="71"/>
        <v>0</v>
      </c>
    </row>
    <row r="374" spans="1:48">
      <c r="A374" s="103" t="str">
        <f>IF('CABLE SIZING TOOL'!I$45=70,5*'Customer Base'!D$15,"")</f>
        <v/>
      </c>
      <c r="B374" s="270" t="s">
        <v>1</v>
      </c>
      <c r="C374" s="253" t="s">
        <v>1146</v>
      </c>
      <c r="D374" s="325">
        <v>30.64</v>
      </c>
      <c r="E374" s="325">
        <v>28.152000000000001</v>
      </c>
      <c r="F374" s="255">
        <f t="shared" si="67"/>
        <v>25.135356849876946</v>
      </c>
      <c r="G374" s="255">
        <f>IFERROR(ROUNDUP(F374*'Customer Base'!$J$5,2),0)</f>
        <v>402.17</v>
      </c>
      <c r="H374" s="255">
        <f t="shared" si="68"/>
        <v>23.09433962264151</v>
      </c>
      <c r="I374" s="255">
        <f>IFERROR(ROUNDUP(H374*'Customer Base'!$J$5,2),0)</f>
        <v>369.51</v>
      </c>
      <c r="J374" s="103" t="str">
        <f t="shared" si="69"/>
        <v/>
      </c>
      <c r="L374" s="103" t="str">
        <f t="shared" si="70"/>
        <v/>
      </c>
      <c r="N374" s="103">
        <v>373</v>
      </c>
      <c r="O374" s="103" t="str">
        <f>IF('Customer Base'!$I$15="MANUAL",IF(B374&lt;&gt;"",C374,""),IF('Customer Base'!$I$15="AUTOMATE",IF(A374&lt;&gt;"",C374,""),""))</f>
        <v/>
      </c>
      <c r="AO374" s="103" t="str">
        <f>IF('Customer Base'!$I$15="MANUAL",IFERROR(AM374*B374,""),IF('Customer Base'!$I$15="AUTOMATE",IFERROR(AM374*A374,""),""))</f>
        <v/>
      </c>
      <c r="AV374" s="103">
        <f t="shared" si="71"/>
        <v>0</v>
      </c>
    </row>
    <row r="375" spans="1:48">
      <c r="A375" s="103" t="str">
        <f>IF('CABLE SIZING TOOL'!I$45=95,5*'Customer Base'!D$15,"")</f>
        <v/>
      </c>
      <c r="B375" s="270">
        <v>15</v>
      </c>
      <c r="C375" s="253" t="s">
        <v>1147</v>
      </c>
      <c r="D375" s="325">
        <v>41.27</v>
      </c>
      <c r="E375" s="325">
        <v>37.927</v>
      </c>
      <c r="F375" s="255">
        <f t="shared" si="67"/>
        <v>33.855619360131257</v>
      </c>
      <c r="G375" s="255">
        <f>IFERROR(ROUNDUP(F375*'Customer Base'!$J$5,2),0)</f>
        <v>541.68999999999994</v>
      </c>
      <c r="H375" s="255">
        <f t="shared" si="68"/>
        <v>31.113207547169807</v>
      </c>
      <c r="I375" s="255">
        <f>IFERROR(ROUNDUP(H375*'Customer Base'!$J$5,2),0)</f>
        <v>497.82</v>
      </c>
      <c r="J375" s="103" t="str">
        <f t="shared" si="69"/>
        <v/>
      </c>
      <c r="L375" s="103" t="str">
        <f t="shared" si="70"/>
        <v/>
      </c>
      <c r="N375" s="103">
        <v>374</v>
      </c>
      <c r="O375" s="103" t="str">
        <f>IF('Customer Base'!$I$15="MANUAL",IF(B375&lt;&gt;"",C375,""),IF('Customer Base'!$I$15="AUTOMATE",IF(A375&lt;&gt;"",C375,""),""))</f>
        <v/>
      </c>
      <c r="AO375" s="103" t="str">
        <f>IF('Customer Base'!$I$15="MANUAL",IFERROR(AM375*B375,""),IF('Customer Base'!$I$15="AUTOMATE",IFERROR(AM375*A375,""),""))</f>
        <v/>
      </c>
      <c r="AV375" s="103">
        <f t="shared" si="71"/>
        <v>0</v>
      </c>
    </row>
    <row r="376" spans="1:48">
      <c r="D376" s="319"/>
      <c r="E376" s="319"/>
      <c r="F376" s="224">
        <f t="shared" si="67"/>
        <v>0</v>
      </c>
      <c r="H376" s="224">
        <f t="shared" si="68"/>
        <v>0</v>
      </c>
      <c r="I376" s="224"/>
      <c r="J376" s="103" t="str">
        <f t="shared" si="69"/>
        <v/>
      </c>
      <c r="L376" s="103" t="str">
        <f t="shared" si="70"/>
        <v/>
      </c>
      <c r="N376" s="103">
        <v>375</v>
      </c>
      <c r="O376" s="103" t="str">
        <f>IF('Customer Base'!$I$15="MANUAL",IF(B376&lt;&gt;"",C376,""),IF('Customer Base'!$I$15="AUTOMATE",IF(A376&lt;&gt;"",C376,""),""))</f>
        <v/>
      </c>
      <c r="AO376" s="103">
        <f>IF('Customer Base'!$I$15="MANUAL",IFERROR(AM376*B376,""),IF('Customer Base'!$I$15="AUTOMATE",IFERROR(AM376*A376,""),""))</f>
        <v>0</v>
      </c>
      <c r="AV376" s="103">
        <f t="shared" si="71"/>
        <v>0</v>
      </c>
    </row>
    <row r="377" spans="1:48">
      <c r="A377"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23</v>
      </c>
      <c r="B377" s="270" t="s">
        <v>1</v>
      </c>
      <c r="C377" s="253" t="s">
        <v>1139</v>
      </c>
      <c r="D377" s="325">
        <v>10.51</v>
      </c>
      <c r="E377" s="325">
        <v>9.6560000000000006</v>
      </c>
      <c r="F377" s="255">
        <f t="shared" si="67"/>
        <v>8.6218211648892531</v>
      </c>
      <c r="G377" s="255">
        <f>IFERROR(ROUNDUP(F377*'Customer Base'!$J$5,2),0)</f>
        <v>137.94999999999999</v>
      </c>
      <c r="H377" s="255">
        <f t="shared" si="68"/>
        <v>7.9212469237079572</v>
      </c>
      <c r="I377" s="255">
        <f>IFERROR(ROUNDUP(H377*'Customer Base'!$J$5,2),0)</f>
        <v>126.74000000000001</v>
      </c>
      <c r="J377" s="103" t="str">
        <f t="shared" si="69"/>
        <v/>
      </c>
      <c r="L377" s="103" t="str">
        <f t="shared" si="70"/>
        <v/>
      </c>
      <c r="N377" s="103">
        <v>376</v>
      </c>
      <c r="O377" s="103" t="str">
        <f>IF('Customer Base'!$I$15="MANUAL",IF(B377&lt;&gt;"",C377,""),IF('Customer Base'!$I$15="AUTOMATE",IF(A377&lt;&gt;"",C377,""),""))</f>
        <v>Top Cable AC solar cable 5x4mm2 RV-K 0.6/1KV</v>
      </c>
      <c r="AO377" s="103">
        <f>IF('Customer Base'!$I$15="MANUAL",IFERROR(AM377*B377,""),IF('Customer Base'!$I$15="AUTOMATE",IFERROR(AM377*A377,""),""))</f>
        <v>0</v>
      </c>
      <c r="AV377" s="103">
        <f t="shared" si="71"/>
        <v>0</v>
      </c>
    </row>
    <row r="378" spans="1:48">
      <c r="A378"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8" s="270" t="s">
        <v>1</v>
      </c>
      <c r="C378" s="253" t="s">
        <v>1140</v>
      </c>
      <c r="D378" s="325">
        <v>15.73</v>
      </c>
      <c r="E378" s="325">
        <v>14.45</v>
      </c>
      <c r="F378" s="255">
        <f t="shared" ref="F378:F400" si="72">$D378/1.219</f>
        <v>12.904019688269072</v>
      </c>
      <c r="G378" s="255">
        <f>IFERROR(ROUNDUP(F378*'Customer Base'!$J$5,2),0)</f>
        <v>206.47</v>
      </c>
      <c r="H378" s="255">
        <f t="shared" ref="H378:H400" si="73">$E378/1.219</f>
        <v>11.853978671041837</v>
      </c>
      <c r="I378" s="255">
        <f>IFERROR(ROUNDUP(H378*'Customer Base'!$J$5,2),0)</f>
        <v>189.67</v>
      </c>
      <c r="J378" s="103" t="str">
        <f t="shared" si="69"/>
        <v/>
      </c>
      <c r="L378" s="103" t="str">
        <f t="shared" si="70"/>
        <v/>
      </c>
      <c r="N378" s="103">
        <v>377</v>
      </c>
      <c r="O378" s="103" t="str">
        <f>IF('Customer Base'!$I$15="MANUAL",IF(B378&lt;&gt;"",C378,""),IF('Customer Base'!$I$15="AUTOMATE",IF(A378&lt;&gt;"",C378,""),""))</f>
        <v/>
      </c>
      <c r="AO378" s="103" t="str">
        <f>IF('Customer Base'!$I$15="MANUAL",IFERROR(AM378*B378,""),IF('Customer Base'!$I$15="AUTOMATE",IFERROR(AM378*A378,""),""))</f>
        <v/>
      </c>
      <c r="AV378" s="103">
        <f t="shared" si="71"/>
        <v>0</v>
      </c>
    </row>
    <row r="379" spans="1:48">
      <c r="A379"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9" s="270" t="s">
        <v>1</v>
      </c>
      <c r="C379" s="253" t="s">
        <v>1141</v>
      </c>
      <c r="D379" s="325">
        <v>23.96</v>
      </c>
      <c r="E379" s="325">
        <v>22.015000000000001</v>
      </c>
      <c r="F379" s="255">
        <f t="shared" si="72"/>
        <v>19.655455291222314</v>
      </c>
      <c r="G379" s="255">
        <f>IFERROR(ROUNDUP(F379*'Customer Base'!$J$5,2),0)</f>
        <v>314.49</v>
      </c>
      <c r="H379" s="255">
        <f t="shared" si="73"/>
        <v>18.059885151763741</v>
      </c>
      <c r="I379" s="255">
        <f>IFERROR(ROUNDUP(H379*'Customer Base'!$J$5,2),0)</f>
        <v>288.95999999999998</v>
      </c>
      <c r="J379" s="103" t="str">
        <f t="shared" si="69"/>
        <v/>
      </c>
      <c r="L379" s="103" t="str">
        <f t="shared" si="70"/>
        <v/>
      </c>
      <c r="N379" s="103">
        <v>378</v>
      </c>
      <c r="O379" s="103" t="str">
        <f>IF('Customer Base'!$I$15="MANUAL",IF(B379&lt;&gt;"",C379,""),IF('Customer Base'!$I$15="AUTOMATE",IF(A379&lt;&gt;"",C379,""),""))</f>
        <v/>
      </c>
      <c r="AO379" s="103" t="str">
        <f>IF('Customer Base'!$I$15="MANUAL",IFERROR(AM379*B379,""),IF('Customer Base'!$I$15="AUTOMATE",IFERROR(AM379*A379,""),""))</f>
        <v/>
      </c>
      <c r="AV379" s="103">
        <f t="shared" si="71"/>
        <v>0</v>
      </c>
    </row>
    <row r="380" spans="1:48">
      <c r="A380"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80" s="270" t="s">
        <v>1</v>
      </c>
      <c r="C380" s="253" t="s">
        <v>1137</v>
      </c>
      <c r="D380" s="325">
        <v>25.44</v>
      </c>
      <c r="E380" s="325">
        <v>23.375</v>
      </c>
      <c r="F380" s="255">
        <f t="shared" si="72"/>
        <v>20.869565217391305</v>
      </c>
      <c r="G380" s="255">
        <f>IFERROR(ROUNDUP(F380*'Customer Base'!$J$5,2),0)</f>
        <v>333.92</v>
      </c>
      <c r="H380" s="255">
        <f t="shared" si="73"/>
        <v>19.175553732567678</v>
      </c>
      <c r="I380" s="255">
        <f>IFERROR(ROUNDUP(H380*'Customer Base'!$J$5,2),0)</f>
        <v>306.81</v>
      </c>
      <c r="J380" s="103" t="str">
        <f t="shared" si="69"/>
        <v/>
      </c>
      <c r="L380" s="103" t="str">
        <f t="shared" si="70"/>
        <v/>
      </c>
      <c r="N380" s="103">
        <v>379</v>
      </c>
      <c r="O380" s="103" t="str">
        <f>IF('Customer Base'!$I$15="MANUAL",IF(B380&lt;&gt;"",C380,""),IF('Customer Base'!$I$15="AUTOMATE",IF(A380&lt;&gt;"",C380,""),""))</f>
        <v/>
      </c>
      <c r="AO380" s="103" t="str">
        <f>IF('Customer Base'!$I$15="MANUAL",IFERROR(AM380*B380,""),IF('Customer Base'!$I$15="AUTOMATE",IFERROR(AM380*A380,""),""))</f>
        <v/>
      </c>
      <c r="AV380" s="103">
        <f t="shared" si="71"/>
        <v>0</v>
      </c>
    </row>
    <row r="381" spans="1:48">
      <c r="A381"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1" s="270">
        <v>45</v>
      </c>
      <c r="C381" s="253" t="s">
        <v>1138</v>
      </c>
      <c r="D381" s="325">
        <v>28.68</v>
      </c>
      <c r="E381" s="325">
        <v>27.13</v>
      </c>
      <c r="F381" s="255">
        <f t="shared" si="72"/>
        <v>23.527481542247742</v>
      </c>
      <c r="G381" s="255">
        <f>IFERROR(ROUNDUP(F381*'Customer Base'!$J$5,2),0)</f>
        <v>376.44</v>
      </c>
      <c r="H381" s="255">
        <f t="shared" si="73"/>
        <v>22.255947497949137</v>
      </c>
      <c r="I381" s="255">
        <f>IFERROR(ROUNDUP(H381*'Customer Base'!$J$5,2),0)</f>
        <v>356.09999999999997</v>
      </c>
      <c r="J381" s="103" t="str">
        <f t="shared" si="69"/>
        <v/>
      </c>
      <c r="L381" s="103" t="str">
        <f t="shared" si="70"/>
        <v/>
      </c>
      <c r="N381" s="103">
        <v>380</v>
      </c>
      <c r="O381" s="103" t="str">
        <f>IF('Customer Base'!$I$15="MANUAL",IF(B381&lt;&gt;"",C381,""),IF('Customer Base'!$I$15="AUTOMATE",IF(A381&lt;&gt;"",C381,""),""))</f>
        <v/>
      </c>
      <c r="AO381" s="103" t="str">
        <f>IF('Customer Base'!$I$15="MANUAL",IFERROR(AM381*B381,""),IF('Customer Base'!$I$15="AUTOMATE",IFERROR(AM381*A381,""),""))</f>
        <v/>
      </c>
      <c r="AV381" s="103">
        <f t="shared" si="71"/>
        <v>0</v>
      </c>
    </row>
    <row r="382" spans="1:48">
      <c r="A382"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2" s="270">
        <v>8</v>
      </c>
      <c r="C382" s="253" t="s">
        <v>1152</v>
      </c>
      <c r="D382" s="325">
        <v>40</v>
      </c>
      <c r="E382" s="325">
        <v>40</v>
      </c>
      <c r="F382" s="255">
        <f t="shared" si="72"/>
        <v>32.813781788351108</v>
      </c>
      <c r="G382" s="255">
        <f>IFERROR(ROUNDUP(F382*'Customer Base'!$J$5,2),0)</f>
        <v>525.03</v>
      </c>
      <c r="H382" s="255">
        <f t="shared" si="73"/>
        <v>32.813781788351108</v>
      </c>
      <c r="I382" s="255">
        <f>IFERROR(ROUNDUP(H382*'Customer Base'!$J$5,2),0)</f>
        <v>525.03</v>
      </c>
      <c r="J382" s="103" t="str">
        <f t="shared" si="69"/>
        <v/>
      </c>
      <c r="L382" s="103" t="str">
        <f t="shared" si="70"/>
        <v/>
      </c>
      <c r="N382" s="103">
        <v>381</v>
      </c>
      <c r="O382" s="103" t="str">
        <f>IF('Customer Base'!$I$15="MANUAL",IF(B382&lt;&gt;"",C382,""),IF('Customer Base'!$I$15="AUTOMATE",IF(A382&lt;&gt;"",C382,""),""))</f>
        <v/>
      </c>
      <c r="AO382" s="103" t="str">
        <f>IF('Customer Base'!$I$15="MANUAL",IFERROR(AM382*B382,""),IF('Customer Base'!$I$15="AUTOMATE",IFERROR(AM382*A382,""),""))</f>
        <v/>
      </c>
      <c r="AV382" s="103">
        <f t="shared" si="71"/>
        <v>0</v>
      </c>
    </row>
    <row r="383" spans="1:48">
      <c r="A383"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3" s="270" t="s">
        <v>1</v>
      </c>
      <c r="C383" s="253" t="s">
        <v>1153</v>
      </c>
      <c r="D383" s="325">
        <v>40</v>
      </c>
      <c r="E383" s="325">
        <v>40</v>
      </c>
      <c r="F383" s="255">
        <f t="shared" si="72"/>
        <v>32.813781788351108</v>
      </c>
      <c r="G383" s="255">
        <f>IFERROR(ROUNDUP(F383*'Customer Base'!$J$5,2),0)</f>
        <v>525.03</v>
      </c>
      <c r="H383" s="255">
        <f t="shared" si="73"/>
        <v>32.813781788351108</v>
      </c>
      <c r="I383" s="255">
        <f>IFERROR(ROUNDUP(H383*'Customer Base'!$J$5,2),0)</f>
        <v>525.03</v>
      </c>
      <c r="J383" s="103" t="str">
        <f t="shared" si="69"/>
        <v/>
      </c>
      <c r="L383" s="103" t="str">
        <f t="shared" si="70"/>
        <v/>
      </c>
      <c r="N383" s="103">
        <v>382</v>
      </c>
      <c r="O383" s="103" t="str">
        <f>IF('Customer Base'!$I$15="MANUAL",IF(B383&lt;&gt;"",C383,""),IF('Customer Base'!$I$15="AUTOMATE",IF(A383&lt;&gt;"",C383,""),""))</f>
        <v/>
      </c>
      <c r="AO383" s="103" t="str">
        <f>IF('Customer Base'!$I$15="MANUAL",IFERROR(AM383*B383,""),IF('Customer Base'!$I$15="AUTOMATE",IFERROR(AM383*A383,""),""))</f>
        <v/>
      </c>
      <c r="AV383" s="103">
        <f t="shared" si="71"/>
        <v>0</v>
      </c>
    </row>
    <row r="384" spans="1:48">
      <c r="C384" s="253" t="s">
        <v>1154</v>
      </c>
      <c r="D384" s="325">
        <v>40</v>
      </c>
      <c r="E384" s="325">
        <v>40</v>
      </c>
      <c r="F384" s="255">
        <f t="shared" si="72"/>
        <v>32.813781788351108</v>
      </c>
      <c r="G384" s="255">
        <f>IFERROR(ROUNDUP(F384*'Customer Base'!$J$5,2),0)</f>
        <v>525.03</v>
      </c>
      <c r="H384" s="255">
        <f t="shared" si="73"/>
        <v>32.813781788351108</v>
      </c>
      <c r="I384" s="255">
        <f>IFERROR(ROUNDUP(H384*'Customer Base'!$J$5,2),0)</f>
        <v>525.03</v>
      </c>
      <c r="J384" s="103" t="str">
        <f t="shared" si="69"/>
        <v/>
      </c>
      <c r="L384" s="103" t="str">
        <f t="shared" si="70"/>
        <v/>
      </c>
      <c r="N384" s="103">
        <v>383</v>
      </c>
      <c r="O384" s="103" t="str">
        <f>IF('Customer Base'!$I$15="MANUAL",IF(B384&lt;&gt;"",C384,""),IF('Customer Base'!$I$15="AUTOMATE",IF(A384&lt;&gt;"",C384,""),""))</f>
        <v/>
      </c>
      <c r="AO384" s="103">
        <f>IF('Customer Base'!$I$15="MANUAL",IFERROR(AM384*B384,""),IF('Customer Base'!$I$15="AUTOMATE",IFERROR(AM384*A384,""),""))</f>
        <v>0</v>
      </c>
      <c r="AV384" s="103">
        <f t="shared" si="71"/>
        <v>0</v>
      </c>
    </row>
    <row r="385" spans="1:48">
      <c r="A385"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5" s="270" t="s">
        <v>1</v>
      </c>
      <c r="C385" s="253" t="s">
        <v>1843</v>
      </c>
      <c r="D385" s="325">
        <v>42</v>
      </c>
      <c r="E385" s="325">
        <v>42</v>
      </c>
      <c r="F385" s="255">
        <f t="shared" si="72"/>
        <v>34.454470877768664</v>
      </c>
      <c r="G385" s="255">
        <f>IFERROR(ROUNDUP(F385*'Customer Base'!$J$5,2),0)</f>
        <v>551.28</v>
      </c>
      <c r="H385" s="255">
        <f t="shared" si="73"/>
        <v>34.454470877768664</v>
      </c>
      <c r="I385" s="255">
        <f>IFERROR(ROUNDUP(H385*'Customer Base'!$J$5,2),0)</f>
        <v>551.28</v>
      </c>
      <c r="J385" s="103" t="str">
        <f t="shared" si="69"/>
        <v/>
      </c>
      <c r="L385" s="103" t="str">
        <f t="shared" si="70"/>
        <v/>
      </c>
      <c r="N385" s="103">
        <v>384</v>
      </c>
      <c r="O385" s="103" t="str">
        <f>IF('Customer Base'!$I$15="MANUAL",IF(B385&lt;&gt;"",C385,""),IF('Customer Base'!$I$15="AUTOMATE",IF(A385&lt;&gt;"",C385,""),""))</f>
        <v/>
      </c>
      <c r="AO385" s="103" t="str">
        <f>IF('Customer Base'!$I$15="MANUAL",IFERROR(AM385*B385,""),IF('Customer Base'!$I$15="AUTOMATE",IFERROR(AM385*A385,""),""))</f>
        <v/>
      </c>
      <c r="AV385" s="103">
        <f t="shared" si="71"/>
        <v>0</v>
      </c>
    </row>
    <row r="386" spans="1:48">
      <c r="A386"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6" s="270" t="s">
        <v>1</v>
      </c>
      <c r="C386" s="253" t="s">
        <v>1157</v>
      </c>
      <c r="D386" s="325">
        <v>48.75</v>
      </c>
      <c r="E386" s="325">
        <v>48.75</v>
      </c>
      <c r="F386" s="255">
        <f t="shared" si="72"/>
        <v>39.991796554552913</v>
      </c>
      <c r="G386" s="255">
        <f>IFERROR(ROUNDUP(F386*'Customer Base'!$J$5,2),0)</f>
        <v>639.87</v>
      </c>
      <c r="H386" s="255">
        <f t="shared" si="73"/>
        <v>39.991796554552913</v>
      </c>
      <c r="I386" s="255">
        <f>IFERROR(ROUNDUP(H386*'Customer Base'!$J$5,2),0)</f>
        <v>639.87</v>
      </c>
      <c r="J386" s="103" t="str">
        <f t="shared" si="69"/>
        <v/>
      </c>
      <c r="L386" s="103" t="str">
        <f t="shared" si="70"/>
        <v/>
      </c>
      <c r="N386" s="103">
        <v>385</v>
      </c>
      <c r="O386" s="103" t="str">
        <f>IF('Customer Base'!$I$15="MANUAL",IF(B386&lt;&gt;"",C386,""),IF('Customer Base'!$I$15="AUTOMATE",IF(A386&lt;&gt;"",C386,""),""))</f>
        <v/>
      </c>
      <c r="AO386" s="103" t="str">
        <f>IF('Customer Base'!$I$15="MANUAL",IFERROR(AM386*B386,""),IF('Customer Base'!$I$15="AUTOMATE",IFERROR(AM386*A386,""),""))</f>
        <v/>
      </c>
      <c r="AV386" s="103">
        <f t="shared" si="71"/>
        <v>0</v>
      </c>
    </row>
    <row r="387" spans="1:48">
      <c r="A387"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7" s="270" t="s">
        <v>1</v>
      </c>
      <c r="C387" s="253" t="s">
        <v>1276</v>
      </c>
      <c r="D387" s="325">
        <v>65.45</v>
      </c>
      <c r="E387" s="325">
        <v>65.45</v>
      </c>
      <c r="F387" s="255">
        <f t="shared" si="72"/>
        <v>53.691550451189499</v>
      </c>
      <c r="G387" s="255">
        <f>IFERROR(ROUNDUP(F387*'Customer Base'!$J$5,2),0)</f>
        <v>859.06999999999994</v>
      </c>
      <c r="H387" s="255">
        <f t="shared" si="73"/>
        <v>53.691550451189499</v>
      </c>
      <c r="I387" s="255">
        <f>IFERROR(ROUNDUP(H387*'Customer Base'!$J$5,2),0)</f>
        <v>859.06999999999994</v>
      </c>
      <c r="J387" s="103" t="str">
        <f t="shared" si="69"/>
        <v/>
      </c>
      <c r="L387" s="103" t="str">
        <f t="shared" si="70"/>
        <v/>
      </c>
      <c r="N387" s="103">
        <v>386</v>
      </c>
      <c r="O387" s="103" t="str">
        <f>IF('Customer Base'!$I$15="MANUAL",IF(B387&lt;&gt;"",C387,""),IF('Customer Base'!$I$15="AUTOMATE",IF(A387&lt;&gt;"",C387,""),""))</f>
        <v/>
      </c>
      <c r="AO387" s="103" t="str">
        <f>IF('Customer Base'!$I$15="MANUAL",IFERROR(AM387*B387,""),IF('Customer Base'!$I$15="AUTOMATE",IFERROR(AM387*A387,""),""))</f>
        <v/>
      </c>
      <c r="AV387" s="103">
        <f t="shared" si="71"/>
        <v>0</v>
      </c>
    </row>
    <row r="388" spans="1:48">
      <c r="A388"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8" s="270" t="s">
        <v>1</v>
      </c>
      <c r="C388" s="253" t="s">
        <v>1796</v>
      </c>
      <c r="D388" s="325">
        <v>85</v>
      </c>
      <c r="E388" s="325">
        <v>85</v>
      </c>
      <c r="F388" s="255">
        <f t="shared" si="72"/>
        <v>69.729286300246102</v>
      </c>
      <c r="G388" s="255">
        <f>IFERROR(ROUNDUP(F388*'Customer Base'!$J$5,2),0)</f>
        <v>1115.67</v>
      </c>
      <c r="H388" s="255">
        <f t="shared" si="73"/>
        <v>69.729286300246102</v>
      </c>
      <c r="I388" s="255">
        <f>IFERROR(ROUNDUP(H388*'Customer Base'!$J$5,2),0)</f>
        <v>1115.67</v>
      </c>
      <c r="J388" s="103" t="str">
        <f t="shared" si="69"/>
        <v/>
      </c>
      <c r="L388" s="103" t="str">
        <f t="shared" si="70"/>
        <v/>
      </c>
      <c r="N388" s="103">
        <v>387</v>
      </c>
      <c r="O388" s="103" t="str">
        <f>IF('Customer Base'!$I$15="MANUAL",IF(B388&lt;&gt;"",C388,""),IF('Customer Base'!$I$15="AUTOMATE",IF(A388&lt;&gt;"",C388,""),""))</f>
        <v/>
      </c>
      <c r="AO388" s="103" t="str">
        <f>IF('Customer Base'!$I$15="MANUAL",IFERROR(AM388*B388,""),IF('Customer Base'!$I$15="AUTOMATE",IFERROR(AM388*A388,""),""))</f>
        <v/>
      </c>
      <c r="AV388" s="103">
        <f t="shared" si="71"/>
        <v>0</v>
      </c>
    </row>
    <row r="389" spans="1:48">
      <c r="A389"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9" s="270" t="s">
        <v>1</v>
      </c>
      <c r="C389" s="253" t="s">
        <v>2602</v>
      </c>
      <c r="D389" s="325">
        <v>100</v>
      </c>
      <c r="E389" s="325">
        <v>100</v>
      </c>
      <c r="F389" s="255">
        <f t="shared" si="72"/>
        <v>82.034454470877762</v>
      </c>
      <c r="G389" s="255">
        <f>IFERROR(ROUNDUP(F389*'Customer Base'!$J$5,2),0)</f>
        <v>1312.56</v>
      </c>
      <c r="H389" s="255">
        <f t="shared" si="73"/>
        <v>82.034454470877762</v>
      </c>
      <c r="I389" s="255">
        <f>IFERROR(ROUNDUP(H389*'Customer Base'!$J$5,2),0)</f>
        <v>1312.56</v>
      </c>
      <c r="J389" s="103" t="str">
        <f t="shared" si="69"/>
        <v/>
      </c>
      <c r="L389" s="103" t="str">
        <f t="shared" si="70"/>
        <v/>
      </c>
      <c r="N389" s="103">
        <v>388</v>
      </c>
      <c r="O389" s="103" t="str">
        <f>IF('Customer Base'!$I$15="MANUAL",IF(B389&lt;&gt;"",C389,""),IF('Customer Base'!$I$15="AUTOMATE",IF(A389&lt;&gt;"",C389,""),""))</f>
        <v/>
      </c>
      <c r="AO389" s="103" t="str">
        <f>IF('Customer Base'!$I$15="MANUAL",IFERROR(AM389*B389,""),IF('Customer Base'!$I$15="AUTOMATE",IFERROR(AM389*A389,""),""))</f>
        <v/>
      </c>
    </row>
    <row r="390" spans="1:48">
      <c r="A390"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90" s="270" t="s">
        <v>1</v>
      </c>
      <c r="C390" s="253" t="s">
        <v>1633</v>
      </c>
      <c r="D390" s="325">
        <v>125</v>
      </c>
      <c r="E390" s="325">
        <v>125</v>
      </c>
      <c r="F390" s="255">
        <f t="shared" si="72"/>
        <v>102.54306808859721</v>
      </c>
      <c r="G390" s="255">
        <f>IFERROR(ROUNDUP(F390*'Customer Base'!$J$5,2),0)</f>
        <v>1640.69</v>
      </c>
      <c r="H390" s="255">
        <f t="shared" si="73"/>
        <v>102.54306808859721</v>
      </c>
      <c r="I390" s="255">
        <f>IFERROR(ROUNDUP(H390*'Customer Base'!$J$5,2),0)</f>
        <v>1640.69</v>
      </c>
      <c r="J390" s="103" t="str">
        <f t="shared" si="69"/>
        <v/>
      </c>
      <c r="L390" s="103" t="str">
        <f t="shared" si="70"/>
        <v/>
      </c>
      <c r="N390" s="103">
        <v>389</v>
      </c>
      <c r="O390" s="103" t="str">
        <f>IF('Customer Base'!$I$15="MANUAL",IF(B390&lt;&gt;"",C390,""),IF('Customer Base'!$I$15="AUTOMATE",IF(A390&lt;&gt;"",C390,""),""))</f>
        <v/>
      </c>
      <c r="AO390" s="103" t="str">
        <f>IF('Customer Base'!$I$15="MANUAL",IFERROR(AM390*B390,""),IF('Customer Base'!$I$15="AUTOMATE",IFERROR(AM390*A390,""),""))</f>
        <v/>
      </c>
      <c r="AV390" s="103">
        <f t="shared" si="71"/>
        <v>0</v>
      </c>
    </row>
    <row r="391" spans="1:48">
      <c r="A391"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1" s="270" t="s">
        <v>1</v>
      </c>
      <c r="C391" s="253" t="s">
        <v>1158</v>
      </c>
      <c r="D391" s="325">
        <v>140</v>
      </c>
      <c r="E391" s="325">
        <v>140</v>
      </c>
      <c r="F391" s="255">
        <f t="shared" si="72"/>
        <v>114.84823625922887</v>
      </c>
      <c r="G391" s="255">
        <f>IFERROR(ROUNDUP(F391*'Customer Base'!$J$5,2),0)</f>
        <v>1837.58</v>
      </c>
      <c r="H391" s="255">
        <f t="shared" si="73"/>
        <v>114.84823625922887</v>
      </c>
      <c r="I391" s="255">
        <f>IFERROR(ROUNDUP(H391*'Customer Base'!$J$5,2),0)</f>
        <v>1837.58</v>
      </c>
      <c r="J391" s="103" t="str">
        <f t="shared" si="69"/>
        <v/>
      </c>
      <c r="L391" s="103" t="str">
        <f t="shared" si="70"/>
        <v/>
      </c>
      <c r="N391" s="103">
        <v>390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2" s="270" t="s">
        <v>1</v>
      </c>
      <c r="C392" s="253" t="s">
        <v>2603</v>
      </c>
      <c r="D392" s="325">
        <v>160</v>
      </c>
      <c r="E392" s="325">
        <v>160</v>
      </c>
      <c r="F392" s="255">
        <f t="shared" si="72"/>
        <v>131.25512715340443</v>
      </c>
      <c r="G392" s="255">
        <f>IFERROR(ROUNDUP(F392*'Customer Base'!$J$5,2),0)</f>
        <v>2100.09</v>
      </c>
      <c r="H392" s="255">
        <f t="shared" si="73"/>
        <v>131.25512715340443</v>
      </c>
      <c r="I392" s="255">
        <f>IFERROR(ROUNDUP(H392*'Customer Base'!$J$5,2),0)</f>
        <v>2100.09</v>
      </c>
      <c r="J392" s="103" t="str">
        <f t="shared" si="69"/>
        <v/>
      </c>
      <c r="L392" s="103" t="str">
        <f t="shared" si="70"/>
        <v/>
      </c>
      <c r="N392" s="103">
        <v>391</v>
      </c>
      <c r="O392" s="103" t="str">
        <f>IF('Customer Base'!$I$15="MANUAL",IF(B392&lt;&gt;"",C392,""),IF('Customer Base'!$I$15="AUTOMATE",IF(A392&lt;&gt;"",C392,""),""))</f>
        <v/>
      </c>
      <c r="AO392" s="103" t="str">
        <f>IF('Customer Base'!$I$15="MANUAL",IFERROR(AM392*B392,""),IF('Customer Base'!$I$15="AUTOMATE",IFERROR(AM392*A392,""),""))</f>
        <v/>
      </c>
    </row>
    <row r="393" spans="1:48">
      <c r="A393"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3" s="270" t="s">
        <v>1</v>
      </c>
      <c r="C393" s="253" t="s">
        <v>2604</v>
      </c>
      <c r="D393" s="325">
        <v>180</v>
      </c>
      <c r="E393" s="325">
        <v>180</v>
      </c>
      <c r="F393" s="255">
        <f t="shared" si="72"/>
        <v>147.66201804757998</v>
      </c>
      <c r="G393" s="255">
        <f>IFERROR(ROUNDUP(F393*'Customer Base'!$J$5,2),0)</f>
        <v>2362.6000000000004</v>
      </c>
      <c r="H393" s="255">
        <f t="shared" si="73"/>
        <v>147.66201804757998</v>
      </c>
      <c r="I393" s="255">
        <f>IFERROR(ROUNDUP(H393*'Customer Base'!$J$5,2),0)</f>
        <v>2362.6000000000004</v>
      </c>
      <c r="J393" s="103" t="str">
        <f t="shared" si="69"/>
        <v/>
      </c>
      <c r="L393" s="103" t="str">
        <f t="shared" si="70"/>
        <v/>
      </c>
      <c r="N393" s="103">
        <v>392</v>
      </c>
      <c r="O393" s="103" t="str">
        <f>IF('Customer Base'!$I$15="MANUAL",IF(B393&lt;&gt;"",C393,""),IF('Customer Base'!$I$15="AUTOMATE",IF(A393&lt;&gt;"",C393,""),""))</f>
        <v/>
      </c>
      <c r="AO393" s="103" t="str">
        <f>IF('Customer Base'!$I$15="MANUAL",IFERROR(AM393*B393,""),IF('Customer Base'!$I$15="AUTOMATE",IFERROR(AM393*A393,""),""))</f>
        <v/>
      </c>
      <c r="AV393" s="103">
        <f t="shared" si="71"/>
        <v>0</v>
      </c>
    </row>
    <row r="394" spans="1:48">
      <c r="D394" s="319"/>
      <c r="E394" s="319"/>
      <c r="F394" s="224">
        <f t="shared" si="72"/>
        <v>0</v>
      </c>
      <c r="G394" s="224">
        <f>IFERROR(ROUNDUP(F394*'Customer Base'!$J$5,2),0)</f>
        <v>0</v>
      </c>
      <c r="H394" s="224">
        <f t="shared" si="73"/>
        <v>0</v>
      </c>
      <c r="I394" s="224"/>
      <c r="J394" s="103" t="str">
        <f t="shared" si="69"/>
        <v/>
      </c>
      <c r="L394" s="103" t="str">
        <f t="shared" si="70"/>
        <v/>
      </c>
      <c r="N394" s="103">
        <v>393</v>
      </c>
      <c r="O394" s="103" t="str">
        <f>IF('Customer Base'!$I$15="MANUAL",IF(B394&lt;&gt;"",C394,""),IF('Customer Base'!$I$15="AUTOMATE",IF(A394&lt;&gt;"",C394,""),""))</f>
        <v/>
      </c>
      <c r="AO394" s="103">
        <f>IF('Customer Base'!$I$15="MANUAL",IFERROR(AM394*B394,""),IF('Customer Base'!$I$15="AUTOMATE",IFERROR(AM394*A394,""),""))</f>
        <v>0</v>
      </c>
      <c r="AV394" s="103">
        <f t="shared" si="71"/>
        <v>0</v>
      </c>
    </row>
    <row r="395" spans="1:48">
      <c r="C395" s="253" t="s">
        <v>985</v>
      </c>
      <c r="D395" s="325">
        <v>2</v>
      </c>
      <c r="E395" s="325">
        <v>2</v>
      </c>
      <c r="F395" s="255">
        <f t="shared" si="72"/>
        <v>1.6406890894175552</v>
      </c>
      <c r="G395" s="255">
        <f>IFERROR(ROUNDUP(F395*'Customer Base'!$J$5,2),0)</f>
        <v>26.26</v>
      </c>
      <c r="H395" s="255">
        <f t="shared" si="73"/>
        <v>1.6406890894175552</v>
      </c>
      <c r="I395" s="255">
        <f>IFERROR(ROUNDUP(H395*'Customer Base'!$J$5,2),0)</f>
        <v>26.26</v>
      </c>
      <c r="J395" s="103" t="str">
        <f t="shared" si="69"/>
        <v/>
      </c>
      <c r="L395" s="103" t="str">
        <f t="shared" si="70"/>
        <v/>
      </c>
      <c r="N395" s="103">
        <v>394</v>
      </c>
      <c r="O395" s="103" t="str">
        <f>IF('Customer Base'!$I$15="MANUAL",IF(B395&lt;&gt;"",C395,""),IF('Customer Base'!$I$15="AUTOMATE",IF(A395&lt;&gt;"",C395,""),""))</f>
        <v/>
      </c>
      <c r="AO395" s="103">
        <f>IF('Customer Base'!$I$15="MANUAL",IFERROR(AM395*B395,""),IF('Customer Base'!$I$15="AUTOMATE",IFERROR(AM395*A395,""),""))</f>
        <v>0</v>
      </c>
      <c r="AV395" s="103">
        <f t="shared" si="71"/>
        <v>0</v>
      </c>
    </row>
    <row r="396" spans="1:48">
      <c r="C396" s="253" t="s">
        <v>1858</v>
      </c>
      <c r="D396" s="325">
        <v>2.2000000000000002</v>
      </c>
      <c r="E396" s="325">
        <v>2.2000000000000002</v>
      </c>
      <c r="F396" s="255">
        <f t="shared" si="72"/>
        <v>1.8047579983593109</v>
      </c>
      <c r="G396" s="255">
        <f>IFERROR(ROUNDUP(F396*'Customer Base'!$J$5,2),0)</f>
        <v>28.880000000000003</v>
      </c>
      <c r="H396" s="255">
        <f t="shared" si="73"/>
        <v>1.8047579983593109</v>
      </c>
      <c r="I396" s="255">
        <f>IFERROR(ROUNDUP(H396*'Customer Base'!$J$5,2),0)</f>
        <v>28.880000000000003</v>
      </c>
      <c r="J396" s="103" t="str">
        <f t="shared" si="69"/>
        <v/>
      </c>
      <c r="L396" s="103" t="str">
        <f t="shared" si="70"/>
        <v/>
      </c>
      <c r="N396" s="103">
        <v>395</v>
      </c>
      <c r="O396" s="103" t="str">
        <f>IF('Customer Base'!$I$15="MANUAL",IF(B396&lt;&gt;"",C396,""),IF('Customer Base'!$I$15="AUTOMATE",IF(A396&lt;&gt;"",C396,""),""))</f>
        <v/>
      </c>
      <c r="AO396" s="103">
        <f>IF('Customer Base'!$I$15="MANUAL",IFERROR(AM396*B396,""),IF('Customer Base'!$I$15="AUTOMATE",IFERROR(AM396*A396,""),""))</f>
        <v>0</v>
      </c>
      <c r="AV396" s="103">
        <f t="shared" si="71"/>
        <v>0</v>
      </c>
    </row>
    <row r="397" spans="1:48">
      <c r="A397" s="103">
        <f ca="1">IFERROR(MROUND((IF(SUM(A367:A369)&gt;0,'Customer Base'!D31,"")+SUM(A242:A255)),5),"")</f>
        <v>60</v>
      </c>
      <c r="B397" s="270">
        <v>95</v>
      </c>
      <c r="C397" s="253" t="s">
        <v>984</v>
      </c>
      <c r="D397" s="325">
        <v>2.2000000000000002</v>
      </c>
      <c r="E397" s="325">
        <v>2.2000000000000002</v>
      </c>
      <c r="F397" s="255">
        <f t="shared" si="72"/>
        <v>1.8047579983593109</v>
      </c>
      <c r="G397" s="255">
        <f>IFERROR(ROUNDUP(F397*'Customer Base'!$J$5,2),0)</f>
        <v>28.880000000000003</v>
      </c>
      <c r="H397" s="255">
        <f t="shared" si="73"/>
        <v>1.8047579983593109</v>
      </c>
      <c r="I397" s="255">
        <f>IFERROR(ROUNDUP(H397*'Customer Base'!$J$5,2),0)</f>
        <v>28.880000000000003</v>
      </c>
      <c r="J397" s="103" t="str">
        <f t="shared" si="69"/>
        <v/>
      </c>
      <c r="L397" s="103" t="str">
        <f t="shared" si="70"/>
        <v/>
      </c>
      <c r="N397" s="103">
        <v>396</v>
      </c>
      <c r="O397" s="103" t="str">
        <f ca="1">IF('Customer Base'!$I$15="MANUAL",IF(B397&lt;&gt;"",C397,""),IF('Customer Base'!$I$15="AUTOMATE",IF(A397&lt;&gt;"",C397,""),""))</f>
        <v>1x6mm2 RV-K 0.6/1KV Yellow/Green Earth Cable</v>
      </c>
      <c r="AO397" s="103">
        <f ca="1">IF('Customer Base'!$I$15="MANUAL",IFERROR(AM397*B397,""),IF('Customer Base'!$I$15="AUTOMATE",IFERROR(AM397*A397,""),""))</f>
        <v>0</v>
      </c>
      <c r="AV397" s="103">
        <f t="shared" si="71"/>
        <v>0</v>
      </c>
    </row>
    <row r="398" spans="1:48">
      <c r="C398" s="253" t="s">
        <v>1655</v>
      </c>
      <c r="D398" s="325">
        <v>4.4000000000000004</v>
      </c>
      <c r="E398" s="325">
        <v>4.4000000000000004</v>
      </c>
      <c r="F398" s="255">
        <f t="shared" si="72"/>
        <v>3.6095159967186219</v>
      </c>
      <c r="G398" s="255">
        <f>IFERROR(ROUNDUP(F398*'Customer Base'!$J$5,2),0)</f>
        <v>57.76</v>
      </c>
      <c r="H398" s="255">
        <f t="shared" si="73"/>
        <v>3.6095159967186219</v>
      </c>
      <c r="I398" s="255">
        <f>IFERROR(ROUNDUP(H398*'Customer Base'!$J$5,2),0)</f>
        <v>57.76</v>
      </c>
      <c r="J398" s="103" t="str">
        <f t="shared" si="69"/>
        <v/>
      </c>
      <c r="L398" s="103" t="str">
        <f t="shared" si="70"/>
        <v/>
      </c>
      <c r="N398" s="103">
        <v>397</v>
      </c>
      <c r="O398" s="103" t="str">
        <f>IF('Customer Base'!$I$15="MANUAL",IF(B398&lt;&gt;"",C398,""),IF('Customer Base'!$I$15="AUTOMATE",IF(A398&lt;&gt;"",C398,""),""))</f>
        <v/>
      </c>
      <c r="AO398" s="103">
        <f>IF('Customer Base'!$I$15="MANUAL",IFERROR(AM398*B398,""),IF('Customer Base'!$I$15="AUTOMATE",IFERROR(AM398*A398,""),""))</f>
        <v>0</v>
      </c>
      <c r="AV398" s="103">
        <f t="shared" si="71"/>
        <v>0</v>
      </c>
    </row>
    <row r="399" spans="1:48">
      <c r="C399" s="253" t="s">
        <v>1255</v>
      </c>
      <c r="D399" s="325">
        <v>6.62</v>
      </c>
      <c r="E399" s="325">
        <v>6.62</v>
      </c>
      <c r="F399" s="255">
        <f t="shared" si="72"/>
        <v>5.4306808859721079</v>
      </c>
      <c r="G399" s="255">
        <f>IFERROR(ROUNDUP(F399*'Customer Base'!$J$5,2),0)</f>
        <v>86.9</v>
      </c>
      <c r="H399" s="255">
        <f t="shared" si="73"/>
        <v>5.4306808859721079</v>
      </c>
      <c r="I399" s="255">
        <f>IFERROR(ROUNDUP(H399*'Customer Base'!$J$5,2),0)</f>
        <v>86.9</v>
      </c>
      <c r="J399" s="103" t="str">
        <f t="shared" si="69"/>
        <v/>
      </c>
      <c r="L399" s="103" t="str">
        <f t="shared" si="70"/>
        <v/>
      </c>
      <c r="N399" s="103">
        <v>398</v>
      </c>
      <c r="O399" s="103" t="str">
        <f>IF('Customer Base'!$I$15="MANUAL",IF(B399&lt;&gt;"",C399,""),IF('Customer Base'!$I$15="AUTOMATE",IF(A399&lt;&gt;"",C399,""),""))</f>
        <v/>
      </c>
      <c r="AO399" s="103">
        <f>IF('Customer Base'!$I$15="MANUAL",IFERROR(AM399*B399,""),IF('Customer Base'!$I$15="AUTOMATE",IFERROR(AM399*A399,""),""))</f>
        <v>0</v>
      </c>
      <c r="AV399" s="103">
        <f t="shared" si="71"/>
        <v>0</v>
      </c>
    </row>
    <row r="400" spans="1:48">
      <c r="D400" s="319"/>
      <c r="E400" s="319"/>
      <c r="F400" s="224">
        <f t="shared" si="72"/>
        <v>0</v>
      </c>
      <c r="G400" s="224">
        <f>IFERROR(ROUNDUP(F400*'Customer Base'!$J$5,2),0)</f>
        <v>0</v>
      </c>
      <c r="H400" s="224">
        <f t="shared" si="73"/>
        <v>0</v>
      </c>
      <c r="I400" s="224">
        <f>IFERROR(ROUNDUP(H400*'Customer Base'!$J$5,2),0)</f>
        <v>0</v>
      </c>
      <c r="J400" s="103" t="str">
        <f t="shared" si="69"/>
        <v/>
      </c>
      <c r="L400" s="103" t="str">
        <f t="shared" si="70"/>
        <v/>
      </c>
      <c r="N400" s="103">
        <v>399</v>
      </c>
      <c r="O400" s="103" t="str">
        <f>IF('Customer Base'!$I$15="MANUAL",IF(B400&lt;&gt;"",C400,""),IF('Customer Base'!$I$15="AUTOMATE",IF(A400&lt;&gt;"",C400,""),""))</f>
        <v/>
      </c>
      <c r="AO400" s="103">
        <f>IF('Customer Base'!$I$15="MANUAL",IFERROR(AM400*B400,""),IF('Customer Base'!$I$15="AUTOMATE",IFERROR(AM400*A400,""),""))</f>
        <v>0</v>
      </c>
      <c r="AV400" s="103">
        <f t="shared" si="71"/>
        <v>0</v>
      </c>
    </row>
    <row r="401" spans="1:48">
      <c r="C401" s="253" t="s">
        <v>1225</v>
      </c>
      <c r="D401" s="325">
        <f>F401*1.219</f>
        <v>46.322000000000003</v>
      </c>
      <c r="E401" s="325">
        <f>H401*1.219</f>
        <v>40.227000000000004</v>
      </c>
      <c r="F401" s="255">
        <f>1%*IF('Customer Base'!I15="AUTOMATE",ROUNDUP(SUMPRODUCT($A$242:$A$255,F$242:F$255),-2),ROUNDUP(SUMPRODUCT($B$242:$B$255,F$242:F$255),-2))</f>
        <v>38</v>
      </c>
      <c r="G401" s="255">
        <f>IFERROR(ROUNDUP(F401*'Customer Base'!$J$5,2),0)</f>
        <v>608</v>
      </c>
      <c r="H401" s="255">
        <f>1%*IF('Customer Base'!I15="AUTOMATE",ROUNDUP(SUMPRODUCT($A$242:$A$255,H$242:H$255),-2),ROUNDUP(SUMPRODUCT($B$242:$B$255,H$242:H$255),-2))</f>
        <v>33</v>
      </c>
      <c r="I401" s="255">
        <f>IFERROR(ROUNDUP(H401*'Customer Base'!$J$5,2),0)</f>
        <v>528</v>
      </c>
      <c r="J401" s="103" t="str">
        <f t="shared" si="69"/>
        <v/>
      </c>
      <c r="L401" s="103" t="str">
        <f t="shared" si="70"/>
        <v/>
      </c>
      <c r="N401" s="103">
        <v>400</v>
      </c>
      <c r="O401" s="103" t="str">
        <f>IF('Customer Base'!$I$15="MANUAL",IF(B401&lt;&gt;"",C401,""),IF('Customer Base'!$I$15="AUTOMATE",IF(A401&lt;&gt;"",C401,""),""))</f>
        <v/>
      </c>
      <c r="AO401" s="103">
        <f>IF('Customer Base'!$I$15="MANUAL",IFERROR(AM401*B401,""),IF('Customer Base'!$I$15="AUTOMATE",IFERROR(AM401*A401,""),""))</f>
        <v>0</v>
      </c>
      <c r="AV401" s="103">
        <f t="shared" ref="AV401:AV442" si="74">IF(AU401&lt;&gt;"",AU401,AT401)</f>
        <v>0</v>
      </c>
    </row>
    <row r="402" spans="1:48">
      <c r="D402" s="319"/>
      <c r="E402" s="319"/>
      <c r="F402" s="224">
        <f t="shared" ref="F402:F405" si="75">$D402/1.219</f>
        <v>0</v>
      </c>
      <c r="G402" s="224">
        <f>IFERROR(ROUNDUP(F402*'Customer Base'!$J$5,2),0)</f>
        <v>0</v>
      </c>
      <c r="H402" s="224">
        <f t="shared" ref="H402:H405" si="76">$E402/1.219</f>
        <v>0</v>
      </c>
      <c r="I402" s="224"/>
      <c r="J402" s="103" t="str">
        <f t="shared" ref="J402:J465" si="77">IF(D402&lt;&gt;"",IF(D402&lt;E402,"lkdfjk",""),"")</f>
        <v/>
      </c>
      <c r="L402" s="103" t="str">
        <f t="shared" ref="L402:L465" si="78">IF(H402&gt;F402,"lkkajdfkj","")</f>
        <v/>
      </c>
      <c r="N402" s="103">
        <v>401</v>
      </c>
      <c r="O402" s="103" t="str">
        <f>IF('Customer Base'!$I$15="MANUAL",IF(B402&lt;&gt;"",C402,""),IF('Customer Base'!$I$15="AUTOMATE",IF(A402&lt;&gt;"",C402,""),""))</f>
        <v/>
      </c>
      <c r="AO402" s="103">
        <f>IF('Customer Base'!$I$15="MANUAL",IFERROR(AM402*B402,""),IF('Customer Base'!$I$15="AUTOMATE",IFERROR(AM402*A402,""),""))</f>
        <v>0</v>
      </c>
      <c r="AV402" s="103">
        <f t="shared" si="74"/>
        <v>0</v>
      </c>
    </row>
    <row r="403" spans="1:48">
      <c r="A403" s="103" t="str">
        <f>IF('Customer Base'!D7="Grid-Tied",3*SUM(A136:A141,A97:A99,A178)*'Customer Base'!D32,"")</f>
        <v/>
      </c>
      <c r="B403" s="270" t="s">
        <v>1</v>
      </c>
      <c r="C403" s="253" t="s">
        <v>1164</v>
      </c>
      <c r="D403" s="325">
        <v>1.5</v>
      </c>
      <c r="E403" s="325">
        <v>1.5</v>
      </c>
      <c r="F403" s="255">
        <f t="shared" si="75"/>
        <v>1.2305168170631664</v>
      </c>
      <c r="G403" s="255">
        <f>IFERROR(ROUNDUP(F403*'Customer Base'!$J$5,2),0)</f>
        <v>19.690000000000001</v>
      </c>
      <c r="H403" s="255">
        <f t="shared" si="76"/>
        <v>1.2305168170631664</v>
      </c>
      <c r="I403" s="255">
        <f>IFERROR(ROUNDUP(H403*'Customer Base'!$J$5,2),0)</f>
        <v>19.690000000000001</v>
      </c>
      <c r="J403" s="103" t="str">
        <f t="shared" si="77"/>
        <v/>
      </c>
      <c r="L403" s="103" t="str">
        <f t="shared" si="78"/>
        <v/>
      </c>
      <c r="N403" s="103">
        <v>402</v>
      </c>
      <c r="O403" s="103" t="str">
        <f>IF('Customer Base'!$I$15="MANUAL",IF(B403&lt;&gt;"",C403,""),IF('Customer Base'!$I$15="AUTOMATE",IF(A403&lt;&gt;"",C403,""),""))</f>
        <v/>
      </c>
      <c r="AO403" s="103" t="str">
        <f>IF('Customer Base'!$I$15="MANUAL",IFERROR(AM403*B403,""),IF('Customer Base'!$I$15="AUTOMATE",IFERROR(AM403*A403,""),""))</f>
        <v/>
      </c>
      <c r="AV403" s="103">
        <f t="shared" si="74"/>
        <v>0</v>
      </c>
    </row>
    <row r="404" spans="1:48">
      <c r="A404" s="103" t="str">
        <f>IF('Customer Base'!D7="Grid-Tied",SUM(A136:A141,A97:A99,A178)*'Customer Base'!D32,"")</f>
        <v/>
      </c>
      <c r="B404" s="270" t="s">
        <v>1</v>
      </c>
      <c r="C404" s="253" t="s">
        <v>1224</v>
      </c>
      <c r="D404" s="325">
        <v>2.5</v>
      </c>
      <c r="E404" s="325">
        <v>2.5</v>
      </c>
      <c r="F404" s="255">
        <f t="shared" si="75"/>
        <v>2.0508613617719442</v>
      </c>
      <c r="G404" s="255">
        <f>IFERROR(ROUNDUP(F404*'Customer Base'!$J$5,2),0)</f>
        <v>32.82</v>
      </c>
      <c r="H404" s="255">
        <f t="shared" si="76"/>
        <v>2.0508613617719442</v>
      </c>
      <c r="I404" s="255">
        <f>IFERROR(ROUNDUP(H404*'Customer Base'!$J$5,2),0)</f>
        <v>32.82</v>
      </c>
      <c r="J404" s="103" t="str">
        <f t="shared" si="77"/>
        <v/>
      </c>
      <c r="L404" s="103" t="str">
        <f t="shared" si="78"/>
        <v/>
      </c>
      <c r="N404" s="103">
        <v>403</v>
      </c>
      <c r="O404" s="103" t="str">
        <f>IF('Customer Base'!$I$15="MANUAL",IF(B404&lt;&gt;"",C404,""),IF('Customer Base'!$I$15="AUTOMATE",IF(A404&lt;&gt;"",C404,""),""))</f>
        <v/>
      </c>
      <c r="AO404" s="103" t="str">
        <f>IF('Customer Base'!$I$15="MANUAL",IFERROR(AM404*B404,""),IF('Customer Base'!$I$15="AUTOMATE",IFERROR(AM404*A404,""),""))</f>
        <v/>
      </c>
      <c r="AV404" s="103">
        <f t="shared" si="74"/>
        <v>0</v>
      </c>
    </row>
    <row r="405" spans="1:48">
      <c r="D405" s="319"/>
      <c r="E405" s="319"/>
      <c r="F405" s="224">
        <f t="shared" si="75"/>
        <v>0</v>
      </c>
      <c r="G405" s="224">
        <f>IFERROR(ROUNDUP(F405*'Customer Base'!$J$5,2),0)</f>
        <v>0</v>
      </c>
      <c r="H405" s="224">
        <f t="shared" si="76"/>
        <v>0</v>
      </c>
      <c r="I405" s="224"/>
      <c r="J405" s="103" t="str">
        <f t="shared" si="77"/>
        <v/>
      </c>
      <c r="L405" s="103" t="str">
        <f t="shared" si="78"/>
        <v/>
      </c>
      <c r="N405" s="103">
        <v>404</v>
      </c>
      <c r="O405" s="103" t="str">
        <f>IF('Customer Base'!$I$15="MANUAL",IF(B405&lt;&gt;"",C405,""),IF('Customer Base'!$I$15="AUTOMATE",IF(A405&lt;&gt;"",C405,""),""))</f>
        <v/>
      </c>
      <c r="AO405" s="103">
        <f>IF('Customer Base'!$I$15="MANUAL",IFERROR(AM405*B405,""),IF('Customer Base'!$I$15="AUTOMATE",IFERROR(AM405*A405,""),""))</f>
        <v>0</v>
      </c>
      <c r="AV405" s="103">
        <f t="shared" si="74"/>
        <v>0</v>
      </c>
    </row>
    <row r="406" spans="1:48">
      <c r="C406" s="246" t="s">
        <v>1893</v>
      </c>
      <c r="D406" s="322"/>
      <c r="E406" s="322"/>
      <c r="F406" s="252"/>
      <c r="G406" s="234"/>
      <c r="H406" s="252"/>
      <c r="I406" s="234"/>
      <c r="J406" s="103" t="str">
        <f t="shared" si="77"/>
        <v/>
      </c>
      <c r="L406" s="103" t="str">
        <f t="shared" si="78"/>
        <v/>
      </c>
      <c r="N406" s="103">
        <v>405</v>
      </c>
      <c r="O406" s="103" t="str">
        <f>IF('Customer Base'!$I$15="MANUAL",IF(B406&lt;&gt;"",C406,""),IF('Customer Base'!$I$15="AUTOMATE",IF(A406&lt;&gt;"",C406,""),""))</f>
        <v/>
      </c>
      <c r="AO406" s="103">
        <f>IF('Customer Base'!$I$15="MANUAL",IFERROR(AM406*B406,""),IF('Customer Base'!$I$15="AUTOMATE",IFERROR(AM406*A406,""),""))</f>
        <v>0</v>
      </c>
      <c r="AV406" s="103">
        <f t="shared" si="74"/>
        <v>0</v>
      </c>
    </row>
    <row r="407" spans="1:48">
      <c r="A407" s="103">
        <f>IF(OR(AND('Customer Base'!D$34="Yes",'Customer Base'!D$13="Victron",'Customer Base'!D$7&lt;&gt;"Mini-Grid"),'Customer Base'!D$7="Grid-Tied"),'Customer Base'!D$15,IF(AND('Customer Base'!D$34="Yes",'Customer Base'!D$13="Victron",'Customer Base'!D$7="Mini-Grid"),'Customer Base'!D$15+'Customer Base'!F$15,""))</f>
        <v>1</v>
      </c>
      <c r="B407" s="270">
        <v>3</v>
      </c>
      <c r="C407" s="243" t="s">
        <v>917</v>
      </c>
      <c r="D407" s="331">
        <v>12.64</v>
      </c>
      <c r="E407" s="331">
        <v>11.907</v>
      </c>
      <c r="F407" s="264">
        <f t="shared" ref="F407:F452" si="79">$D407/1.219</f>
        <v>10.36915504511895</v>
      </c>
      <c r="G407" s="238">
        <f>IFERROR(ROUNDUP(F407*'Customer Base'!$J$5,2),0)</f>
        <v>165.91</v>
      </c>
      <c r="H407" s="264">
        <f t="shared" ref="H407:H452" si="80">$E407/1.219</f>
        <v>9.7678424938474144</v>
      </c>
      <c r="I407" s="238">
        <f>IFERROR(ROUNDUP(H407*'Customer Base'!$J$5,2),0)</f>
        <v>156.29</v>
      </c>
      <c r="J407" s="103" t="str">
        <f t="shared" si="77"/>
        <v/>
      </c>
      <c r="L407" s="103" t="str">
        <f t="shared" si="78"/>
        <v/>
      </c>
      <c r="N407" s="103">
        <v>406</v>
      </c>
      <c r="O407" s="103" t="str">
        <f>IF('Customer Base'!$I$15="MANUAL",IF(B407&lt;&gt;"",C407,""),IF('Customer Base'!$I$15="AUTOMATE",IF(A407&lt;&gt;"",C407,""),""))</f>
        <v>Victron RJ45 UTP Cable 3 m</v>
      </c>
      <c r="AO407" s="103">
        <f>IF('Customer Base'!$I$15="MANUAL",IFERROR(AM407*B407,""),IF('Customer Base'!$I$15="AUTOMATE",IFERROR(AM407*A407,""),""))</f>
        <v>0</v>
      </c>
      <c r="AV407" s="103">
        <f t="shared" si="74"/>
        <v>0</v>
      </c>
    </row>
    <row r="408" spans="1:48">
      <c r="C408" s="243" t="s">
        <v>918</v>
      </c>
      <c r="D408" s="331">
        <v>16.25</v>
      </c>
      <c r="E408" s="331">
        <v>15.308999999999999</v>
      </c>
      <c r="F408" s="264">
        <f t="shared" si="79"/>
        <v>13.330598851517637</v>
      </c>
      <c r="G408" s="238">
        <f>IFERROR(ROUNDUP(F408*'Customer Base'!$J$5,2),0)</f>
        <v>213.29</v>
      </c>
      <c r="H408" s="264">
        <f t="shared" si="80"/>
        <v>12.558654634946675</v>
      </c>
      <c r="I408" s="238">
        <f>IFERROR(ROUNDUP(H408*'Customer Base'!$J$5,2),0)</f>
        <v>200.94</v>
      </c>
      <c r="J408" s="103" t="str">
        <f t="shared" si="77"/>
        <v/>
      </c>
      <c r="L408" s="103" t="str">
        <f t="shared" si="78"/>
        <v/>
      </c>
      <c r="N408" s="103">
        <v>407</v>
      </c>
      <c r="O408" s="103" t="str">
        <f>IF('Customer Base'!$I$15="MANUAL",IF(B408&lt;&gt;"",C408,""),IF('Customer Base'!$I$15="AUTOMATE",IF(A408&lt;&gt;"",C408,""),""))</f>
        <v/>
      </c>
      <c r="AO408" s="103">
        <f>IF('Customer Base'!$I$15="MANUAL",IFERROR(AM408*B408,""),IF('Customer Base'!$I$15="AUTOMATE",IFERROR(AM408*A408,""),""))</f>
        <v>0</v>
      </c>
      <c r="AV408" s="103">
        <f t="shared" si="74"/>
        <v>0</v>
      </c>
    </row>
    <row r="409" spans="1:48">
      <c r="A409" s="103" t="str">
        <f>IF(SUM(A163:A174)&gt;=1,1,"")</f>
        <v/>
      </c>
      <c r="B409" s="270" t="s">
        <v>1</v>
      </c>
      <c r="C409" s="243" t="s">
        <v>1293</v>
      </c>
      <c r="D409" s="331">
        <v>151.9</v>
      </c>
      <c r="E409" s="331">
        <v>151.9</v>
      </c>
      <c r="F409" s="264">
        <f t="shared" si="79"/>
        <v>124.61033634126332</v>
      </c>
      <c r="G409" s="238">
        <f>IFERROR(ROUNDUP(F409*'Customer Base'!$J$5,2),0)</f>
        <v>1993.77</v>
      </c>
      <c r="H409" s="264">
        <f t="shared" si="80"/>
        <v>124.61033634126332</v>
      </c>
      <c r="I409" s="238">
        <f>IFERROR(ROUNDUP(H409*'Customer Base'!$J$5,2),0)</f>
        <v>1993.77</v>
      </c>
      <c r="J409" s="103" t="str">
        <f t="shared" si="77"/>
        <v/>
      </c>
      <c r="L409" s="103" t="str">
        <f t="shared" si="78"/>
        <v/>
      </c>
      <c r="N409" s="103">
        <v>408</v>
      </c>
      <c r="O409" s="103" t="str">
        <f>IF('Customer Base'!$I$15="MANUAL",IF(B409&lt;&gt;"",C409,""),IF('Customer Base'!$I$15="AUTOMATE",IF(A409&lt;&gt;"",C409,""),""))</f>
        <v/>
      </c>
      <c r="AO409" s="103" t="str">
        <f>IF('Customer Base'!$I$15="MANUAL",IFERROR(AM409*B409,""),IF('Customer Base'!$I$15="AUTOMATE",IFERROR(AM409*A409,""),""))</f>
        <v/>
      </c>
      <c r="AV409" s="103">
        <f t="shared" si="74"/>
        <v>0</v>
      </c>
    </row>
    <row r="410" spans="1:48">
      <c r="C410" s="226"/>
      <c r="D410" s="324"/>
      <c r="E410" s="324"/>
      <c r="F410" s="256">
        <f t="shared" si="79"/>
        <v>0</v>
      </c>
      <c r="G410" s="224">
        <f>IFERROR(ROUNDUP(F410*'Customer Base'!$J$5,2),0)</f>
        <v>0</v>
      </c>
      <c r="H410" s="256">
        <f t="shared" si="80"/>
        <v>0</v>
      </c>
      <c r="I410" s="224">
        <f>IFERROR(ROUNDUP(H410*'Customer Base'!$J$5,2),0)</f>
        <v>0</v>
      </c>
      <c r="J410" s="103" t="str">
        <f t="shared" si="77"/>
        <v/>
      </c>
      <c r="L410" s="103" t="str">
        <f t="shared" si="78"/>
        <v/>
      </c>
      <c r="N410" s="103">
        <v>409</v>
      </c>
      <c r="O410" s="103" t="str">
        <f>IF('Customer Base'!$I$15="MANUAL",IF(B410&lt;&gt;"",C410,""),IF('Customer Base'!$I$15="AUTOMATE",IF(A410&lt;&gt;"",C410,""),""))</f>
        <v/>
      </c>
      <c r="AO410" s="103">
        <f>IF('Customer Base'!$I$15="MANUAL",IFERROR(AM410*B410,""),IF('Customer Base'!$I$15="AUTOMATE",IFERROR(AM410*A410,""),""))</f>
        <v>0</v>
      </c>
      <c r="AV410" s="103">
        <f t="shared" si="74"/>
        <v>0</v>
      </c>
    </row>
    <row r="411" spans="1:48">
      <c r="C411" s="243" t="s">
        <v>919</v>
      </c>
      <c r="D411" s="331">
        <v>13.55</v>
      </c>
      <c r="E411" s="331">
        <v>12.766</v>
      </c>
      <c r="F411" s="264">
        <f t="shared" si="79"/>
        <v>11.115668580803938</v>
      </c>
      <c r="G411" s="238">
        <f>IFERROR(ROUNDUP(F411*'Customer Base'!$J$5,2),0)</f>
        <v>177.85999999999999</v>
      </c>
      <c r="H411" s="264">
        <f t="shared" si="80"/>
        <v>10.472518457752255</v>
      </c>
      <c r="I411" s="238">
        <f>IFERROR(ROUNDUP(H411*'Customer Base'!$J$5,2),0)</f>
        <v>167.57</v>
      </c>
      <c r="J411" s="103" t="str">
        <f t="shared" si="77"/>
        <v/>
      </c>
      <c r="L411" s="103" t="str">
        <f t="shared" si="78"/>
        <v/>
      </c>
      <c r="N411" s="103">
        <v>410</v>
      </c>
      <c r="O411" s="103" t="str">
        <f>IF('Customer Base'!$I$15="MANUAL",IF(B411&lt;&gt;"",C411,""),IF('Customer Base'!$I$15="AUTOMATE",IF(A411&lt;&gt;"",C411,""),""))</f>
        <v/>
      </c>
      <c r="AO411" s="103">
        <f>IF('Customer Base'!$I$15="MANUAL",IFERROR(AM411*B411,""),IF('Customer Base'!$I$15="AUTOMATE",IFERROR(AM411*A411,""),""))</f>
        <v>0</v>
      </c>
      <c r="AV411" s="103">
        <f t="shared" si="74"/>
        <v>0</v>
      </c>
    </row>
    <row r="412" spans="1:48">
      <c r="A412" s="103">
        <f ca="1">IF(AND('Customer Base'!D$34="Yes",'Customer Base'!D$13="Victron",'Customer Base'!D14&lt;&gt;6,'Customer Base'!D$7&lt;&gt;"Backup"),SUM(A258:A290),"")</f>
        <v>5</v>
      </c>
      <c r="B412" s="270">
        <v>8</v>
      </c>
      <c r="C412" s="243" t="s">
        <v>920</v>
      </c>
      <c r="D412" s="331">
        <v>13.55</v>
      </c>
      <c r="E412" s="331">
        <v>12.766</v>
      </c>
      <c r="F412" s="264">
        <f t="shared" si="79"/>
        <v>11.115668580803938</v>
      </c>
      <c r="G412" s="238">
        <f>IFERROR(ROUNDUP(F412*'Customer Base'!$J$5,2),0)</f>
        <v>177.85999999999999</v>
      </c>
      <c r="H412" s="264">
        <f t="shared" si="80"/>
        <v>10.472518457752255</v>
      </c>
      <c r="I412" s="238">
        <f>IFERROR(ROUNDUP(H412*'Customer Base'!$J$5,2),0)</f>
        <v>167.57</v>
      </c>
      <c r="J412" s="103" t="str">
        <f t="shared" si="77"/>
        <v/>
      </c>
      <c r="L412" s="103" t="str">
        <f t="shared" si="78"/>
        <v/>
      </c>
      <c r="N412" s="103">
        <v>411</v>
      </c>
      <c r="O412" s="103" t="str">
        <f ca="1">IF('Customer Base'!$I$15="MANUAL",IF(B412&lt;&gt;"",C412,""),IF('Customer Base'!$I$15="AUTOMATE",IF(A412&lt;&gt;"",C412,""),""))</f>
        <v>Victron VE.Direct Cable 1,8m</v>
      </c>
      <c r="AO412" s="103">
        <f ca="1">IF('Customer Base'!$I$15="MANUAL",IFERROR(AM412*B412,""),IF('Customer Base'!$I$15="AUTOMATE",IFERROR(AM412*A412,""),""))</f>
        <v>0</v>
      </c>
      <c r="AV412" s="103">
        <f t="shared" si="74"/>
        <v>0</v>
      </c>
    </row>
    <row r="413" spans="1:48">
      <c r="C413" s="243" t="s">
        <v>921</v>
      </c>
      <c r="D413" s="331">
        <v>15.34</v>
      </c>
      <c r="E413" s="331">
        <v>14.45</v>
      </c>
      <c r="F413" s="264">
        <f t="shared" si="79"/>
        <v>12.584085315832649</v>
      </c>
      <c r="G413" s="238">
        <f>IFERROR(ROUNDUP(F413*'Customer Base'!$J$5,2),0)</f>
        <v>201.35</v>
      </c>
      <c r="H413" s="264">
        <f t="shared" si="80"/>
        <v>11.853978671041837</v>
      </c>
      <c r="I413" s="238">
        <f>IFERROR(ROUNDUP(H413*'Customer Base'!$J$5,2),0)</f>
        <v>189.67</v>
      </c>
      <c r="J413" s="103" t="str">
        <f t="shared" si="77"/>
        <v/>
      </c>
      <c r="L413" s="103" t="str">
        <f t="shared" si="78"/>
        <v/>
      </c>
      <c r="N413" s="103">
        <v>412</v>
      </c>
      <c r="O413" s="103" t="str">
        <f>IF('Customer Base'!$I$15="MANUAL",IF(B413&lt;&gt;"",C413,""),IF('Customer Base'!$I$15="AUTOMATE",IF(A413&lt;&gt;"",C413,""),""))</f>
        <v/>
      </c>
      <c r="AO413" s="103">
        <f>IF('Customer Base'!$I$15="MANUAL",IFERROR(AM413*B413,""),IF('Customer Base'!$I$15="AUTOMATE",IFERROR(AM413*A413,""),""))</f>
        <v>0</v>
      </c>
      <c r="AV413" s="103">
        <f t="shared" si="74"/>
        <v>0</v>
      </c>
    </row>
    <row r="414" spans="1:48">
      <c r="C414" s="243" t="s">
        <v>922</v>
      </c>
      <c r="D414" s="331">
        <v>17.170000000000002</v>
      </c>
      <c r="E414" s="331">
        <v>16.167999999999999</v>
      </c>
      <c r="F414" s="264">
        <f t="shared" si="79"/>
        <v>14.085315832649714</v>
      </c>
      <c r="G414" s="238">
        <f>IFERROR(ROUNDUP(F414*'Customer Base'!$J$5,2),0)</f>
        <v>225.37</v>
      </c>
      <c r="H414" s="264">
        <f t="shared" si="80"/>
        <v>13.263330598851516</v>
      </c>
      <c r="I414" s="238">
        <f>IFERROR(ROUNDUP(H414*'Customer Base'!$J$5,2),0)</f>
        <v>212.22</v>
      </c>
      <c r="J414" s="103" t="str">
        <f t="shared" si="77"/>
        <v/>
      </c>
      <c r="L414" s="103" t="str">
        <f t="shared" si="78"/>
        <v/>
      </c>
      <c r="N414" s="103">
        <v>413</v>
      </c>
      <c r="O414" s="103" t="str">
        <f>IF('Customer Base'!$I$15="MANUAL",IF(B414&lt;&gt;"",C414,""),IF('Customer Base'!$I$15="AUTOMATE",IF(A414&lt;&gt;"",C414,""),""))</f>
        <v/>
      </c>
      <c r="AO414" s="103">
        <f>IF('Customer Base'!$I$15="MANUAL",IFERROR(AM414*B414,""),IF('Customer Base'!$I$15="AUTOMATE",IFERROR(AM414*A414,""),""))</f>
        <v>0</v>
      </c>
      <c r="AV414" s="103">
        <f t="shared" si="74"/>
        <v>0</v>
      </c>
    </row>
    <row r="415" spans="1:48">
      <c r="C415" s="243" t="s">
        <v>923</v>
      </c>
      <c r="D415" s="331">
        <v>20.77</v>
      </c>
      <c r="E415" s="331">
        <v>19.57</v>
      </c>
      <c r="F415" s="264">
        <f t="shared" si="79"/>
        <v>17.038556193601313</v>
      </c>
      <c r="G415" s="238">
        <f>IFERROR(ROUNDUP(F415*'Customer Base'!$J$5,2),0)</f>
        <v>272.62</v>
      </c>
      <c r="H415" s="264">
        <f t="shared" si="80"/>
        <v>16.054142739950777</v>
      </c>
      <c r="I415" s="238">
        <f>IFERROR(ROUNDUP(H415*'Customer Base'!$J$5,2),0)</f>
        <v>256.87</v>
      </c>
      <c r="J415" s="103" t="str">
        <f t="shared" si="77"/>
        <v/>
      </c>
      <c r="L415" s="103" t="str">
        <f t="shared" si="78"/>
        <v/>
      </c>
      <c r="N415" s="103">
        <v>414</v>
      </c>
      <c r="O415" s="103" t="str">
        <f>IF('Customer Base'!$I$15="MANUAL",IF(B415&lt;&gt;"",C415,""),IF('Customer Base'!$I$15="AUTOMATE",IF(A415&lt;&gt;"",C415,""),""))</f>
        <v/>
      </c>
      <c r="AO415" s="103">
        <f>IF('Customer Base'!$I$15="MANUAL",IFERROR(AM415*B415,""),IF('Customer Base'!$I$15="AUTOMATE",IFERROR(AM415*A415,""),""))</f>
        <v>0</v>
      </c>
      <c r="AV415" s="103">
        <f t="shared" si="74"/>
        <v>0</v>
      </c>
    </row>
    <row r="416" spans="1:48">
      <c r="C416" s="243" t="s">
        <v>2738</v>
      </c>
      <c r="D416" s="331">
        <v>29.79</v>
      </c>
      <c r="E416" s="331">
        <v>28.058</v>
      </c>
      <c r="F416" s="264">
        <f t="shared" si="79"/>
        <v>24.438063986874486</v>
      </c>
      <c r="G416" s="238">
        <f>IFERROR(ROUNDUP(F416*'Customer Base'!$J$5,2),0)</f>
        <v>391.01</v>
      </c>
      <c r="H416" s="264">
        <f t="shared" si="80"/>
        <v>23.017227235438881</v>
      </c>
      <c r="I416" s="238">
        <f>IFERROR(ROUNDUP(H416*'Customer Base'!$J$5,2),0)</f>
        <v>368.28</v>
      </c>
      <c r="J416" s="103" t="str">
        <f t="shared" si="77"/>
        <v/>
      </c>
      <c r="L416" s="103" t="str">
        <f t="shared" si="78"/>
        <v/>
      </c>
      <c r="N416" s="103">
        <v>415</v>
      </c>
      <c r="O416" s="103" t="str">
        <f>IF('Customer Base'!$I$15="MANUAL",IF(B416&lt;&gt;"",C416,""),IF('Customer Base'!$I$15="AUTOMATE",IF(A416&lt;&gt;"",C416,""),""))</f>
        <v/>
      </c>
      <c r="AO416" s="103">
        <f>IF('Customer Base'!$I$15="MANUAL",IFERROR(AM416*B416,""),IF('Customer Base'!$I$15="AUTOMATE",IFERROR(AM416*A416,""),""))</f>
        <v>0</v>
      </c>
    </row>
    <row r="417" spans="1:48">
      <c r="C417" s="243" t="s">
        <v>2739</v>
      </c>
      <c r="D417" s="331">
        <v>28.896000000000001</v>
      </c>
      <c r="E417" s="331">
        <v>27.216000000000001</v>
      </c>
      <c r="F417" s="264">
        <f t="shared" si="79"/>
        <v>23.70467596390484</v>
      </c>
      <c r="G417" s="238">
        <f>IFERROR(ROUNDUP(F417*'Customer Base'!$J$5,2),0)</f>
        <v>379.28</v>
      </c>
      <c r="H417" s="264">
        <f t="shared" si="80"/>
        <v>22.326497128794092</v>
      </c>
      <c r="I417" s="238">
        <f>IFERROR(ROUNDUP(H417*'Customer Base'!$J$5,2),0)</f>
        <v>357.23</v>
      </c>
      <c r="J417" s="103" t="str">
        <f t="shared" si="77"/>
        <v/>
      </c>
      <c r="L417" s="103" t="str">
        <f t="shared" si="78"/>
        <v/>
      </c>
      <c r="N417" s="103">
        <v>416</v>
      </c>
      <c r="O417" s="103" t="str">
        <f>IF('Customer Base'!$I$15="MANUAL",IF(B417&lt;&gt;"",C417,""),IF('Customer Base'!$I$15="AUTOMATE",IF(A417&lt;&gt;"",C417,""),""))</f>
        <v/>
      </c>
      <c r="AO417" s="103">
        <f>IF('Customer Base'!$I$15="MANUAL",IFERROR(AM417*B417,""),IF('Customer Base'!$I$15="AUTOMATE",IFERROR(AM417*A417,""),""))</f>
        <v>0</v>
      </c>
    </row>
    <row r="418" spans="1:48">
      <c r="C418" s="243" t="s">
        <v>924</v>
      </c>
      <c r="D418" s="331">
        <v>69.52</v>
      </c>
      <c r="E418" s="331">
        <v>65.48</v>
      </c>
      <c r="F418" s="264">
        <f t="shared" si="79"/>
        <v>57.030352748154215</v>
      </c>
      <c r="G418" s="238">
        <f>IFERROR(ROUNDUP(F418*'Customer Base'!$J$5,2),0)</f>
        <v>912.49</v>
      </c>
      <c r="H418" s="264">
        <f t="shared" si="80"/>
        <v>53.716160787530761</v>
      </c>
      <c r="I418" s="238">
        <f>IFERROR(ROUNDUP(H418*'Customer Base'!$J$5,2),0)</f>
        <v>859.46</v>
      </c>
      <c r="J418" s="103" t="str">
        <f t="shared" si="77"/>
        <v/>
      </c>
      <c r="L418" s="103" t="str">
        <f t="shared" si="78"/>
        <v/>
      </c>
      <c r="N418" s="103">
        <v>417</v>
      </c>
      <c r="O418" s="103" t="str">
        <f>IF('Customer Base'!$I$15="MANUAL",IF(B418&lt;&gt;"",C418,""),IF('Customer Base'!$I$15="AUTOMATE",IF(A418&lt;&gt;"",C418,""),""))</f>
        <v/>
      </c>
      <c r="AO418" s="103">
        <f>IF('Customer Base'!$I$15="MANUAL",IFERROR(AM418*B418,""),IF('Customer Base'!$I$15="AUTOMATE",IFERROR(AM418*A418,""),""))</f>
        <v>0</v>
      </c>
      <c r="AV418" s="103">
        <f t="shared" si="74"/>
        <v>0</v>
      </c>
    </row>
    <row r="419" spans="1:48">
      <c r="C419" s="243" t="s">
        <v>2737</v>
      </c>
      <c r="D419" s="331">
        <v>60.51</v>
      </c>
      <c r="E419" s="331">
        <v>56.991999999999997</v>
      </c>
      <c r="F419" s="264">
        <f t="shared" si="79"/>
        <v>49.639048400328136</v>
      </c>
      <c r="G419" s="238">
        <f>IFERROR(ROUNDUP(F419*'Customer Base'!$J$5,2),0)</f>
        <v>794.23</v>
      </c>
      <c r="H419" s="264">
        <f t="shared" si="80"/>
        <v>46.75307629204265</v>
      </c>
      <c r="I419" s="238">
        <f>IFERROR(ROUNDUP(H419*'Customer Base'!$J$5,2),0)</f>
        <v>748.05</v>
      </c>
      <c r="J419" s="103" t="str">
        <f t="shared" si="77"/>
        <v/>
      </c>
      <c r="L419" s="103" t="str">
        <f t="shared" si="78"/>
        <v/>
      </c>
      <c r="N419" s="103">
        <v>418</v>
      </c>
      <c r="O419" s="103" t="str">
        <f>IF('Customer Base'!$I$15="MANUAL",IF(B419&lt;&gt;"",C419,""),IF('Customer Base'!$I$15="AUTOMATE",IF(A419&lt;&gt;"",C419,""),""))</f>
        <v/>
      </c>
      <c r="AO419" s="103">
        <f>IF('Customer Base'!$I$15="MANUAL",IFERROR(AM419*B419,""),IF('Customer Base'!$I$15="AUTOMATE",IFERROR(AM419*A419,""),""))</f>
        <v>0</v>
      </c>
    </row>
    <row r="420" spans="1:48">
      <c r="C420" s="243" t="s">
        <v>2736</v>
      </c>
      <c r="D420" s="331">
        <v>517.41</v>
      </c>
      <c r="E420" s="331">
        <v>487.32799999999997</v>
      </c>
      <c r="F420" s="264">
        <f t="shared" si="79"/>
        <v>424.45447087776859</v>
      </c>
      <c r="G420" s="238">
        <f>IFERROR(ROUNDUP(F420*'Customer Base'!$J$5,2),0)</f>
        <v>6791.2800000000007</v>
      </c>
      <c r="H420" s="264">
        <f t="shared" si="80"/>
        <v>399.77686628383918</v>
      </c>
      <c r="I420" s="238">
        <f>IFERROR(ROUNDUP(H420*'Customer Base'!$J$5,2),0)</f>
        <v>6396.43</v>
      </c>
      <c r="J420" s="103" t="str">
        <f t="shared" si="77"/>
        <v/>
      </c>
      <c r="L420" s="103" t="str">
        <f t="shared" si="78"/>
        <v/>
      </c>
      <c r="N420" s="103">
        <v>419</v>
      </c>
      <c r="O420" s="103" t="str">
        <f>IF('Customer Base'!$I$15="MANUAL",IF(B420&lt;&gt;"",C420,""),IF('Customer Base'!$I$15="AUTOMATE",IF(A420&lt;&gt;"",C420,""),""))</f>
        <v/>
      </c>
      <c r="AO420" s="103">
        <f>IF('Customer Base'!$I$15="MANUAL",IFERROR(AM420*B420,""),IF('Customer Base'!$I$15="AUTOMATE",IFERROR(AM420*A420,""),""))</f>
        <v>0</v>
      </c>
    </row>
    <row r="421" spans="1:48">
      <c r="C421" s="243" t="s">
        <v>2735</v>
      </c>
      <c r="D421" s="331">
        <v>55.07</v>
      </c>
      <c r="E421" s="331">
        <v>51.872</v>
      </c>
      <c r="F421" s="264">
        <f t="shared" si="79"/>
        <v>45.176374077112385</v>
      </c>
      <c r="G421" s="238">
        <f>IFERROR(ROUNDUP(F421*'Customer Base'!$J$5,2),0)</f>
        <v>722.83</v>
      </c>
      <c r="H421" s="264">
        <f t="shared" si="80"/>
        <v>42.55291222313371</v>
      </c>
      <c r="I421" s="238">
        <f>IFERROR(ROUNDUP(H421*'Customer Base'!$J$5,2),0)</f>
        <v>680.85</v>
      </c>
      <c r="J421" s="103" t="str">
        <f t="shared" si="77"/>
        <v/>
      </c>
      <c r="L421" s="103" t="str">
        <f t="shared" si="78"/>
        <v/>
      </c>
      <c r="N421" s="103">
        <v>420</v>
      </c>
      <c r="O421" s="103" t="str">
        <f>IF('Customer Base'!$I$15="MANUAL",IF(B421&lt;&gt;"",C421,""),IF('Customer Base'!$I$15="AUTOMATE",IF(A421&lt;&gt;"",C421,""),""))</f>
        <v/>
      </c>
      <c r="AO421" s="103">
        <f>IF('Customer Base'!$I$15="MANUAL",IFERROR(AM421*B421,""),IF('Customer Base'!$I$15="AUTOMATE",IFERROR(AM421*A421,""),""))</f>
        <v>0</v>
      </c>
    </row>
    <row r="422" spans="1:48">
      <c r="C422" s="243" t="s">
        <v>925</v>
      </c>
      <c r="D422" s="331">
        <v>28.9</v>
      </c>
      <c r="E422" s="331">
        <v>27.216000000000001</v>
      </c>
      <c r="F422" s="264">
        <f t="shared" si="79"/>
        <v>23.707957342083674</v>
      </c>
      <c r="G422" s="238">
        <f>IFERROR(ROUNDUP(F422*'Customer Base'!$J$5,2),0)</f>
        <v>379.33</v>
      </c>
      <c r="H422" s="264">
        <f t="shared" si="80"/>
        <v>22.326497128794092</v>
      </c>
      <c r="I422" s="238">
        <f>IFERROR(ROUNDUP(H422*'Customer Base'!$J$5,2),0)</f>
        <v>357.23</v>
      </c>
      <c r="J422" s="103" t="str">
        <f t="shared" si="77"/>
        <v/>
      </c>
      <c r="L422" s="103" t="str">
        <f t="shared" si="78"/>
        <v/>
      </c>
      <c r="N422" s="103">
        <v>421</v>
      </c>
      <c r="O422" s="103" t="str">
        <f>IF('Customer Base'!$I$15="MANUAL",IF(B422&lt;&gt;"",C422,""),IF('Customer Base'!$I$15="AUTOMATE",IF(A422&lt;&gt;"",C422,""),""))</f>
        <v/>
      </c>
      <c r="AO422" s="103">
        <f>IF('Customer Base'!$I$15="MANUAL",IFERROR(AM422*B422,""),IF('Customer Base'!$I$15="AUTOMATE",IFERROR(AM422*A422,""),""))</f>
        <v>0</v>
      </c>
      <c r="AV422" s="103">
        <f t="shared" si="74"/>
        <v>0</v>
      </c>
    </row>
    <row r="423" spans="1:48">
      <c r="C423" s="243" t="s">
        <v>926</v>
      </c>
      <c r="D423" s="331">
        <v>27.09</v>
      </c>
      <c r="E423" s="331">
        <v>25.515000000000001</v>
      </c>
      <c r="F423" s="264">
        <f t="shared" si="79"/>
        <v>22.223133716160785</v>
      </c>
      <c r="G423" s="238">
        <f>IFERROR(ROUNDUP(F423*'Customer Base'!$J$5,2),0)</f>
        <v>355.58</v>
      </c>
      <c r="H423" s="264">
        <f t="shared" si="80"/>
        <v>20.931091058244462</v>
      </c>
      <c r="I423" s="238">
        <f>IFERROR(ROUNDUP(H423*'Customer Base'!$J$5,2),0)</f>
        <v>334.9</v>
      </c>
      <c r="J423" s="103" t="str">
        <f t="shared" si="77"/>
        <v/>
      </c>
      <c r="L423" s="103" t="str">
        <f t="shared" si="78"/>
        <v/>
      </c>
      <c r="N423" s="103">
        <v>422</v>
      </c>
      <c r="O423" s="103" t="str">
        <f>IF('Customer Base'!$I$15="MANUAL",IF(B423&lt;&gt;"",C423,""),IF('Customer Base'!$I$15="AUTOMATE",IF(A423&lt;&gt;"",C423,""),""))</f>
        <v/>
      </c>
      <c r="AO423" s="103">
        <f>IF('Customer Base'!$I$15="MANUAL",IFERROR(AM423*B423,""),IF('Customer Base'!$I$15="AUTOMATE",IFERROR(AM423*A423,""),""))</f>
        <v>0</v>
      </c>
      <c r="AV423" s="103">
        <f t="shared" si="74"/>
        <v>0</v>
      </c>
    </row>
    <row r="424" spans="1:48">
      <c r="C424" s="243" t="s">
        <v>927</v>
      </c>
      <c r="D424" s="331">
        <v>28</v>
      </c>
      <c r="E424" s="331">
        <v>26.373999999999999</v>
      </c>
      <c r="F424" s="264">
        <f t="shared" si="79"/>
        <v>22.969647251845775</v>
      </c>
      <c r="G424" s="238">
        <f>IFERROR(ROUNDUP(F424*'Customer Base'!$J$5,2),0)</f>
        <v>367.52</v>
      </c>
      <c r="H424" s="264">
        <f t="shared" si="80"/>
        <v>21.635767022149299</v>
      </c>
      <c r="I424" s="238">
        <f>IFERROR(ROUNDUP(H424*'Customer Base'!$J$5,2),0)</f>
        <v>346.18</v>
      </c>
      <c r="J424" s="103" t="str">
        <f t="shared" si="77"/>
        <v/>
      </c>
      <c r="L424" s="103" t="str">
        <f t="shared" si="78"/>
        <v/>
      </c>
      <c r="N424" s="103">
        <v>423</v>
      </c>
      <c r="O424" s="103" t="str">
        <f>IF('Customer Base'!$I$15="MANUAL",IF(B424&lt;&gt;"",C424,""),IF('Customer Base'!$I$15="AUTOMATE",IF(A424&lt;&gt;"",C424,""),""))</f>
        <v/>
      </c>
      <c r="AO424" s="103">
        <f>IF('Customer Base'!$I$15="MANUAL",IFERROR(AM424*B424,""),IF('Customer Base'!$I$15="AUTOMATE",IFERROR(AM424*A424,""),""))</f>
        <v>0</v>
      </c>
      <c r="AV424" s="103">
        <f t="shared" si="74"/>
        <v>0</v>
      </c>
    </row>
    <row r="425" spans="1:48">
      <c r="C425" s="243" t="s">
        <v>928</v>
      </c>
      <c r="D425" s="331">
        <v>31.61</v>
      </c>
      <c r="E425" s="331">
        <v>29.776</v>
      </c>
      <c r="F425" s="264">
        <f t="shared" si="79"/>
        <v>25.931091058244462</v>
      </c>
      <c r="G425" s="238">
        <f>IFERROR(ROUNDUP(F425*'Customer Base'!$J$5,2),0)</f>
        <v>414.9</v>
      </c>
      <c r="H425" s="264">
        <f t="shared" si="80"/>
        <v>24.426579163248562</v>
      </c>
      <c r="I425" s="238">
        <f>IFERROR(ROUNDUP(H425*'Customer Base'!$J$5,2),0)</f>
        <v>390.83</v>
      </c>
      <c r="J425" s="103" t="str">
        <f t="shared" si="77"/>
        <v/>
      </c>
      <c r="L425" s="103" t="str">
        <f t="shared" si="78"/>
        <v/>
      </c>
      <c r="N425" s="103">
        <v>424</v>
      </c>
      <c r="O425" s="103" t="str">
        <f>IF('Customer Base'!$I$15="MANUAL",IF(B425&lt;&gt;"",C425,""),IF('Customer Base'!$I$15="AUTOMATE",IF(A425&lt;&gt;"",C425,""),""))</f>
        <v/>
      </c>
      <c r="AO425" s="103">
        <f>IF('Customer Base'!$I$15="MANUAL",IFERROR(AM425*B425,""),IF('Customer Base'!$I$15="AUTOMATE",IFERROR(AM425*A425,""),""))</f>
        <v>0</v>
      </c>
      <c r="AV425" s="103">
        <f t="shared" si="74"/>
        <v>0</v>
      </c>
    </row>
    <row r="426" spans="1:48">
      <c r="C426" s="243" t="s">
        <v>929</v>
      </c>
      <c r="D426" s="331">
        <v>9.94</v>
      </c>
      <c r="E426" s="331">
        <v>9.3640000000000008</v>
      </c>
      <c r="F426" s="264">
        <f t="shared" si="79"/>
        <v>8.1542247744052485</v>
      </c>
      <c r="G426" s="238">
        <f>IFERROR(ROUNDUP(F426*'Customer Base'!$J$5,2),0)</f>
        <v>130.47</v>
      </c>
      <c r="H426" s="264">
        <f t="shared" si="80"/>
        <v>7.6817063166529946</v>
      </c>
      <c r="I426" s="238">
        <f>IFERROR(ROUNDUP(H426*'Customer Base'!$J$5,2),0)</f>
        <v>122.91000000000001</v>
      </c>
      <c r="J426" s="103" t="str">
        <f t="shared" si="77"/>
        <v/>
      </c>
      <c r="L426" s="103" t="str">
        <f t="shared" si="78"/>
        <v/>
      </c>
      <c r="N426" s="103">
        <v>425</v>
      </c>
      <c r="O426" s="103" t="str">
        <f>IF('Customer Base'!$I$15="MANUAL",IF(B426&lt;&gt;"",C426,""),IF('Customer Base'!$I$15="AUTOMATE",IF(A426&lt;&gt;"",C426,""),""))</f>
        <v/>
      </c>
      <c r="AO426" s="103">
        <f>IF('Customer Base'!$I$15="MANUAL",IFERROR(AM426*B426,""),IF('Customer Base'!$I$15="AUTOMATE",IFERROR(AM426*A426,""),""))</f>
        <v>0</v>
      </c>
      <c r="AV426" s="103">
        <f t="shared" si="74"/>
        <v>0</v>
      </c>
    </row>
    <row r="427" spans="1:48">
      <c r="C427" s="226"/>
      <c r="D427" s="324"/>
      <c r="E427" s="324"/>
      <c r="F427" s="256">
        <f t="shared" si="79"/>
        <v>0</v>
      </c>
      <c r="G427" s="224">
        <f>IFERROR(ROUNDUP(F427*'Customer Base'!$J$5,2),0)</f>
        <v>0</v>
      </c>
      <c r="H427" s="256">
        <f t="shared" si="80"/>
        <v>0</v>
      </c>
      <c r="I427" s="224">
        <f>IFERROR(ROUNDUP(H427*'Customer Base'!$J$5,2),0)</f>
        <v>0</v>
      </c>
      <c r="J427" s="103" t="str">
        <f t="shared" si="77"/>
        <v/>
      </c>
      <c r="L427" s="103" t="str">
        <f t="shared" si="78"/>
        <v/>
      </c>
      <c r="N427" s="103">
        <v>426</v>
      </c>
      <c r="O427" s="103" t="str">
        <f>IF('Customer Base'!$I$15="MANUAL",IF(B427&lt;&gt;"",C427,""),IF('Customer Base'!$I$15="AUTOMATE",IF(A427&lt;&gt;"",C427,""),""))</f>
        <v/>
      </c>
      <c r="AO427" s="103">
        <f>IF('Customer Base'!$I$15="MANUAL",IFERROR(AM427*B427,""),IF('Customer Base'!$I$15="AUTOMATE",IFERROR(AM427*A427,""),""))</f>
        <v>0</v>
      </c>
      <c r="AV427" s="103">
        <f t="shared" si="74"/>
        <v>0</v>
      </c>
    </row>
    <row r="428" spans="1:48">
      <c r="A428" s="103" t="str">
        <f>IF(AND('Customer Base'!D20="BYD",A207="",'Customer Base'!D7&lt;&gt;"Grid-Tied"),1,"")</f>
        <v/>
      </c>
      <c r="B428" s="270" t="s">
        <v>1</v>
      </c>
      <c r="C428" s="243" t="s">
        <v>1187</v>
      </c>
      <c r="D428" s="331">
        <v>14.45</v>
      </c>
      <c r="E428" s="331">
        <v>13.608000000000001</v>
      </c>
      <c r="F428" s="264">
        <f t="shared" si="79"/>
        <v>11.853978671041837</v>
      </c>
      <c r="G428" s="238">
        <f>IFERROR(ROUNDUP(F428*'Customer Base'!$J$5,2),0)</f>
        <v>189.67</v>
      </c>
      <c r="H428" s="264">
        <f t="shared" si="80"/>
        <v>11.163248564397046</v>
      </c>
      <c r="I428" s="238">
        <f>IFERROR(ROUNDUP(H428*'Customer Base'!$J$5,2),0)</f>
        <v>178.62</v>
      </c>
      <c r="J428" s="103" t="str">
        <f t="shared" si="77"/>
        <v/>
      </c>
      <c r="L428" s="103" t="str">
        <f t="shared" si="78"/>
        <v/>
      </c>
      <c r="N428" s="103">
        <v>427</v>
      </c>
      <c r="O428" s="103" t="str">
        <f>IF('Customer Base'!$I$15="MANUAL",IF(B428&lt;&gt;"",C428,""),IF('Customer Base'!$I$15="AUTOMATE",IF(A428&lt;&gt;"",C428,""),""))</f>
        <v/>
      </c>
      <c r="AO428" s="103" t="str">
        <f>IF('Customer Base'!$I$15="MANUAL",IFERROR(AM428*B428,""),IF('Customer Base'!$I$15="AUTOMATE",IFERROR(AM428*A428,""),""))</f>
        <v/>
      </c>
      <c r="AV428" s="103">
        <f t="shared" si="74"/>
        <v>0</v>
      </c>
    </row>
    <row r="429" spans="1:48">
      <c r="C429" s="243" t="s">
        <v>1188</v>
      </c>
      <c r="D429" s="331">
        <v>17.48</v>
      </c>
      <c r="E429" s="331">
        <v>13.608000000000001</v>
      </c>
      <c r="F429" s="264">
        <f t="shared" si="79"/>
        <v>14.339622641509433</v>
      </c>
      <c r="G429" s="238">
        <f>IFERROR(ROUNDUP(F429*'Customer Base'!$J$5,2),0)</f>
        <v>229.44</v>
      </c>
      <c r="H429" s="264">
        <f t="shared" si="80"/>
        <v>11.163248564397046</v>
      </c>
      <c r="I429" s="238">
        <f>IFERROR(ROUNDUP(H429*'Customer Base'!$J$5,2),0)</f>
        <v>178.62</v>
      </c>
      <c r="J429" s="103" t="str">
        <f t="shared" si="77"/>
        <v/>
      </c>
      <c r="L429" s="103" t="str">
        <f t="shared" si="78"/>
        <v/>
      </c>
      <c r="N429" s="103">
        <v>428</v>
      </c>
      <c r="O429" s="103" t="str">
        <f>IF('Customer Base'!$I$15="MANUAL",IF(B429&lt;&gt;"",C429,""),IF('Customer Base'!$I$15="AUTOMATE",IF(A429&lt;&gt;"",C429,""),""))</f>
        <v/>
      </c>
      <c r="AO429" s="103">
        <f>IF('Customer Base'!$I$15="MANUAL",IFERROR(AM429*B429,""),IF('Customer Base'!$I$15="AUTOMATE",IFERROR(AM429*A429,""),""))</f>
        <v>0</v>
      </c>
      <c r="AV429" s="103">
        <f t="shared" si="74"/>
        <v>0</v>
      </c>
    </row>
    <row r="430" spans="1:48">
      <c r="A430" s="103">
        <f>IF(AND('Customer Base'!D20="BYD",A207&lt;&gt;"",'Customer Base'!D7&lt;&gt;"Grid-Tied"),1,"")</f>
        <v>1</v>
      </c>
      <c r="B430" s="270">
        <v>1</v>
      </c>
      <c r="C430" s="243" t="s">
        <v>1189</v>
      </c>
      <c r="D430" s="331">
        <v>17.48</v>
      </c>
      <c r="E430" s="331">
        <v>13.608000000000001</v>
      </c>
      <c r="F430" s="264">
        <f t="shared" si="79"/>
        <v>14.339622641509433</v>
      </c>
      <c r="G430" s="238">
        <f>IFERROR(ROUNDUP(F430*'Customer Base'!$J$5,2),0)</f>
        <v>229.44</v>
      </c>
      <c r="H430" s="264">
        <f t="shared" si="80"/>
        <v>11.163248564397046</v>
      </c>
      <c r="I430" s="238">
        <f>IFERROR(ROUNDUP(H430*'Customer Base'!$J$5,2),0)</f>
        <v>178.62</v>
      </c>
      <c r="J430" s="103" t="str">
        <f t="shared" si="77"/>
        <v/>
      </c>
      <c r="L430" s="103" t="str">
        <f t="shared" si="78"/>
        <v/>
      </c>
      <c r="N430" s="103">
        <v>429</v>
      </c>
      <c r="O430" s="103" t="str">
        <f>IF('Customer Base'!$I$15="MANUAL",IF(B430&lt;&gt;"",C430,""),IF('Customer Base'!$I$15="AUTOMATE",IF(A430&lt;&gt;"",C430,""),""))</f>
        <v>Victron VE.Can to CAN-bus BMS type B Cable 1.8m</v>
      </c>
      <c r="AO430" s="103">
        <f>IF('Customer Base'!$I$15="MANUAL",IFERROR(AM430*B430,""),IF('Customer Base'!$I$15="AUTOMATE",IFERROR(AM430*A430,""),""))</f>
        <v>0</v>
      </c>
      <c r="AV430" s="103">
        <f t="shared" si="74"/>
        <v>0</v>
      </c>
    </row>
    <row r="431" spans="1:48">
      <c r="C431" s="243" t="s">
        <v>1190</v>
      </c>
      <c r="D431" s="331">
        <v>14.45</v>
      </c>
      <c r="E431" s="331">
        <v>13.608000000000001</v>
      </c>
      <c r="F431" s="264">
        <f t="shared" si="79"/>
        <v>11.853978671041837</v>
      </c>
      <c r="G431" s="238">
        <f>IFERROR(ROUNDUP(F431*'Customer Base'!$J$5,2),0)</f>
        <v>189.67</v>
      </c>
      <c r="H431" s="264">
        <f t="shared" si="80"/>
        <v>11.163248564397046</v>
      </c>
      <c r="I431" s="238">
        <f>IFERROR(ROUNDUP(H431*'Customer Base'!$J$5,2),0)</f>
        <v>178.62</v>
      </c>
      <c r="J431" s="103" t="str">
        <f t="shared" si="77"/>
        <v/>
      </c>
      <c r="L431" s="103" t="str">
        <f t="shared" si="78"/>
        <v/>
      </c>
      <c r="N431" s="103">
        <v>430</v>
      </c>
      <c r="O431" s="103" t="str">
        <f>IF('Customer Base'!$I$15="MANUAL",IF(B431&lt;&gt;"",C431,""),IF('Customer Base'!$I$15="AUTOMATE",IF(A431&lt;&gt;"",C431,""),""))</f>
        <v/>
      </c>
      <c r="AO431" s="103">
        <f>IF('Customer Base'!$I$15="MANUAL",IFERROR(AM431*B431,""),IF('Customer Base'!$I$15="AUTOMATE",IFERROR(AM431*A431,""),""))</f>
        <v>0</v>
      </c>
      <c r="AV431" s="103">
        <f t="shared" si="74"/>
        <v>0</v>
      </c>
    </row>
    <row r="432" spans="1:48">
      <c r="D432" s="319"/>
      <c r="E432" s="319"/>
      <c r="F432" s="224">
        <f t="shared" si="79"/>
        <v>0</v>
      </c>
      <c r="G432" s="224">
        <f>IFERROR(ROUNDUP(F432*'Customer Base'!$J$5,2),0)</f>
        <v>0</v>
      </c>
      <c r="H432" s="224">
        <f t="shared" si="80"/>
        <v>0</v>
      </c>
      <c r="I432" s="224">
        <f>IFERROR(ROUNDUP(H432*'Customer Base'!$J$5,2),0)</f>
        <v>0</v>
      </c>
      <c r="J432" s="103" t="str">
        <f t="shared" si="77"/>
        <v/>
      </c>
      <c r="L432" s="103" t="str">
        <f t="shared" si="78"/>
        <v/>
      </c>
      <c r="N432" s="103">
        <v>431</v>
      </c>
      <c r="O432" s="103" t="str">
        <f>IF('Customer Base'!$I$15="MANUAL",IF(B432&lt;&gt;"",C432,""),IF('Customer Base'!$I$15="AUTOMATE",IF(A432&lt;&gt;"",C432,""),""))</f>
        <v/>
      </c>
      <c r="AO432" s="103">
        <f>IF('Customer Base'!$I$15="MANUAL",IFERROR(AM432*B432,""),IF('Customer Base'!$I$15="AUTOMATE",IFERROR(AM432*A432,""),""))</f>
        <v>0</v>
      </c>
      <c r="AV432" s="103">
        <f t="shared" si="74"/>
        <v>0</v>
      </c>
    </row>
    <row r="433" spans="3:48">
      <c r="C433" s="251" t="s">
        <v>1173</v>
      </c>
      <c r="D433" s="328">
        <v>22.57</v>
      </c>
      <c r="E433" s="328">
        <v>21.254000000000001</v>
      </c>
      <c r="F433" s="245">
        <f t="shared" si="79"/>
        <v>18.515176374077111</v>
      </c>
      <c r="G433" s="245">
        <f>IFERROR(ROUNDUP(F433*'Customer Base'!$J$5,2),0)</f>
        <v>296.25</v>
      </c>
      <c r="H433" s="245">
        <f t="shared" si="80"/>
        <v>17.435602953240362</v>
      </c>
      <c r="I433" s="245">
        <f>IFERROR(ROUNDUP(H433*'Customer Base'!$J$5,2),0)</f>
        <v>278.96999999999997</v>
      </c>
      <c r="J433" s="103" t="str">
        <f t="shared" si="77"/>
        <v/>
      </c>
      <c r="L433" s="103" t="str">
        <f t="shared" si="78"/>
        <v/>
      </c>
      <c r="N433" s="103">
        <v>432</v>
      </c>
      <c r="O433" s="103" t="str">
        <f>IF('Customer Base'!$I$15="MANUAL",IF(B433&lt;&gt;"",C433,""),IF('Customer Base'!$I$15="AUTOMATE",IF(A433&lt;&gt;"",C433,""),""))</f>
        <v/>
      </c>
      <c r="AO433" s="103">
        <f>IF('Customer Base'!$I$15="MANUAL",IFERROR(AM433*B433,""),IF('Customer Base'!$I$15="AUTOMATE",IFERROR(AM433*A433,""),""))</f>
        <v>0</v>
      </c>
      <c r="AV433" s="103">
        <f t="shared" si="74"/>
        <v>0</v>
      </c>
    </row>
    <row r="434" spans="3:48">
      <c r="C434" s="251" t="s">
        <v>931</v>
      </c>
      <c r="D434" s="328">
        <v>9.94</v>
      </c>
      <c r="E434" s="328">
        <v>9.3640000000000008</v>
      </c>
      <c r="F434" s="245">
        <f t="shared" si="79"/>
        <v>8.1542247744052485</v>
      </c>
      <c r="G434" s="245">
        <f>IFERROR(ROUNDUP(F434*'Customer Base'!$J$5,2),0)</f>
        <v>130.47</v>
      </c>
      <c r="H434" s="245">
        <f t="shared" si="80"/>
        <v>7.6817063166529946</v>
      </c>
      <c r="I434" s="245">
        <f>IFERROR(ROUNDUP(H434*'Customer Base'!$J$5,2),0)</f>
        <v>122.91000000000001</v>
      </c>
      <c r="J434" s="103" t="str">
        <f t="shared" si="77"/>
        <v/>
      </c>
      <c r="L434" s="103" t="str">
        <f t="shared" si="78"/>
        <v/>
      </c>
      <c r="N434" s="103">
        <v>433</v>
      </c>
      <c r="O434" s="103" t="str">
        <f>IF('Customer Base'!$I$15="MANUAL",IF(B434&lt;&gt;"",C434,""),IF('Customer Base'!$I$15="AUTOMATE",IF(A434&lt;&gt;"",C434,""),""))</f>
        <v/>
      </c>
      <c r="AO434" s="103">
        <f>IF('Customer Base'!$I$15="MANUAL",IFERROR(AM434*B434,""),IF('Customer Base'!$I$15="AUTOMATE",IFERROR(AM434*A434,""),""))</f>
        <v>0</v>
      </c>
      <c r="AV434" s="103">
        <f t="shared" si="74"/>
        <v>0</v>
      </c>
    </row>
    <row r="435" spans="3:48">
      <c r="C435" s="251" t="s">
        <v>2761</v>
      </c>
      <c r="D435" s="328">
        <v>9.94</v>
      </c>
      <c r="E435" s="328">
        <v>9.3640000000000008</v>
      </c>
      <c r="F435" s="245">
        <f t="shared" si="79"/>
        <v>8.1542247744052485</v>
      </c>
      <c r="G435" s="245">
        <f>IFERROR(ROUNDUP(F435*'Customer Base'!$J$5,2),0)</f>
        <v>130.47</v>
      </c>
      <c r="H435" s="245">
        <f t="shared" si="80"/>
        <v>7.6817063166529946</v>
      </c>
      <c r="I435" s="245">
        <f>IFERROR(ROUNDUP(H435*'Customer Base'!$J$5,2),0)</f>
        <v>122.91000000000001</v>
      </c>
      <c r="J435" s="103" t="str">
        <f t="shared" si="77"/>
        <v/>
      </c>
      <c r="L435" s="103" t="str">
        <f t="shared" si="78"/>
        <v/>
      </c>
      <c r="N435" s="103">
        <v>434</v>
      </c>
      <c r="O435" s="103" t="str">
        <f>IF('Customer Base'!$I$15="MANUAL",IF(B435&lt;&gt;"",C435,""),IF('Customer Base'!$I$15="AUTOMATE",IF(A435&lt;&gt;"",C435,""),""))</f>
        <v/>
      </c>
      <c r="AO435" s="103">
        <f>IF('Customer Base'!$I$15="MANUAL",IFERROR(AM435*B435,""),IF('Customer Base'!$I$15="AUTOMATE",IFERROR(AM435*A435,""),""))</f>
        <v>0</v>
      </c>
      <c r="AV435" s="103">
        <f t="shared" si="74"/>
        <v>0</v>
      </c>
    </row>
    <row r="436" spans="3:48">
      <c r="C436" s="251" t="s">
        <v>930</v>
      </c>
      <c r="D436" s="328">
        <v>9.0299999999999994</v>
      </c>
      <c r="E436" s="328">
        <v>8.5050000000000008</v>
      </c>
      <c r="F436" s="245">
        <f t="shared" si="79"/>
        <v>7.4077112387202613</v>
      </c>
      <c r="G436" s="245">
        <f>IFERROR(ROUNDUP(F436*'Customer Base'!$J$5,2),0)</f>
        <v>118.53</v>
      </c>
      <c r="H436" s="245">
        <f t="shared" si="80"/>
        <v>6.9770303527481543</v>
      </c>
      <c r="I436" s="245">
        <f>IFERROR(ROUNDUP(H436*'Customer Base'!$J$5,2),0)</f>
        <v>111.64</v>
      </c>
      <c r="J436" s="103" t="str">
        <f t="shared" si="77"/>
        <v/>
      </c>
      <c r="L436" s="103" t="str">
        <f t="shared" si="78"/>
        <v/>
      </c>
      <c r="N436" s="103">
        <v>435</v>
      </c>
      <c r="O436" s="103" t="str">
        <f>IF('Customer Base'!$I$15="MANUAL",IF(B436&lt;&gt;"",C436,""),IF('Customer Base'!$I$15="AUTOMATE",IF(A436&lt;&gt;"",C436,""),""))</f>
        <v/>
      </c>
      <c r="AO436" s="103">
        <f>IF('Customer Base'!$I$15="MANUAL",IFERROR(AM436*B436,""),IF('Customer Base'!$I$15="AUTOMATE",IFERROR(AM436*A436,""),""))</f>
        <v>0</v>
      </c>
      <c r="AV436" s="103">
        <f t="shared" si="74"/>
        <v>0</v>
      </c>
    </row>
    <row r="437" spans="3:48">
      <c r="C437" s="251" t="s">
        <v>932</v>
      </c>
      <c r="D437" s="328">
        <v>11.73</v>
      </c>
      <c r="E437" s="328">
        <v>11.048</v>
      </c>
      <c r="F437" s="245">
        <f t="shared" si="79"/>
        <v>9.6226415094339615</v>
      </c>
      <c r="G437" s="245">
        <f>IFERROR(ROUNDUP(F437*'Customer Base'!$J$5,2),0)</f>
        <v>153.97</v>
      </c>
      <c r="H437" s="245">
        <f t="shared" si="80"/>
        <v>9.0631665299425759</v>
      </c>
      <c r="I437" s="245">
        <f>IFERROR(ROUNDUP(H437*'Customer Base'!$J$5,2),0)</f>
        <v>145.01999999999998</v>
      </c>
      <c r="J437" s="103" t="str">
        <f t="shared" si="77"/>
        <v/>
      </c>
      <c r="L437" s="103" t="str">
        <f t="shared" si="78"/>
        <v/>
      </c>
      <c r="N437" s="103">
        <v>436</v>
      </c>
      <c r="O437" s="103" t="str">
        <f>IF('Customer Base'!$I$15="MANUAL",IF(B437&lt;&gt;"",C437,""),IF('Customer Base'!$I$15="AUTOMATE",IF(A437&lt;&gt;"",C437,""),""))</f>
        <v/>
      </c>
      <c r="AO437" s="103">
        <f>IF('Customer Base'!$I$15="MANUAL",IFERROR(AM437*B437,""),IF('Customer Base'!$I$15="AUTOMATE",IFERROR(AM437*A437,""),""))</f>
        <v>0</v>
      </c>
      <c r="AV437" s="103">
        <f t="shared" si="74"/>
        <v>0</v>
      </c>
    </row>
    <row r="438" spans="3:48">
      <c r="C438" s="251" t="s">
        <v>933</v>
      </c>
      <c r="D438" s="328">
        <v>28</v>
      </c>
      <c r="E438" s="328">
        <v>26.373999999999999</v>
      </c>
      <c r="F438" s="245">
        <f t="shared" si="79"/>
        <v>22.969647251845775</v>
      </c>
      <c r="G438" s="245">
        <f>IFERROR(ROUNDUP(F438*'Customer Base'!$J$5,2),0)</f>
        <v>367.52</v>
      </c>
      <c r="H438" s="245">
        <f t="shared" si="80"/>
        <v>21.635767022149299</v>
      </c>
      <c r="I438" s="245">
        <f>IFERROR(ROUNDUP(H438*'Customer Base'!$J$5,2),0)</f>
        <v>346.18</v>
      </c>
      <c r="J438" s="103" t="str">
        <f t="shared" si="77"/>
        <v/>
      </c>
      <c r="L438" s="103" t="str">
        <f t="shared" si="78"/>
        <v/>
      </c>
      <c r="N438" s="103">
        <v>437</v>
      </c>
      <c r="O438" s="103" t="str">
        <f>IF('Customer Base'!$I$15="MANUAL",IF(B438&lt;&gt;"",C438,""),IF('Customer Base'!$I$15="AUTOMATE",IF(A438&lt;&gt;"",C438,""),""))</f>
        <v/>
      </c>
      <c r="AO438" s="103">
        <f>IF('Customer Base'!$I$15="MANUAL",IFERROR(AM438*B438,""),IF('Customer Base'!$I$15="AUTOMATE",IFERROR(AM438*A438,""),""))</f>
        <v>0</v>
      </c>
      <c r="AV438" s="103">
        <f t="shared" si="74"/>
        <v>0</v>
      </c>
    </row>
    <row r="439" spans="3:48">
      <c r="C439" s="251" t="s">
        <v>934</v>
      </c>
      <c r="D439" s="328">
        <v>36.119999999999997</v>
      </c>
      <c r="E439" s="328">
        <v>34.020000000000003</v>
      </c>
      <c r="F439" s="245">
        <f t="shared" si="79"/>
        <v>29.630844954881045</v>
      </c>
      <c r="G439" s="245">
        <f>IFERROR(ROUNDUP(F439*'Customer Base'!$J$5,2),0)</f>
        <v>474.09999999999997</v>
      </c>
      <c r="H439" s="245">
        <f t="shared" si="80"/>
        <v>27.908121410992617</v>
      </c>
      <c r="I439" s="245">
        <f>IFERROR(ROUNDUP(H439*'Customer Base'!$J$5,2),0)</f>
        <v>446.53</v>
      </c>
      <c r="J439" s="103" t="str">
        <f t="shared" si="77"/>
        <v/>
      </c>
      <c r="L439" s="103" t="str">
        <f t="shared" si="78"/>
        <v/>
      </c>
      <c r="N439" s="103">
        <v>438</v>
      </c>
      <c r="O439" s="103" t="str">
        <f>IF('Customer Base'!$I$15="MANUAL",IF(B439&lt;&gt;"",C439,""),IF('Customer Base'!$I$15="AUTOMATE",IF(A439&lt;&gt;"",C439,""),""))</f>
        <v/>
      </c>
      <c r="AO439" s="103">
        <f>IF('Customer Base'!$I$15="MANUAL",IFERROR(AM439*B439,""),IF('Customer Base'!$I$15="AUTOMATE",IFERROR(AM439*A439,""),""))</f>
        <v>0</v>
      </c>
      <c r="AV439" s="103">
        <f t="shared" si="74"/>
        <v>0</v>
      </c>
    </row>
    <row r="440" spans="3:48">
      <c r="C440" s="251" t="s">
        <v>2747</v>
      </c>
      <c r="D440" s="328">
        <v>38.840000000000003</v>
      </c>
      <c r="E440" s="328">
        <v>36.58</v>
      </c>
      <c r="F440" s="245">
        <f t="shared" si="79"/>
        <v>31.862182116488928</v>
      </c>
      <c r="G440" s="245">
        <f>IFERROR(ROUNDUP(F440*'Customer Base'!$J$5,2),0)</f>
        <v>509.8</v>
      </c>
      <c r="H440" s="245">
        <f t="shared" si="80"/>
        <v>30.008203445447084</v>
      </c>
      <c r="I440" s="245">
        <f>IFERROR(ROUNDUP(H440*'Customer Base'!$J$5,2),0)</f>
        <v>480.14</v>
      </c>
      <c r="J440" s="103" t="str">
        <f t="shared" si="77"/>
        <v/>
      </c>
      <c r="L440" s="103" t="str">
        <f t="shared" si="78"/>
        <v/>
      </c>
      <c r="N440" s="103">
        <v>439</v>
      </c>
      <c r="O440" s="103" t="str">
        <f>IF('Customer Base'!$I$15="MANUAL",IF(B440&lt;&gt;"",C440,""),IF('Customer Base'!$I$15="AUTOMATE",IF(A440&lt;&gt;"",C440,""),""))</f>
        <v/>
      </c>
      <c r="AO440" s="103">
        <f>IF('Customer Base'!$I$15="MANUAL",IFERROR(AM440*B440,""),IF('Customer Base'!$I$15="AUTOMATE",IFERROR(AM440*A440,""),""))</f>
        <v>0</v>
      </c>
    </row>
    <row r="441" spans="3:48">
      <c r="C441" s="251" t="s">
        <v>2748</v>
      </c>
      <c r="D441" s="328">
        <v>45.15</v>
      </c>
      <c r="E441" s="328">
        <v>42.524999999999999</v>
      </c>
      <c r="F441" s="245">
        <f t="shared" si="79"/>
        <v>37.038556193601309</v>
      </c>
      <c r="G441" s="245">
        <f>IFERROR(ROUNDUP(F441*'Customer Base'!$J$5,2),0)</f>
        <v>592.62</v>
      </c>
      <c r="H441" s="245">
        <f t="shared" si="80"/>
        <v>34.885151763740765</v>
      </c>
      <c r="I441" s="245">
        <f>IFERROR(ROUNDUP(H441*'Customer Base'!$J$5,2),0)</f>
        <v>558.16999999999996</v>
      </c>
      <c r="J441" s="103" t="str">
        <f t="shared" si="77"/>
        <v/>
      </c>
      <c r="L441" s="103" t="str">
        <f t="shared" si="78"/>
        <v/>
      </c>
      <c r="N441" s="103">
        <v>440</v>
      </c>
      <c r="O441" s="103" t="str">
        <f>IF('Customer Base'!$I$15="MANUAL",IF(B441&lt;&gt;"",C441,""),IF('Customer Base'!$I$15="AUTOMATE",IF(A441&lt;&gt;"",C441,""),""))</f>
        <v/>
      </c>
      <c r="AO441" s="103">
        <f>IF('Customer Base'!$I$15="MANUAL",IFERROR(AM441*B441,""),IF('Customer Base'!$I$15="AUTOMATE",IFERROR(AM441*A441,""),""))</f>
        <v>0</v>
      </c>
    </row>
    <row r="442" spans="3:48">
      <c r="C442" s="251" t="s">
        <v>935</v>
      </c>
      <c r="D442" s="328">
        <v>15.34</v>
      </c>
      <c r="E442" s="328">
        <v>14.45</v>
      </c>
      <c r="F442" s="245">
        <f t="shared" si="79"/>
        <v>12.584085315832649</v>
      </c>
      <c r="G442" s="245">
        <f>IFERROR(ROUNDUP(F442*'Customer Base'!$J$5,2),0)</f>
        <v>201.35</v>
      </c>
      <c r="H442" s="245">
        <f t="shared" si="80"/>
        <v>11.853978671041837</v>
      </c>
      <c r="I442" s="245">
        <f>IFERROR(ROUNDUP(H442*'Customer Base'!$J$5,2),0)</f>
        <v>189.67</v>
      </c>
      <c r="J442" s="103" t="str">
        <f t="shared" si="77"/>
        <v/>
      </c>
      <c r="L442" s="103" t="str">
        <f t="shared" si="78"/>
        <v/>
      </c>
      <c r="N442" s="103">
        <v>441</v>
      </c>
      <c r="O442" s="103" t="str">
        <f>IF('Customer Base'!$I$15="MANUAL",IF(B442&lt;&gt;"",C442,""),IF('Customer Base'!$I$15="AUTOMATE",IF(A442&lt;&gt;"",C442,""),""))</f>
        <v/>
      </c>
      <c r="AO442" s="103">
        <f>IF('Customer Base'!$I$15="MANUAL",IFERROR(AM442*B442,""),IF('Customer Base'!$I$15="AUTOMATE",IFERROR(AM442*A442,""),""))</f>
        <v>0</v>
      </c>
      <c r="AV442" s="103">
        <f t="shared" si="74"/>
        <v>0</v>
      </c>
    </row>
    <row r="443" spans="3:48">
      <c r="C443" s="251" t="s">
        <v>936</v>
      </c>
      <c r="D443" s="328">
        <v>15.34</v>
      </c>
      <c r="E443" s="328">
        <v>14.45</v>
      </c>
      <c r="F443" s="245">
        <f t="shared" si="79"/>
        <v>12.584085315832649</v>
      </c>
      <c r="G443" s="245">
        <f>IFERROR(ROUNDUP(F443*'Customer Base'!$J$5,2),0)</f>
        <v>201.35</v>
      </c>
      <c r="H443" s="245">
        <f t="shared" si="80"/>
        <v>11.853978671041837</v>
      </c>
      <c r="I443" s="245">
        <f>IFERROR(ROUNDUP(H443*'Customer Base'!$J$5,2),0)</f>
        <v>189.67</v>
      </c>
      <c r="J443" s="103" t="str">
        <f t="shared" si="77"/>
        <v/>
      </c>
      <c r="L443" s="103" t="str">
        <f t="shared" si="78"/>
        <v/>
      </c>
      <c r="N443" s="103">
        <v>442</v>
      </c>
      <c r="O443" s="103" t="str">
        <f>IF('Customer Base'!$I$15="MANUAL",IF(B443&lt;&gt;"",C443,""),IF('Customer Base'!$I$15="AUTOMATE",IF(A443&lt;&gt;"",C443,""),""))</f>
        <v/>
      </c>
      <c r="AO443" s="103">
        <f>IF('Customer Base'!$I$15="MANUAL",IFERROR(AM443*B443,""),IF('Customer Base'!$I$15="AUTOMATE",IFERROR(AM443*A443,""),""))</f>
        <v>0</v>
      </c>
      <c r="AV443" s="103">
        <f t="shared" ref="AV443:AV505" si="81">IF(AU443&lt;&gt;"",AU443,AT443)</f>
        <v>0</v>
      </c>
    </row>
    <row r="444" spans="3:48">
      <c r="C444" s="251" t="s">
        <v>937</v>
      </c>
      <c r="D444" s="328">
        <v>23.48</v>
      </c>
      <c r="E444" s="328">
        <v>22.113</v>
      </c>
      <c r="F444" s="245">
        <f t="shared" si="79"/>
        <v>19.261689909762101</v>
      </c>
      <c r="G444" s="245">
        <f>IFERROR(ROUNDUP(F444*'Customer Base'!$J$5,2),0)</f>
        <v>308.19</v>
      </c>
      <c r="H444" s="245">
        <f t="shared" si="80"/>
        <v>18.140278917145199</v>
      </c>
      <c r="I444" s="245">
        <f>IFERROR(ROUNDUP(H444*'Customer Base'!$J$5,2),0)</f>
        <v>290.25</v>
      </c>
      <c r="J444" s="103" t="str">
        <f t="shared" si="77"/>
        <v/>
      </c>
      <c r="L444" s="103" t="str">
        <f t="shared" si="78"/>
        <v/>
      </c>
      <c r="N444" s="103">
        <v>443</v>
      </c>
      <c r="O444" s="103" t="str">
        <f>IF('Customer Base'!$I$15="MANUAL",IF(B444&lt;&gt;"",C444,""),IF('Customer Base'!$I$15="AUTOMATE",IF(A444&lt;&gt;"",C444,""),""))</f>
        <v/>
      </c>
      <c r="AO444" s="103">
        <f>IF('Customer Base'!$I$15="MANUAL",IFERROR(AM444*B444,""),IF('Customer Base'!$I$15="AUTOMATE",IFERROR(AM444*A444,""),""))</f>
        <v>0</v>
      </c>
      <c r="AV444" s="103">
        <f t="shared" si="81"/>
        <v>0</v>
      </c>
    </row>
    <row r="445" spans="3:48">
      <c r="C445" s="251" t="s">
        <v>938</v>
      </c>
      <c r="D445" s="328">
        <v>25.28</v>
      </c>
      <c r="E445" s="328">
        <v>23.814</v>
      </c>
      <c r="F445" s="245">
        <f t="shared" si="79"/>
        <v>20.738310090237899</v>
      </c>
      <c r="G445" s="245">
        <f>IFERROR(ROUNDUP(F445*'Customer Base'!$J$5,2),0)</f>
        <v>331.82</v>
      </c>
      <c r="H445" s="245">
        <f t="shared" si="80"/>
        <v>19.535684987694829</v>
      </c>
      <c r="I445" s="245">
        <f>IFERROR(ROUNDUP(H445*'Customer Base'!$J$5,2),0)</f>
        <v>312.58</v>
      </c>
      <c r="J445" s="103" t="str">
        <f t="shared" si="77"/>
        <v/>
      </c>
      <c r="L445" s="103" t="str">
        <f t="shared" si="78"/>
        <v/>
      </c>
      <c r="N445" s="103">
        <v>444</v>
      </c>
      <c r="O445" s="103" t="str">
        <f>IF('Customer Base'!$I$15="MANUAL",IF(B445&lt;&gt;"",C445,""),IF('Customer Base'!$I$15="AUTOMATE",IF(A445&lt;&gt;"",C445,""),""))</f>
        <v/>
      </c>
      <c r="AO445" s="103">
        <f>IF('Customer Base'!$I$15="MANUAL",IFERROR(AM445*B445,""),IF('Customer Base'!$I$15="AUTOMATE",IFERROR(AM445*A445,""),""))</f>
        <v>0</v>
      </c>
      <c r="AV445" s="103">
        <f t="shared" si="81"/>
        <v>0</v>
      </c>
    </row>
    <row r="446" spans="3:48">
      <c r="C446" s="251" t="s">
        <v>939</v>
      </c>
      <c r="D446" s="328">
        <v>29.79</v>
      </c>
      <c r="E446" s="328">
        <v>28.058</v>
      </c>
      <c r="F446" s="245">
        <f t="shared" si="79"/>
        <v>24.438063986874486</v>
      </c>
      <c r="G446" s="245">
        <f>IFERROR(ROUNDUP(F446*'Customer Base'!$J$5,2),0)</f>
        <v>391.01</v>
      </c>
      <c r="H446" s="245">
        <f t="shared" si="80"/>
        <v>23.017227235438881</v>
      </c>
      <c r="I446" s="245">
        <f>IFERROR(ROUNDUP(H446*'Customer Base'!$J$5,2),0)</f>
        <v>368.28</v>
      </c>
      <c r="J446" s="103" t="str">
        <f t="shared" si="77"/>
        <v/>
      </c>
      <c r="L446" s="103" t="str">
        <f t="shared" si="78"/>
        <v/>
      </c>
      <c r="N446" s="103">
        <v>445</v>
      </c>
      <c r="O446" s="103" t="str">
        <f>IF('Customer Base'!$I$15="MANUAL",IF(B446&lt;&gt;"",C446,""),IF('Customer Base'!$I$15="AUTOMATE",IF(A446&lt;&gt;"",C446,""),""))</f>
        <v/>
      </c>
      <c r="AO446" s="103">
        <f>IF('Customer Base'!$I$15="MANUAL",IFERROR(AM446*B446,""),IF('Customer Base'!$I$15="AUTOMATE",IFERROR(AM446*A446,""),""))</f>
        <v>0</v>
      </c>
      <c r="AV446" s="103">
        <f t="shared" si="81"/>
        <v>0</v>
      </c>
    </row>
    <row r="447" spans="3:48">
      <c r="C447" s="251" t="s">
        <v>940</v>
      </c>
      <c r="D447" s="328">
        <v>29.79</v>
      </c>
      <c r="E447" s="328">
        <v>28.058</v>
      </c>
      <c r="F447" s="245">
        <f t="shared" si="79"/>
        <v>24.438063986874486</v>
      </c>
      <c r="G447" s="245">
        <f>IFERROR(ROUNDUP(F447*'Customer Base'!$J$5,2),0)</f>
        <v>391.01</v>
      </c>
      <c r="H447" s="245">
        <f t="shared" si="80"/>
        <v>23.017227235438881</v>
      </c>
      <c r="I447" s="245">
        <f>IFERROR(ROUNDUP(H447*'Customer Base'!$J$5,2),0)</f>
        <v>368.28</v>
      </c>
      <c r="J447" s="103" t="str">
        <f t="shared" si="77"/>
        <v/>
      </c>
      <c r="L447" s="103" t="str">
        <f t="shared" si="78"/>
        <v/>
      </c>
      <c r="N447" s="103">
        <v>446</v>
      </c>
      <c r="O447" s="103" t="str">
        <f>IF('Customer Base'!$I$15="MANUAL",IF(B447&lt;&gt;"",C447,""),IF('Customer Base'!$I$15="AUTOMATE",IF(A447&lt;&gt;"",C447,""),""))</f>
        <v/>
      </c>
      <c r="AO447" s="103">
        <f>IF('Customer Base'!$I$15="MANUAL",IFERROR(AM447*B447,""),IF('Customer Base'!$I$15="AUTOMATE",IFERROR(AM447*A447,""),""))</f>
        <v>0</v>
      </c>
      <c r="AV447" s="103">
        <f t="shared" si="81"/>
        <v>0</v>
      </c>
    </row>
    <row r="448" spans="3:48">
      <c r="C448" s="251" t="s">
        <v>941</v>
      </c>
      <c r="D448" s="328">
        <v>29.79</v>
      </c>
      <c r="E448" s="328">
        <v>28.058</v>
      </c>
      <c r="F448" s="245">
        <f t="shared" si="79"/>
        <v>24.438063986874486</v>
      </c>
      <c r="G448" s="245">
        <f>IFERROR(ROUNDUP(F448*'Customer Base'!$J$5,2),0)</f>
        <v>391.01</v>
      </c>
      <c r="H448" s="245">
        <f t="shared" si="80"/>
        <v>23.017227235438881</v>
      </c>
      <c r="I448" s="245">
        <f>IFERROR(ROUNDUP(H448*'Customer Base'!$J$5,2),0)</f>
        <v>368.28</v>
      </c>
      <c r="J448" s="103" t="str">
        <f t="shared" si="77"/>
        <v/>
      </c>
      <c r="L448" s="103" t="str">
        <f t="shared" si="78"/>
        <v/>
      </c>
      <c r="N448" s="103">
        <v>447</v>
      </c>
      <c r="O448" s="103" t="str">
        <f>IF('Customer Base'!$I$15="MANUAL",IF(B448&lt;&gt;"",C448,""),IF('Customer Base'!$I$15="AUTOMATE",IF(A448&lt;&gt;"",C448,""),""))</f>
        <v/>
      </c>
      <c r="AO448" s="103">
        <f>IF('Customer Base'!$I$15="MANUAL",IFERROR(AM448*B448,""),IF('Customer Base'!$I$15="AUTOMATE",IFERROR(AM448*A448,""),""))</f>
        <v>0</v>
      </c>
      <c r="AV448" s="103">
        <f t="shared" si="81"/>
        <v>0</v>
      </c>
    </row>
    <row r="449" spans="1:48">
      <c r="C449" s="251" t="s">
        <v>2751</v>
      </c>
      <c r="D449" s="328">
        <v>36.119999999999997</v>
      </c>
      <c r="E449" s="328">
        <v>34.020000000000003</v>
      </c>
      <c r="F449" s="245">
        <f t="shared" si="79"/>
        <v>29.630844954881045</v>
      </c>
      <c r="G449" s="245">
        <f>IFERROR(ROUNDUP(F449*'Customer Base'!$J$5,2),0)</f>
        <v>474.09999999999997</v>
      </c>
      <c r="H449" s="245">
        <f t="shared" si="80"/>
        <v>27.908121410992617</v>
      </c>
      <c r="I449" s="245">
        <f>IFERROR(ROUNDUP(H449*'Customer Base'!$J$5,2),0)</f>
        <v>446.53</v>
      </c>
      <c r="J449" s="103" t="str">
        <f t="shared" si="77"/>
        <v/>
      </c>
      <c r="L449" s="103" t="str">
        <f t="shared" si="78"/>
        <v/>
      </c>
      <c r="N449" s="103">
        <v>448</v>
      </c>
      <c r="O449" s="103" t="str">
        <f>IF('Customer Base'!$I$15="MANUAL",IF(B449&lt;&gt;"",C449,""),IF('Customer Base'!$I$15="AUTOMATE",IF(A449&lt;&gt;"",C449,""),""))</f>
        <v/>
      </c>
      <c r="AO449" s="103">
        <f>IF('Customer Base'!$I$15="MANUAL",IFERROR(AM449*B449,""),IF('Customer Base'!$I$15="AUTOMATE",IFERROR(AM449*A449,""),""))</f>
        <v>0</v>
      </c>
    </row>
    <row r="450" spans="1:48">
      <c r="C450" s="251" t="s">
        <v>2752</v>
      </c>
      <c r="D450" s="328">
        <v>36.119999999999997</v>
      </c>
      <c r="E450" s="328">
        <v>34.020000000000003</v>
      </c>
      <c r="F450" s="245">
        <f t="shared" si="79"/>
        <v>29.630844954881045</v>
      </c>
      <c r="G450" s="245">
        <f>IFERROR(ROUNDUP(F450*'Customer Base'!$J$5,2),0)</f>
        <v>474.09999999999997</v>
      </c>
      <c r="H450" s="245">
        <f t="shared" si="80"/>
        <v>27.908121410992617</v>
      </c>
      <c r="I450" s="245">
        <f>IFERROR(ROUNDUP(H450*'Customer Base'!$J$5,2),0)</f>
        <v>446.53</v>
      </c>
      <c r="J450" s="103" t="str">
        <f t="shared" si="77"/>
        <v/>
      </c>
      <c r="L450" s="103" t="str">
        <f t="shared" si="78"/>
        <v/>
      </c>
      <c r="N450" s="103">
        <v>449</v>
      </c>
      <c r="O450" s="103" t="str">
        <f>IF('Customer Base'!$I$15="MANUAL",IF(B450&lt;&gt;"",C450,""),IF('Customer Base'!$I$15="AUTOMATE",IF(A450&lt;&gt;"",C450,""),""))</f>
        <v/>
      </c>
      <c r="AO450" s="103">
        <f>IF('Customer Base'!$I$15="MANUAL",IFERROR(AM450*B450,""),IF('Customer Base'!$I$15="AUTOMATE",IFERROR(AM450*A450,""),""))</f>
        <v>0</v>
      </c>
      <c r="AV450" s="103">
        <f t="shared" si="81"/>
        <v>0</v>
      </c>
    </row>
    <row r="451" spans="1:48">
      <c r="C451" s="251" t="s">
        <v>942</v>
      </c>
      <c r="D451" s="328">
        <v>9.94</v>
      </c>
      <c r="E451" s="328">
        <v>9.3640000000000008</v>
      </c>
      <c r="F451" s="245">
        <f t="shared" si="79"/>
        <v>8.1542247744052485</v>
      </c>
      <c r="G451" s="245">
        <f>IFERROR(ROUNDUP(F451*'Customer Base'!$J$5,2),0)</f>
        <v>130.47</v>
      </c>
      <c r="H451" s="245">
        <f t="shared" si="80"/>
        <v>7.6817063166529946</v>
      </c>
      <c r="I451" s="245">
        <f>IFERROR(ROUNDUP(H451*'Customer Base'!$J$5,2),0)</f>
        <v>122.91000000000001</v>
      </c>
      <c r="J451" s="103" t="str">
        <f t="shared" si="77"/>
        <v/>
      </c>
      <c r="L451" s="103" t="str">
        <f t="shared" si="78"/>
        <v/>
      </c>
      <c r="N451" s="103">
        <v>450</v>
      </c>
      <c r="O451" s="103" t="str">
        <f>IF('Customer Base'!$I$15="MANUAL",IF(B451&lt;&gt;"",C451,""),IF('Customer Base'!$I$15="AUTOMATE",IF(A451&lt;&gt;"",C451,""),""))</f>
        <v/>
      </c>
      <c r="AO451" s="103">
        <f>IF('Customer Base'!$I$15="MANUAL",IFERROR(AM451*B451,""),IF('Customer Base'!$I$15="AUTOMATE",IFERROR(AM451*A451,""),""))</f>
        <v>0</v>
      </c>
      <c r="AV451" s="103">
        <f t="shared" si="81"/>
        <v>0</v>
      </c>
    </row>
    <row r="452" spans="1:48">
      <c r="C452" s="251" t="s">
        <v>2750</v>
      </c>
      <c r="D452" s="328">
        <v>31.61</v>
      </c>
      <c r="E452" s="328">
        <v>29.776</v>
      </c>
      <c r="F452" s="245">
        <f t="shared" si="79"/>
        <v>25.931091058244462</v>
      </c>
      <c r="G452" s="245">
        <f>IFERROR(ROUNDUP(F452*'Customer Base'!$J$5,2),0)</f>
        <v>414.9</v>
      </c>
      <c r="H452" s="245">
        <f t="shared" si="80"/>
        <v>24.426579163248562</v>
      </c>
      <c r="I452" s="245">
        <f>IFERROR(ROUNDUP(H452*'Customer Base'!$J$5,2),0)</f>
        <v>390.83</v>
      </c>
      <c r="J452" s="103" t="str">
        <f t="shared" si="77"/>
        <v/>
      </c>
      <c r="L452" s="103" t="str">
        <f t="shared" si="78"/>
        <v/>
      </c>
      <c r="N452" s="103">
        <v>451</v>
      </c>
      <c r="O452" s="103" t="str">
        <f>IF('Customer Base'!$I$15="MANUAL",IF(B452&lt;&gt;"",C452,""),IF('Customer Base'!$I$15="AUTOMATE",IF(A452&lt;&gt;"",C452,""),""))</f>
        <v/>
      </c>
      <c r="AO452" s="103">
        <f>IF('Customer Base'!$I$15="MANUAL",IFERROR(AM452*B452,""),IF('Customer Base'!$I$15="AUTOMATE",IFERROR(AM452*A452,""),""))</f>
        <v>0</v>
      </c>
      <c r="AV452" s="103">
        <f t="shared" si="81"/>
        <v>0</v>
      </c>
    </row>
    <row r="453" spans="1:48">
      <c r="C453" s="251" t="s">
        <v>2749</v>
      </c>
      <c r="D453" s="328">
        <v>31.61</v>
      </c>
      <c r="E453" s="328">
        <v>29.776</v>
      </c>
      <c r="F453" s="245">
        <f t="shared" ref="F453:F477" si="82">$D453/1.219</f>
        <v>25.931091058244462</v>
      </c>
      <c r="G453" s="245">
        <f>IFERROR(ROUNDUP(F453*'Customer Base'!$J$5,2),0)</f>
        <v>414.9</v>
      </c>
      <c r="H453" s="245">
        <f t="shared" ref="H453:H478" si="83">$E453/1.219</f>
        <v>24.426579163248562</v>
      </c>
      <c r="I453" s="245">
        <f>IFERROR(ROUNDUP(H453*'Customer Base'!$J$5,2),0)</f>
        <v>390.83</v>
      </c>
      <c r="J453" s="103" t="str">
        <f t="shared" si="77"/>
        <v/>
      </c>
      <c r="L453" s="103" t="str">
        <f t="shared" si="78"/>
        <v/>
      </c>
      <c r="N453" s="103">
        <v>452</v>
      </c>
      <c r="O453" s="103" t="str">
        <f>IF('Customer Base'!$I$15="MANUAL",IF(B453&lt;&gt;"",C453,""),IF('Customer Base'!$I$15="AUTOMATE",IF(A453&lt;&gt;"",C453,""),""))</f>
        <v/>
      </c>
      <c r="AO453" s="103">
        <f>IF('Customer Base'!$I$15="MANUAL",IFERROR(AM453*B453,""),IF('Customer Base'!$I$15="AUTOMATE",IFERROR(AM453*A453,""),""))</f>
        <v>0</v>
      </c>
      <c r="AV453" s="103">
        <f t="shared" si="81"/>
        <v>0</v>
      </c>
    </row>
    <row r="454" spans="1:48">
      <c r="C454" s="251" t="s">
        <v>943</v>
      </c>
      <c r="D454" s="328">
        <v>9.9600000000000009</v>
      </c>
      <c r="E454" s="328">
        <v>9.3640000000000008</v>
      </c>
      <c r="F454" s="245">
        <f t="shared" si="82"/>
        <v>8.1706316652994264</v>
      </c>
      <c r="G454" s="245">
        <f>IFERROR(ROUNDUP(F454*'Customer Base'!$J$5,2),0)</f>
        <v>130.73999999999998</v>
      </c>
      <c r="H454" s="245">
        <f t="shared" si="83"/>
        <v>7.6817063166529946</v>
      </c>
      <c r="I454" s="245">
        <f>IFERROR(ROUNDUP(H454*'Customer Base'!$J$5,2),0)</f>
        <v>122.91000000000001</v>
      </c>
      <c r="J454" s="103" t="str">
        <f t="shared" si="77"/>
        <v/>
      </c>
      <c r="L454" s="103" t="str">
        <f t="shared" si="78"/>
        <v/>
      </c>
      <c r="N454" s="103">
        <v>453</v>
      </c>
      <c r="O454" s="103" t="str">
        <f>IF('Customer Base'!$I$15="MANUAL",IF(B454&lt;&gt;"",C454,""),IF('Customer Base'!$I$15="AUTOMATE",IF(A454&lt;&gt;"",C454,""),""))</f>
        <v/>
      </c>
      <c r="AO454" s="103">
        <f>IF('Customer Base'!$I$15="MANUAL",IFERROR(AM454*B454,""),IF('Customer Base'!$I$15="AUTOMATE",IFERROR(AM454*A454,""),""))</f>
        <v>0</v>
      </c>
      <c r="AV454" s="103">
        <f t="shared" si="81"/>
        <v>0</v>
      </c>
    </row>
    <row r="455" spans="1:48">
      <c r="D455" s="319"/>
      <c r="E455" s="319"/>
      <c r="I455" s="224"/>
      <c r="J455" s="103" t="str">
        <f t="shared" si="77"/>
        <v/>
      </c>
      <c r="L455" s="103" t="str">
        <f t="shared" si="78"/>
        <v/>
      </c>
      <c r="N455" s="103">
        <v>454</v>
      </c>
      <c r="O455" s="103" t="str">
        <f>IF('Customer Base'!$I$15="MANUAL",IF(B455&lt;&gt;"",C455,""),IF('Customer Base'!$I$15="AUTOMATE",IF(A455&lt;&gt;"",C455,""),""))</f>
        <v/>
      </c>
      <c r="AO455" s="103">
        <f>IF('Customer Base'!$I$15="MANUAL",IFERROR(AM455*B455,""),IF('Customer Base'!$I$15="AUTOMATE",IFERROR(AM455*A455,""),""))</f>
        <v>0</v>
      </c>
      <c r="AV455" s="103">
        <f t="shared" si="81"/>
        <v>0</v>
      </c>
    </row>
    <row r="456" spans="1:48">
      <c r="C456" s="232" t="s">
        <v>1895</v>
      </c>
      <c r="D456" s="320"/>
      <c r="E456" s="320"/>
      <c r="F456" s="234">
        <f t="shared" si="82"/>
        <v>0</v>
      </c>
      <c r="G456" s="234">
        <f>IFERROR(ROUNDUP(F456*'Customer Base'!$J$5,2),0)</f>
        <v>0</v>
      </c>
      <c r="H456" s="234">
        <f t="shared" si="83"/>
        <v>0</v>
      </c>
      <c r="I456" s="234">
        <f>IFERROR(ROUNDUP(H456*'Customer Base'!$J$5,2),0)</f>
        <v>0</v>
      </c>
      <c r="J456" s="103" t="str">
        <f t="shared" si="77"/>
        <v/>
      </c>
      <c r="L456" s="103" t="str">
        <f t="shared" si="78"/>
        <v/>
      </c>
      <c r="N456" s="103">
        <v>455</v>
      </c>
      <c r="O456" s="103" t="str">
        <f>IF('Customer Base'!$I$15="MANUAL",IF(B456&lt;&gt;"",C456,""),IF('Customer Base'!$I$15="AUTOMATE",IF(A456&lt;&gt;"",C456,""),""))</f>
        <v/>
      </c>
      <c r="AO456" s="103">
        <f>IF('Customer Base'!$I$15="MANUAL",IFERROR(AM456*B456,""),IF('Customer Base'!$I$15="AUTOMATE",IFERROR(AM456*A456,""),""))</f>
        <v>0</v>
      </c>
      <c r="AV456" s="103">
        <f t="shared" si="81"/>
        <v>0</v>
      </c>
    </row>
    <row r="457" spans="1:48">
      <c r="A457" s="103">
        <f>IFERROR(IF(AND(OR('Customer Base'!D$7="BACKUP",'Customer Base'!D$7="HYBRID",'Customer Base'!D$7="MINI-GRID"),'CABLE SIZING TOOL'!J$31&gt;0,'CABLE SIZING TOOL'!J$31&lt;=32),1,""),"")</f>
        <v>1</v>
      </c>
      <c r="B457" s="270" t="s">
        <v>1</v>
      </c>
      <c r="C457" s="250" t="s">
        <v>950</v>
      </c>
      <c r="D457" s="321">
        <v>51.6</v>
      </c>
      <c r="E457" s="321">
        <v>48.6</v>
      </c>
      <c r="F457" s="249">
        <f t="shared" si="82"/>
        <v>42.329778506972929</v>
      </c>
      <c r="G457" s="249">
        <f>IFERROR(ROUNDUP(F457*'Customer Base'!$J$5,2),0)</f>
        <v>677.28</v>
      </c>
      <c r="H457" s="249">
        <f t="shared" si="83"/>
        <v>39.868744872846591</v>
      </c>
      <c r="I457" s="249">
        <f>IFERROR(ROUNDUP(H457*'Customer Base'!$J$5,2),0)</f>
        <v>637.9</v>
      </c>
      <c r="J457" s="103" t="str">
        <f t="shared" si="77"/>
        <v/>
      </c>
      <c r="L457" s="103" t="str">
        <f t="shared" si="78"/>
        <v/>
      </c>
      <c r="N457" s="103">
        <v>456</v>
      </c>
      <c r="O457" s="103" t="str">
        <f>IF('Customer Base'!$I$15="MANUAL",IF(B457&lt;&gt;"",C457,""),IF('Customer Base'!$I$15="AUTOMATE",IF(A457&lt;&gt;"",C457,""),""))</f>
        <v>32A Manual Transfer Switch</v>
      </c>
      <c r="AO457" s="103">
        <f>IF('Customer Base'!$I$15="MANUAL",IFERROR(AM457*B457,""),IF('Customer Base'!$I$15="AUTOMATE",IFERROR(AM457*A457,""),""))</f>
        <v>0</v>
      </c>
      <c r="AV457" s="103">
        <f t="shared" si="81"/>
        <v>0</v>
      </c>
    </row>
    <row r="458" spans="1:48">
      <c r="A458" s="103" t="str">
        <f>IFERROR(IF(AND(OR('Customer Base'!D$7="BACKUP",'Customer Base'!D$7="HYBRID",'Customer Base'!D$7="MINI-GRID"),'CABLE SIZING TOOL'!J$31&gt;32,'CABLE SIZING TOOL'!J$31&lt;=63),1,""),"")</f>
        <v/>
      </c>
      <c r="B458" s="270" t="s">
        <v>1</v>
      </c>
      <c r="C458" s="250" t="s">
        <v>951</v>
      </c>
      <c r="D458" s="321">
        <v>70.52</v>
      </c>
      <c r="E458" s="321">
        <v>66.42</v>
      </c>
      <c r="F458" s="249">
        <f t="shared" si="82"/>
        <v>57.850697292862996</v>
      </c>
      <c r="G458" s="249">
        <f>IFERROR(ROUNDUP(F458*'Customer Base'!$J$5,2),0)</f>
        <v>925.62</v>
      </c>
      <c r="H458" s="249">
        <f t="shared" si="83"/>
        <v>54.487284659557012</v>
      </c>
      <c r="I458" s="249">
        <f>IFERROR(ROUNDUP(H458*'Customer Base'!$J$5,2),0)</f>
        <v>871.8</v>
      </c>
      <c r="J458" s="103" t="str">
        <f t="shared" si="77"/>
        <v/>
      </c>
      <c r="L458" s="103" t="str">
        <f t="shared" si="78"/>
        <v/>
      </c>
      <c r="N458" s="103">
        <v>457</v>
      </c>
      <c r="O458" s="103" t="str">
        <f>IF('Customer Base'!$I$15="MANUAL",IF(B458&lt;&gt;"",C458,""),IF('Customer Base'!$I$15="AUTOMATE",IF(A458&lt;&gt;"",C458,""),""))</f>
        <v/>
      </c>
      <c r="AO458" s="103" t="str">
        <f>IF('Customer Base'!$I$15="MANUAL",IFERROR(AM458*B458,""),IF('Customer Base'!$I$15="AUTOMATE",IFERROR(AM458*A458,""),""))</f>
        <v/>
      </c>
      <c r="AV458" s="103">
        <f t="shared" si="81"/>
        <v>0</v>
      </c>
    </row>
    <row r="459" spans="1:48">
      <c r="A459" s="103" t="str">
        <f>IFERROR(IF(AND(OR('Customer Base'!D$7="BACKUP",'Customer Base'!D$7="HYBRID",'Customer Base'!D$7="MINI-GRID"),'CABLE SIZING TOOL'!J$31&gt;63,'CABLE SIZING TOOL'!J$31&lt;=100),1,""),"")</f>
        <v/>
      </c>
      <c r="B459" s="270" t="s">
        <v>1</v>
      </c>
      <c r="C459" s="250" t="s">
        <v>976</v>
      </c>
      <c r="D459" s="321">
        <v>120.4</v>
      </c>
      <c r="E459" s="321">
        <v>113.4</v>
      </c>
      <c r="F459" s="249">
        <f t="shared" si="82"/>
        <v>98.769483182936838</v>
      </c>
      <c r="G459" s="249">
        <f>IFERROR(ROUNDUP(F459*'Customer Base'!$J$5,2),0)</f>
        <v>1580.32</v>
      </c>
      <c r="H459" s="249">
        <f t="shared" si="83"/>
        <v>93.027071369975388</v>
      </c>
      <c r="I459" s="249">
        <f>IFERROR(ROUNDUP(H459*'Customer Base'!$J$5,2),0)</f>
        <v>1488.44</v>
      </c>
      <c r="J459" s="103" t="str">
        <f t="shared" si="77"/>
        <v/>
      </c>
      <c r="L459" s="103" t="str">
        <f t="shared" si="78"/>
        <v/>
      </c>
      <c r="N459" s="103">
        <v>458</v>
      </c>
      <c r="O459" s="103" t="str">
        <f>IF('Customer Base'!$I$15="MANUAL",IF(B459&lt;&gt;"",C459,""),IF('Customer Base'!$I$15="AUTOMATE",IF(A459&lt;&gt;"",C459,""),""))</f>
        <v/>
      </c>
      <c r="AO459" s="103" t="str">
        <f>IF('Customer Base'!$I$15="MANUAL",IFERROR(AM459*B459,""),IF('Customer Base'!$I$15="AUTOMATE",IFERROR(AM459*A459,""),""))</f>
        <v/>
      </c>
      <c r="AV459" s="103">
        <f t="shared" si="81"/>
        <v>0</v>
      </c>
    </row>
    <row r="460" spans="1:48">
      <c r="A460" s="103" t="str">
        <f>IFERROR(IF(AND(OR('Customer Base'!D$7="BACKUP",'Customer Base'!D$7="HYBRID",'Customer Base'!D$7="MINI-GRID"),'CABLE SIZING TOOL'!J$31&gt;100,'CABLE SIZING TOOL'!J$31&lt;=250),1,""),"")</f>
        <v/>
      </c>
      <c r="B460" s="270">
        <v>1</v>
      </c>
      <c r="C460" s="250" t="s">
        <v>1242</v>
      </c>
      <c r="D460" s="321">
        <v>200</v>
      </c>
      <c r="E460" s="321">
        <v>200</v>
      </c>
      <c r="F460" s="249">
        <f t="shared" si="82"/>
        <v>164.06890894175552</v>
      </c>
      <c r="G460" s="249">
        <f>IFERROR(ROUNDUP(F460*'Customer Base'!$J$5,2),0)</f>
        <v>2625.11</v>
      </c>
      <c r="H460" s="249">
        <f t="shared" si="83"/>
        <v>164.06890894175552</v>
      </c>
      <c r="I460" s="249">
        <f>IFERROR(ROUNDUP(H460*'Customer Base'!$J$5,2),0)</f>
        <v>2625.11</v>
      </c>
      <c r="J460" s="103" t="str">
        <f t="shared" si="77"/>
        <v/>
      </c>
      <c r="L460" s="103" t="str">
        <f t="shared" si="78"/>
        <v/>
      </c>
      <c r="N460" s="103">
        <v>459</v>
      </c>
      <c r="O460" s="103" t="str">
        <f>IF('Customer Base'!$I$15="MANUAL",IF(B460&lt;&gt;"",C460,""),IF('Customer Base'!$I$15="AUTOMATE",IF(A460&lt;&gt;"",C460,""),""))</f>
        <v/>
      </c>
      <c r="AO460" s="103" t="str">
        <f>IF('Customer Base'!$I$15="MANUAL",IFERROR(AM460*B460,""),IF('Customer Base'!$I$15="AUTOMATE",IFERROR(AM460*A460,""),""))</f>
        <v/>
      </c>
      <c r="AV460" s="103">
        <f t="shared" si="81"/>
        <v>0</v>
      </c>
    </row>
    <row r="461" spans="1:48">
      <c r="A461" s="103" t="str">
        <f>IFERROR(IF(AND(OR('Customer Base'!D$7="BACKUP",'Customer Base'!D$7="HYBRID",'Customer Base'!D$7="MINI-GRID"),'CABLE SIZING TOOL'!J$31&gt;250,'CABLE SIZING TOOL'!J$31&lt;=400),1,""),"")</f>
        <v/>
      </c>
      <c r="B461" s="270" t="s">
        <v>1</v>
      </c>
      <c r="C461" s="250" t="s">
        <v>1899</v>
      </c>
      <c r="D461" s="321">
        <v>1000</v>
      </c>
      <c r="E461" s="321">
        <v>1000</v>
      </c>
      <c r="F461" s="249">
        <f t="shared" si="82"/>
        <v>820.34454470877768</v>
      </c>
      <c r="G461" s="249">
        <f>IFERROR(ROUNDUP(F461*'Customer Base'!$J$5,2),0)</f>
        <v>13125.52</v>
      </c>
      <c r="H461" s="249">
        <f t="shared" si="83"/>
        <v>820.34454470877768</v>
      </c>
      <c r="I461" s="249">
        <f>IFERROR(ROUNDUP(H461*'Customer Base'!$J$5,2),0)</f>
        <v>13125.52</v>
      </c>
      <c r="J461" s="103" t="str">
        <f t="shared" si="77"/>
        <v/>
      </c>
      <c r="L461" s="103" t="str">
        <f t="shared" si="78"/>
        <v/>
      </c>
      <c r="N461" s="103">
        <v>460</v>
      </c>
      <c r="O461" s="103" t="str">
        <f>IF('Customer Base'!$I$15="MANUAL",IF(B461&lt;&gt;"",C461,""),IF('Customer Base'!$I$15="AUTOMATE",IF(A461&lt;&gt;"",C461,""),""))</f>
        <v/>
      </c>
      <c r="AO461" s="103" t="str">
        <f>IF('Customer Base'!$I$15="MANUAL",IFERROR(AM461*B461,""),IF('Customer Base'!$I$15="AUTOMATE",IFERROR(AM461*A461,""),""))</f>
        <v/>
      </c>
      <c r="AV461" s="103">
        <f t="shared" si="81"/>
        <v>0</v>
      </c>
    </row>
    <row r="462" spans="1:48">
      <c r="A462" s="103" t="str">
        <f>IFERROR(IF(AND(OR('Customer Base'!D$7="BACKUP",'Customer Base'!D$7="HYBRID",'Customer Base'!D$7="MINI-GRID"),'CABLE SIZING TOOL'!J$31&gt;400,'CABLE SIZING TOOL'!J$31&lt;=1000),1,""),"")</f>
        <v/>
      </c>
      <c r="B462" s="270" t="s">
        <v>1</v>
      </c>
      <c r="C462" s="250" t="s">
        <v>1803</v>
      </c>
      <c r="D462" s="321">
        <v>2000</v>
      </c>
      <c r="E462" s="321">
        <v>2000</v>
      </c>
      <c r="F462" s="249">
        <f t="shared" si="82"/>
        <v>1640.6890894175554</v>
      </c>
      <c r="G462" s="249">
        <f>IFERROR(ROUNDUP(F462*'Customer Base'!$J$5,2),0)</f>
        <v>26251.03</v>
      </c>
      <c r="H462" s="249">
        <f t="shared" si="83"/>
        <v>1640.6890894175554</v>
      </c>
      <c r="I462" s="249">
        <f>IFERROR(ROUNDUP(H462*'Customer Base'!$J$5,2),0)</f>
        <v>26251.03</v>
      </c>
      <c r="J462" s="103" t="str">
        <f t="shared" si="77"/>
        <v/>
      </c>
      <c r="L462" s="103" t="str">
        <f t="shared" si="78"/>
        <v/>
      </c>
      <c r="N462" s="103">
        <v>461</v>
      </c>
      <c r="O462" s="103" t="str">
        <f>IF('Customer Base'!$I$15="MANUAL",IF(B462&lt;&gt;"",C462,""),IF('Customer Base'!$I$15="AUTOMATE",IF(A462&lt;&gt;"",C462,""),""))</f>
        <v/>
      </c>
      <c r="AO462" s="103" t="str">
        <f>IF('Customer Base'!$I$15="MANUAL",IFERROR(AM462*B462,""),IF('Customer Base'!$I$15="AUTOMATE",IFERROR(AM462*A462,""),""))</f>
        <v/>
      </c>
      <c r="AV462" s="103">
        <f t="shared" si="81"/>
        <v>0</v>
      </c>
    </row>
    <row r="463" spans="1:48">
      <c r="C463" s="250" t="s">
        <v>1243</v>
      </c>
      <c r="D463" s="321"/>
      <c r="E463" s="321"/>
      <c r="F463" s="249">
        <f t="shared" si="82"/>
        <v>0</v>
      </c>
      <c r="G463" s="249"/>
      <c r="H463" s="249">
        <f t="shared" si="83"/>
        <v>0</v>
      </c>
      <c r="I463" s="249">
        <f>IFERROR(ROUNDUP(H463*'Customer Base'!$J$5,2),0)</f>
        <v>0</v>
      </c>
      <c r="J463" s="103" t="str">
        <f t="shared" si="77"/>
        <v/>
      </c>
      <c r="L463" s="103" t="str">
        <f t="shared" si="78"/>
        <v/>
      </c>
      <c r="N463" s="103">
        <v>462</v>
      </c>
      <c r="O463" s="103" t="str">
        <f>IF('Customer Base'!$I$15="MANUAL",IF(B463&lt;&gt;"",C463,""),IF('Customer Base'!$I$15="AUTOMATE",IF(A463&lt;&gt;"",C463,""),""))</f>
        <v/>
      </c>
      <c r="AO463" s="103">
        <f>IF('Customer Base'!$I$15="MANUAL",IFERROR(AM463*B463,""),IF('Customer Base'!$I$15="AUTOMATE",IFERROR(AM463*A463,""),""))</f>
        <v>0</v>
      </c>
      <c r="AV463" s="103">
        <f t="shared" si="81"/>
        <v>0</v>
      </c>
    </row>
    <row r="464" spans="1:48">
      <c r="D464" s="319"/>
      <c r="E464" s="319"/>
      <c r="F464" s="224">
        <f t="shared" si="82"/>
        <v>0</v>
      </c>
      <c r="G464" s="224">
        <f>IFERROR(ROUNDUP(F464*'Customer Base'!$J$5,2),0)</f>
        <v>0</v>
      </c>
      <c r="H464" s="224">
        <f t="shared" si="83"/>
        <v>0</v>
      </c>
      <c r="I464" s="224">
        <f>IFERROR(ROUNDUP(H464*'Customer Base'!$J$5,2),0)</f>
        <v>0</v>
      </c>
      <c r="J464" s="103" t="str">
        <f t="shared" si="77"/>
        <v/>
      </c>
      <c r="L464" s="103" t="str">
        <f t="shared" si="78"/>
        <v/>
      </c>
      <c r="N464" s="103">
        <v>463</v>
      </c>
      <c r="O464" s="103" t="str">
        <f>IF('Customer Base'!$I$15="MANUAL",IF(B464&lt;&gt;"",C464,""),IF('Customer Base'!$I$15="AUTOMATE",IF(A464&lt;&gt;"",C464,""),""))</f>
        <v/>
      </c>
      <c r="AO464" s="103">
        <f>IF('Customer Base'!$I$15="MANUAL",IFERROR(AM464*B464,""),IF('Customer Base'!$I$15="AUTOMATE",IFERROR(AM464*A464,""),""))</f>
        <v>0</v>
      </c>
      <c r="AV464" s="103">
        <f t="shared" si="81"/>
        <v>0</v>
      </c>
    </row>
    <row r="465" spans="1:48">
      <c r="C465" s="250" t="s">
        <v>1376</v>
      </c>
      <c r="D465" s="321">
        <v>35</v>
      </c>
      <c r="E465" s="321">
        <v>35</v>
      </c>
      <c r="F465" s="249">
        <f t="shared" si="82"/>
        <v>28.712059064807217</v>
      </c>
      <c r="G465" s="249">
        <f>IFERROR(ROUNDUP(F465*'Customer Base'!$J$5,2),0)</f>
        <v>459.4</v>
      </c>
      <c r="H465" s="249">
        <f t="shared" si="83"/>
        <v>28.712059064807217</v>
      </c>
      <c r="I465" s="249">
        <f>IFERROR(ROUNDUP(H465*'Customer Base'!$J$5,2),0)</f>
        <v>459.4</v>
      </c>
      <c r="J465" s="103" t="str">
        <f t="shared" si="77"/>
        <v/>
      </c>
      <c r="L465" s="103" t="str">
        <f t="shared" si="78"/>
        <v/>
      </c>
      <c r="N465" s="103">
        <v>464</v>
      </c>
      <c r="O465" s="103" t="str">
        <f>IF('Customer Base'!$I$15="MANUAL",IF(B465&lt;&gt;"",C465,""),IF('Customer Base'!$I$15="AUTOMATE",IF(A465&lt;&gt;"",C465,""),""))</f>
        <v/>
      </c>
      <c r="AO465" s="103">
        <f>IF('Customer Base'!$I$15="MANUAL",IFERROR(AM465*B465,""),IF('Customer Base'!$I$15="AUTOMATE",IFERROR(AM465*A465,""),""))</f>
        <v>0</v>
      </c>
      <c r="AV465" s="103">
        <f t="shared" si="81"/>
        <v>0</v>
      </c>
    </row>
    <row r="466" spans="1:48">
      <c r="C466" s="250" t="s">
        <v>1377</v>
      </c>
      <c r="D466" s="321">
        <v>35</v>
      </c>
      <c r="E466" s="321">
        <v>35</v>
      </c>
      <c r="F466" s="249">
        <f t="shared" si="82"/>
        <v>28.712059064807217</v>
      </c>
      <c r="G466" s="249">
        <f>IFERROR(ROUNDUP(F466*'Customer Base'!$J$5,2),0)</f>
        <v>459.4</v>
      </c>
      <c r="H466" s="249">
        <f t="shared" si="83"/>
        <v>28.712059064807217</v>
      </c>
      <c r="I466" s="249">
        <f>IFERROR(ROUNDUP(H466*'Customer Base'!$J$5,2),0)</f>
        <v>459.4</v>
      </c>
      <c r="J466" s="103" t="str">
        <f t="shared" ref="J466:J529" si="84">IF(D466&lt;&gt;"",IF(D466&lt;E466,"lkdfjk",""),"")</f>
        <v/>
      </c>
      <c r="L466" s="103" t="str">
        <f t="shared" ref="L466:L529" si="85">IF(H466&gt;F466,"lkkajdfkj","")</f>
        <v/>
      </c>
      <c r="N466" s="103">
        <v>465</v>
      </c>
      <c r="O466" s="103" t="str">
        <f>IF('Customer Base'!$I$15="MANUAL",IF(B466&lt;&gt;"",C466,""),IF('Customer Base'!$I$15="AUTOMATE",IF(A466&lt;&gt;"",C466,""),""))</f>
        <v/>
      </c>
      <c r="AO466" s="103">
        <f>IF('Customer Base'!$I$15="MANUAL",IFERROR(AM466*B466,""),IF('Customer Base'!$I$15="AUTOMATE",IFERROR(AM466*A466,""),""))</f>
        <v>0</v>
      </c>
      <c r="AV466" s="103">
        <f t="shared" si="81"/>
        <v>0</v>
      </c>
    </row>
    <row r="467" spans="1:48">
      <c r="A467" s="103" t="str">
        <f>IF(AND(OR(AND('Customer Base'!E13="Phoenix",'Customer Base'!D13="Victron"),'Customer Base'!D$7="Grid-Tied"),'Customer Base'!D$9=1,'CABLE SIZING TOOL'!J$27&gt;0,'CABLE SIZING TOOL'!J$27&lt;=32),1,IF(AND('Customer Base'!D$9=1,'CABLE SIZING TOOL'!J$27&gt;0,'CABLE SIZING TOOL'!J$27&lt;=32),2,""))</f>
        <v/>
      </c>
      <c r="B467" s="270" t="s">
        <v>1</v>
      </c>
      <c r="C467" s="250" t="s">
        <v>1378</v>
      </c>
      <c r="D467" s="321">
        <v>49</v>
      </c>
      <c r="E467" s="321">
        <v>49</v>
      </c>
      <c r="F467" s="249">
        <f t="shared" si="82"/>
        <v>40.196882690730106</v>
      </c>
      <c r="G467" s="249">
        <f>IFERROR(ROUNDUP(F467*'Customer Base'!$J$5,2),0)</f>
        <v>643.16</v>
      </c>
      <c r="H467" s="249">
        <f t="shared" si="83"/>
        <v>40.196882690730106</v>
      </c>
      <c r="I467" s="249">
        <f>IFERROR(ROUNDUP(H467*'Customer Base'!$J$5,2),0)</f>
        <v>643.16</v>
      </c>
      <c r="J467" s="103" t="str">
        <f t="shared" si="84"/>
        <v/>
      </c>
      <c r="L467" s="103" t="str">
        <f t="shared" si="85"/>
        <v/>
      </c>
      <c r="N467" s="103">
        <v>466</v>
      </c>
      <c r="O467" s="103" t="str">
        <f>IF('Customer Base'!$I$15="MANUAL",IF(B467&lt;&gt;"",C467,""),IF('Customer Base'!$I$15="AUTOMATE",IF(A467&lt;&gt;"",C467,""),""))</f>
        <v/>
      </c>
      <c r="AO467" s="103" t="str">
        <f>IF('Customer Base'!$I$15="MANUAL",IFERROR(AM467*B467,""),IF('Customer Base'!$I$15="AUTOMATE",IFERROR(AM467*A467,""),""))</f>
        <v/>
      </c>
      <c r="AV467" s="103">
        <f t="shared" si="81"/>
        <v>0</v>
      </c>
    </row>
    <row r="468" spans="1:48">
      <c r="A468" s="103" t="str">
        <f>IF(AND(OR(AND('Customer Base'!E13="Phoenix",'Customer Base'!D13="Victron"),'Customer Base'!D$7="Grid-Tied"),'Customer Base'!D$9=1,'CABLE SIZING TOOL'!J$27&gt;32,'CABLE SIZING TOOL'!J$27&lt;=40),1,IF(AND('Customer Base'!D$9=1,'CABLE SIZING TOOL'!J$27&gt;32,'CABLE SIZING TOOL'!J$27&lt;=40),2,""))</f>
        <v/>
      </c>
      <c r="B468" s="270" t="s">
        <v>1</v>
      </c>
      <c r="C468" s="250" t="s">
        <v>1379</v>
      </c>
      <c r="D468" s="321">
        <v>49</v>
      </c>
      <c r="E468" s="321">
        <v>49</v>
      </c>
      <c r="F468" s="249">
        <f t="shared" si="82"/>
        <v>40.196882690730106</v>
      </c>
      <c r="G468" s="249">
        <f>IFERROR(ROUNDUP(F468*'Customer Base'!$J$5,2),0)</f>
        <v>643.16</v>
      </c>
      <c r="H468" s="249">
        <f t="shared" si="83"/>
        <v>40.196882690730106</v>
      </c>
      <c r="I468" s="249">
        <f>IFERROR(ROUNDUP(H468*'Customer Base'!$J$5,2),0)</f>
        <v>643.16</v>
      </c>
      <c r="J468" s="103" t="str">
        <f t="shared" si="84"/>
        <v/>
      </c>
      <c r="L468" s="103" t="str">
        <f t="shared" si="85"/>
        <v/>
      </c>
      <c r="N468" s="103">
        <v>467</v>
      </c>
      <c r="O468" s="103" t="str">
        <f>IF('Customer Base'!$I$15="MANUAL",IF(B468&lt;&gt;"",C468,""),IF('Customer Base'!$I$15="AUTOMATE",IF(A468&lt;&gt;"",C468,""),""))</f>
        <v/>
      </c>
      <c r="AO468" s="103" t="str">
        <f>IF('Customer Base'!$I$15="MANUAL",IFERROR(AM468*B468,""),IF('Customer Base'!$I$15="AUTOMATE",IFERROR(AM468*A468,""),""))</f>
        <v/>
      </c>
      <c r="AV468" s="103">
        <f t="shared" si="81"/>
        <v>0</v>
      </c>
    </row>
    <row r="469" spans="1:48">
      <c r="A469" s="103" t="str">
        <f>IF(AND(OR(AND('Customer Base'!E13="Phoenix",'Customer Base'!D13="Victron"),'Customer Base'!D$7="Grid-Tied"),'Customer Base'!D$9=1,'CABLE SIZING TOOL'!J$27&gt;40,'CABLE SIZING TOOL'!J$27&lt;=50),1,IF(AND('Customer Base'!D$9=1,'CABLE SIZING TOOL'!J$27&gt;40,'CABLE SIZING TOOL'!J$27&lt;=50),2,""))</f>
        <v/>
      </c>
      <c r="B469" s="270" t="s">
        <v>1</v>
      </c>
      <c r="C469" s="250" t="s">
        <v>2600</v>
      </c>
      <c r="D469" s="321">
        <v>49</v>
      </c>
      <c r="E469" s="321">
        <v>49</v>
      </c>
      <c r="F469" s="249">
        <f t="shared" si="82"/>
        <v>40.196882690730106</v>
      </c>
      <c r="G469" s="249">
        <f>IFERROR(ROUNDUP(F469*'Customer Base'!$J$5,2),0)</f>
        <v>643.16</v>
      </c>
      <c r="H469" s="249">
        <f t="shared" si="83"/>
        <v>40.196882690730106</v>
      </c>
      <c r="I469" s="249">
        <f>IFERROR(ROUNDUP(H469*'Customer Base'!$J$5,2),0)</f>
        <v>643.16</v>
      </c>
      <c r="J469" s="103" t="str">
        <f t="shared" si="84"/>
        <v/>
      </c>
      <c r="L469" s="103" t="str">
        <f t="shared" si="85"/>
        <v/>
      </c>
      <c r="N469" s="103">
        <v>468</v>
      </c>
      <c r="O469" s="103" t="str">
        <f>IF('Customer Base'!$I$15="MANUAL",IF(B469&lt;&gt;"",C469,""),IF('Customer Base'!$I$15="AUTOMATE",IF(A469&lt;&gt;"",C469,""),""))</f>
        <v/>
      </c>
      <c r="AO469" s="103" t="str">
        <f>IF('Customer Base'!$I$15="MANUAL",IFERROR(AM469*B469,""),IF('Customer Base'!$I$15="AUTOMATE",IFERROR(AM469*A469,""),""))</f>
        <v/>
      </c>
      <c r="AV469" s="103">
        <f t="shared" si="81"/>
        <v>0</v>
      </c>
    </row>
    <row r="470" spans="1:48">
      <c r="A470" s="103" t="str">
        <f>IF(AND(OR(AND('Customer Base'!E13="Phoenix",'Customer Base'!D13="Victron"),'Customer Base'!D$7="Grid-Tied"),'Customer Base'!D$9=1,'CABLE SIZING TOOL'!J$27&gt;50,'CABLE SIZING TOOL'!J$27&lt;=63),1,IF(AND('Customer Base'!D$9=1,'CABLE SIZING TOOL'!J$27&gt;50,'CABLE SIZING TOOL'!J$27&lt;=63),2,""))</f>
        <v/>
      </c>
      <c r="B470" s="270" t="s">
        <v>1</v>
      </c>
      <c r="C470" s="250" t="s">
        <v>1380</v>
      </c>
      <c r="D470" s="321">
        <v>49</v>
      </c>
      <c r="E470" s="321">
        <v>49</v>
      </c>
      <c r="F470" s="249">
        <f t="shared" si="82"/>
        <v>40.196882690730106</v>
      </c>
      <c r="G470" s="249">
        <f>IFERROR(ROUNDUP(F470*'Customer Base'!$J$5,2),0)</f>
        <v>643.16</v>
      </c>
      <c r="H470" s="249">
        <f t="shared" si="83"/>
        <v>40.196882690730106</v>
      </c>
      <c r="I470" s="249">
        <f>IFERROR(ROUNDUP(H470*'Customer Base'!$J$5,2),0)</f>
        <v>643.16</v>
      </c>
      <c r="J470" s="103" t="str">
        <f t="shared" si="84"/>
        <v/>
      </c>
      <c r="L470" s="103" t="str">
        <f t="shared" si="85"/>
        <v/>
      </c>
      <c r="N470" s="103">
        <v>469</v>
      </c>
      <c r="O470" s="103" t="str">
        <f>IF('Customer Base'!$I$15="MANUAL",IF(B470&lt;&gt;"",C470,""),IF('Customer Base'!$I$15="AUTOMATE",IF(A470&lt;&gt;"",C470,""),""))</f>
        <v/>
      </c>
      <c r="AO470" s="103" t="str">
        <f>IF('Customer Base'!$I$15="MANUAL",IFERROR(AM470*B470,""),IF('Customer Base'!$I$15="AUTOMATE",IFERROR(AM470*A470,""),""))</f>
        <v/>
      </c>
      <c r="AV470" s="103">
        <f t="shared" si="81"/>
        <v>0</v>
      </c>
    </row>
    <row r="471" spans="1:48">
      <c r="A471" s="103" t="str">
        <f>IF(AND(OR(AND('Customer Base'!E13="Phoenix",'Customer Base'!D13="Victron"),'Customer Base'!D$7="Grid-Tied"),'Customer Base'!D$9=1,'CABLE SIZING TOOL'!J$27&gt;63,'CABLE SIZING TOOL'!J$27&lt;=80),1,IF(AND('Customer Base'!D$9=1,'CABLE SIZING TOOL'!J$27&gt;63,'CABLE SIZING TOOL'!J$27&lt;=80),2,""))</f>
        <v/>
      </c>
      <c r="B471" s="270" t="s">
        <v>1</v>
      </c>
      <c r="C471" s="250" t="s">
        <v>1801</v>
      </c>
      <c r="D471" s="321">
        <v>49</v>
      </c>
      <c r="E471" s="321">
        <v>49</v>
      </c>
      <c r="F471" s="249">
        <f t="shared" si="82"/>
        <v>40.196882690730106</v>
      </c>
      <c r="G471" s="249">
        <f>IFERROR(ROUNDUP(F471*'Customer Base'!$J$5,2),0)</f>
        <v>643.16</v>
      </c>
      <c r="H471" s="249">
        <f t="shared" si="83"/>
        <v>40.196882690730106</v>
      </c>
      <c r="I471" s="249">
        <f>IFERROR(ROUNDUP(H471*'Customer Base'!$J$5,2),0)</f>
        <v>643.16</v>
      </c>
      <c r="J471" s="103" t="str">
        <f t="shared" si="84"/>
        <v/>
      </c>
      <c r="L471" s="103" t="str">
        <f t="shared" si="85"/>
        <v/>
      </c>
      <c r="N471" s="103">
        <v>470</v>
      </c>
      <c r="O471" s="103" t="str">
        <f>IF('Customer Base'!$I$15="MANUAL",IF(B471&lt;&gt;"",C471,""),IF('Customer Base'!$I$15="AUTOMATE",IF(A471&lt;&gt;"",C471,""),""))</f>
        <v/>
      </c>
      <c r="AO471" s="103" t="str">
        <f>IF('Customer Base'!$I$15="MANUAL",IFERROR(AM471*B471,""),IF('Customer Base'!$I$15="AUTOMATE",IFERROR(AM471*A471,""),""))</f>
        <v/>
      </c>
      <c r="AV471" s="103">
        <f t="shared" si="81"/>
        <v>0</v>
      </c>
    </row>
    <row r="472" spans="1:48">
      <c r="A472" s="103" t="str">
        <f>IF(AND(OR(AND('Customer Base'!E13="Phoenix",'Customer Base'!D13="Victron"),'Customer Base'!D$7="Grid-Tied"),'Customer Base'!D$9=1,'CABLE SIZING TOOL'!J$27&gt;80,'CABLE SIZING TOOL'!J$27&lt;=100),1,IF(AND('Customer Base'!D$9=1,'CABLE SIZING TOOL'!J$27&gt;80,'CABLE SIZING TOOL'!J$27&lt;=100),2,""))</f>
        <v/>
      </c>
      <c r="B472" s="270" t="s">
        <v>1</v>
      </c>
      <c r="C472" s="250" t="s">
        <v>1381</v>
      </c>
      <c r="D472" s="321">
        <v>49</v>
      </c>
      <c r="E472" s="321">
        <v>49</v>
      </c>
      <c r="F472" s="249">
        <f t="shared" si="82"/>
        <v>40.196882690730106</v>
      </c>
      <c r="G472" s="249">
        <f>IFERROR(ROUNDUP(F472*'Customer Base'!$J$5,2),0)</f>
        <v>643.16</v>
      </c>
      <c r="H472" s="249">
        <f t="shared" si="83"/>
        <v>40.196882690730106</v>
      </c>
      <c r="I472" s="249">
        <f>IFERROR(ROUNDUP(H472*'Customer Base'!$J$5,2),0)</f>
        <v>643.16</v>
      </c>
      <c r="J472" s="103" t="str">
        <f t="shared" si="84"/>
        <v/>
      </c>
      <c r="L472" s="103" t="str">
        <f t="shared" si="85"/>
        <v/>
      </c>
      <c r="N472" s="103">
        <v>471</v>
      </c>
      <c r="O472" s="103" t="str">
        <f>IF('Customer Base'!$I$15="MANUAL",IF(B472&lt;&gt;"",C472,""),IF('Customer Base'!$I$15="AUTOMATE",IF(A472&lt;&gt;"",C472,""),""))</f>
        <v/>
      </c>
      <c r="AO472" s="103" t="str">
        <f>IF('Customer Base'!$I$15="MANUAL",IFERROR(AM472*B472,""),IF('Customer Base'!$I$15="AUTOMATE",IFERROR(AM472*A472,""),""))</f>
        <v/>
      </c>
      <c r="AV472" s="103">
        <f t="shared" si="81"/>
        <v>0</v>
      </c>
    </row>
    <row r="473" spans="1:48">
      <c r="A473" s="103" t="str">
        <f>IF(AND(OR(AND('Customer Base'!E13="Phoenix",'Customer Base'!D13="Victron"),'Customer Base'!D$7="Grid-Tied"),'Customer Base'!D$9=1,'CABLE SIZING TOOL'!J$27&gt;100,'CABLE SIZING TOOL'!J$27&lt;=125),1,IF(AND('Customer Base'!D$9=1,'CABLE SIZING TOOL'!J$27&gt;100,'CABLE SIZING TOOL'!J$27&lt;=125),2,""))</f>
        <v/>
      </c>
      <c r="B473" s="270" t="s">
        <v>1</v>
      </c>
      <c r="C473" s="250" t="s">
        <v>2613</v>
      </c>
      <c r="D473" s="321">
        <v>49</v>
      </c>
      <c r="E473" s="321">
        <v>49</v>
      </c>
      <c r="F473" s="249">
        <f t="shared" si="82"/>
        <v>40.196882690730106</v>
      </c>
      <c r="G473" s="249">
        <f>IFERROR(ROUNDUP(F473*'Customer Base'!$J$5,2),0)</f>
        <v>643.16</v>
      </c>
      <c r="H473" s="249">
        <f t="shared" si="83"/>
        <v>40.196882690730106</v>
      </c>
      <c r="I473" s="249">
        <f>IFERROR(ROUNDUP(H473*'Customer Base'!$J$5,2),0)</f>
        <v>643.16</v>
      </c>
      <c r="J473" s="103" t="str">
        <f t="shared" si="84"/>
        <v/>
      </c>
      <c r="L473" s="103" t="str">
        <f t="shared" si="85"/>
        <v/>
      </c>
      <c r="N473" s="103">
        <v>472</v>
      </c>
      <c r="O473" s="103" t="str">
        <f>IF('Customer Base'!$I$15="MANUAL",IF(B473&lt;&gt;"",C473,""),IF('Customer Base'!$I$15="AUTOMATE",IF(A473&lt;&gt;"",C473,""),""))</f>
        <v/>
      </c>
      <c r="AO473" s="103" t="str">
        <f>IF('Customer Base'!$I$15="MANUAL",IFERROR(AM473*B473,""),IF('Customer Base'!$I$15="AUTOMATE",IFERROR(AM473*A473,""),""))</f>
        <v/>
      </c>
    </row>
    <row r="474" spans="1:48">
      <c r="A474" s="103" t="str">
        <f>IF(AND(OR(AND('Customer Base'!E13="Phoenix",'Customer Base'!D13="Victron"),'Customer Base'!D$7="Grid-Tied"),'Customer Base'!D$9=1,'CABLE SIZING TOOL'!J$27&gt;125,'CABLE SIZING TOOL'!J$27&lt;=160),1,IF(AND('Customer Base'!D$9=1,'CABLE SIZING TOOL'!J$27&gt;125,'CABLE SIZING TOOL'!J$27&lt;=160),2,""))</f>
        <v/>
      </c>
      <c r="B474" s="270" t="s">
        <v>1</v>
      </c>
      <c r="C474" s="250" t="s">
        <v>1494</v>
      </c>
      <c r="D474" s="321">
        <v>69</v>
      </c>
      <c r="E474" s="321">
        <v>69</v>
      </c>
      <c r="F474" s="249">
        <f t="shared" si="82"/>
        <v>56.603773584905653</v>
      </c>
      <c r="G474" s="249">
        <f>IFERROR(ROUNDUP(F474*'Customer Base'!$J$5,2),0)</f>
        <v>905.67</v>
      </c>
      <c r="H474" s="249">
        <f t="shared" si="83"/>
        <v>56.603773584905653</v>
      </c>
      <c r="I474" s="249">
        <f>IFERROR(ROUNDUP(H474*'Customer Base'!$J$5,2),0)</f>
        <v>905.67</v>
      </c>
      <c r="J474" s="103" t="str">
        <f t="shared" si="84"/>
        <v/>
      </c>
      <c r="L474" s="103" t="str">
        <f t="shared" si="85"/>
        <v/>
      </c>
      <c r="N474" s="103">
        <v>473</v>
      </c>
      <c r="O474" s="103" t="str">
        <f>IF('Customer Base'!$I$15="MANUAL",IF(B474&lt;&gt;"",C474,""),IF('Customer Base'!$I$15="AUTOMATE",IF(A474&lt;&gt;"",C474,""),""))</f>
        <v/>
      </c>
      <c r="AO474" s="103" t="str">
        <f>IF('Customer Base'!$I$15="MANUAL",IFERROR(AM474*B474,""),IF('Customer Base'!$I$15="AUTOMATE",IFERROR(AM474*A474,""),""))</f>
        <v/>
      </c>
      <c r="AV474" s="103">
        <f t="shared" si="81"/>
        <v>0</v>
      </c>
    </row>
    <row r="475" spans="1:48">
      <c r="A475" s="103" t="str">
        <f>IF(AND(OR(AND('Customer Base'!E13="Phoenix",'Customer Base'!D13="Victron"),'Customer Base'!D$7="Grid-Tied"),'Customer Base'!D$9=1,'CABLE SIZING TOOL'!J$27&gt;160,'CABLE SIZING TOOL'!J$27&lt;=250),1,IF(AND('Customer Base'!D$9=1,'CABLE SIZING TOOL'!J$27&gt;160,'CABLE SIZING TOOL'!J$27&lt;=250),2,""))</f>
        <v/>
      </c>
      <c r="B475" s="270" t="s">
        <v>1</v>
      </c>
      <c r="C475" s="250" t="s">
        <v>1382</v>
      </c>
      <c r="D475" s="321">
        <v>69</v>
      </c>
      <c r="E475" s="321">
        <v>69</v>
      </c>
      <c r="F475" s="249">
        <f t="shared" si="82"/>
        <v>56.603773584905653</v>
      </c>
      <c r="G475" s="249">
        <f>IFERROR(ROUNDUP(F475*'Customer Base'!$J$5,2),0)</f>
        <v>905.67</v>
      </c>
      <c r="H475" s="249">
        <f t="shared" si="83"/>
        <v>56.603773584905653</v>
      </c>
      <c r="I475" s="249">
        <f>IFERROR(ROUNDUP(H475*'Customer Base'!$J$5,2),0)</f>
        <v>905.67</v>
      </c>
      <c r="J475" s="103" t="str">
        <f t="shared" si="84"/>
        <v/>
      </c>
      <c r="L475" s="103" t="str">
        <f t="shared" si="85"/>
        <v/>
      </c>
      <c r="N475" s="103">
        <v>474</v>
      </c>
      <c r="O475" s="103" t="str">
        <f>IF('Customer Base'!$I$15="MANUAL",IF(B475&lt;&gt;"",C475,""),IF('Customer Base'!$I$15="AUTOMATE",IF(A475&lt;&gt;"",C475,""),""))</f>
        <v/>
      </c>
      <c r="AO475" s="103" t="str">
        <f>IF('Customer Base'!$I$15="MANUAL",IFERROR(AM475*B475,""),IF('Customer Base'!$I$15="AUTOMATE",IFERROR(AM475*A475,""),""))</f>
        <v/>
      </c>
    </row>
    <row r="476" spans="1:48">
      <c r="A476" s="103" t="str">
        <f>IF(AND(OR(AND('Customer Base'!E13="Phoenix",'Customer Base'!D13="Victron"),'Customer Base'!D$7="Grid-Tied"),'Customer Base'!D$9=1,'CABLE SIZING TOOL'!J$27&gt;250,'CABLE SIZING TOOL'!J$27&lt;=320),1,IF(AND('Customer Base'!D$9=1,'CABLE SIZING TOOL'!J$27&gt;250,'CABLE SIZING TOOL'!J$27&lt;=320),2,""))</f>
        <v/>
      </c>
      <c r="B476" s="270" t="s">
        <v>1</v>
      </c>
      <c r="C476" s="250" t="s">
        <v>2601</v>
      </c>
      <c r="D476" s="321">
        <v>89</v>
      </c>
      <c r="E476" s="321">
        <v>89</v>
      </c>
      <c r="F476" s="249">
        <f t="shared" si="82"/>
        <v>73.010664479081214</v>
      </c>
      <c r="G476" s="249">
        <f>IFERROR(ROUNDUP(F476*'Customer Base'!$J$5,2),0)</f>
        <v>1168.18</v>
      </c>
      <c r="H476" s="249">
        <f t="shared" si="83"/>
        <v>73.010664479081214</v>
      </c>
      <c r="I476" s="249">
        <f>IFERROR(ROUNDUP(H476*'Customer Base'!$J$5,2),0)</f>
        <v>1168.18</v>
      </c>
      <c r="J476" s="103" t="str">
        <f t="shared" si="84"/>
        <v/>
      </c>
      <c r="L476" s="103" t="str">
        <f t="shared" si="85"/>
        <v/>
      </c>
      <c r="N476" s="103">
        <v>475</v>
      </c>
      <c r="O476" s="103" t="str">
        <f>IF('Customer Base'!$I$15="MANUAL",IF(B476&lt;&gt;"",C476,""),IF('Customer Base'!$I$15="AUTOMATE",IF(A476&lt;&gt;"",C476,""),""))</f>
        <v/>
      </c>
      <c r="AO476" s="103" t="str">
        <f>IF('Customer Base'!$I$15="MANUAL",IFERROR(AM476*B476,""),IF('Customer Base'!$I$15="AUTOMATE",IFERROR(AM476*A476,""),""))</f>
        <v/>
      </c>
    </row>
    <row r="477" spans="1:48">
      <c r="C477" s="250"/>
      <c r="D477" s="321"/>
      <c r="E477" s="321"/>
      <c r="F477" s="249">
        <f t="shared" si="82"/>
        <v>0</v>
      </c>
      <c r="G477" s="249">
        <f>IFERROR(ROUNDUP(F477*'Customer Base'!$J$5,2),0)</f>
        <v>0</v>
      </c>
      <c r="H477" s="249">
        <f t="shared" si="83"/>
        <v>0</v>
      </c>
      <c r="I477" s="249">
        <f>IFERROR(ROUNDUP(H477*'Customer Base'!$J$5,2),0)</f>
        <v>0</v>
      </c>
      <c r="J477" s="103" t="str">
        <f t="shared" si="84"/>
        <v/>
      </c>
      <c r="L477" s="103" t="str">
        <f t="shared" si="85"/>
        <v/>
      </c>
      <c r="N477" s="103">
        <v>476</v>
      </c>
      <c r="O477" s="103" t="str">
        <f>IF('Customer Base'!$I$15="MANUAL",IF(B477&lt;&gt;"",C477,""),IF('Customer Base'!$I$15="AUTOMATE",IF(A477&lt;&gt;"",C477,""),""))</f>
        <v/>
      </c>
      <c r="AO477" s="103">
        <f>IF('Customer Base'!$I$15="MANUAL",IFERROR(AM477*B477,""),IF('Customer Base'!$I$15="AUTOMATE",IFERROR(AM477*A477,""),""))</f>
        <v>0</v>
      </c>
      <c r="AV477" s="103">
        <f t="shared" si="81"/>
        <v>0</v>
      </c>
    </row>
    <row r="478" spans="1:48">
      <c r="A478" s="103">
        <f>IF(AND(OR(AND('Customer Base'!E13="Phoenix",'Customer Base'!D13="Victron"),'Customer Base'!D$7="Grid-Tied"),'Customer Base'!D$9=3,'CABLE SIZING TOOL'!J$27&gt;0,'CABLE SIZING TOOL'!J$27&lt;=32),1,IF(AND('Customer Base'!D$9=3,'CABLE SIZING TOOL'!J$27&gt;0,'CABLE SIZING TOOL'!J$27&lt;=32),2,""))</f>
        <v>2</v>
      </c>
      <c r="B478" s="270" t="s">
        <v>1</v>
      </c>
      <c r="C478" s="250" t="s">
        <v>1383</v>
      </c>
      <c r="D478" s="321">
        <v>50</v>
      </c>
      <c r="E478" s="321">
        <v>50</v>
      </c>
      <c r="F478" s="249">
        <f t="shared" ref="F478:F503" si="86">$D478/1.219</f>
        <v>41.017227235438881</v>
      </c>
      <c r="G478" s="249">
        <f>IFERROR(ROUNDUP(F478*'Customer Base'!$J$5,2),0)</f>
        <v>656.28</v>
      </c>
      <c r="H478" s="249">
        <f t="shared" si="83"/>
        <v>41.017227235438881</v>
      </c>
      <c r="I478" s="249">
        <f>IFERROR(ROUNDUP(H478*'Customer Base'!$J$5,2),0)</f>
        <v>656.28</v>
      </c>
      <c r="J478" s="103" t="str">
        <f t="shared" si="84"/>
        <v/>
      </c>
      <c r="L478" s="103" t="str">
        <f t="shared" si="85"/>
        <v/>
      </c>
      <c r="N478" s="103">
        <v>477</v>
      </c>
      <c r="O478" s="103" t="str">
        <f>IF('Customer Base'!$I$15="MANUAL",IF(B478&lt;&gt;"",C478,""),IF('Customer Base'!$I$15="AUTOMATE",IF(A478&lt;&gt;"",C478,""),""))</f>
        <v>32A 4-Pole AC Circuit Breaker</v>
      </c>
      <c r="AO478" s="103">
        <f>IF('Customer Base'!$I$15="MANUAL",IFERROR(AM478*B478,""),IF('Customer Base'!$I$15="AUTOMATE",IFERROR(AM478*A478,""),""))</f>
        <v>0</v>
      </c>
      <c r="AV478" s="103">
        <f t="shared" si="81"/>
        <v>0</v>
      </c>
    </row>
    <row r="479" spans="1:48">
      <c r="A479" s="103" t="str">
        <f>IF(AND(OR(AND('Customer Base'!E13="Phoenix",'Customer Base'!D13="Victron"),'Customer Base'!D$7="Grid-Tied"),'Customer Base'!D$9=3,'CABLE SIZING TOOL'!J$27&gt;32,'CABLE SIZING TOOL'!J$27&lt;=40),1,IF(AND('Customer Base'!D$9=3,'CABLE SIZING TOOL'!J$27&gt;32,'CABLE SIZING TOOL'!J$27&lt;=40),2,""))</f>
        <v/>
      </c>
      <c r="B479" s="270" t="s">
        <v>1</v>
      </c>
      <c r="C479" s="250" t="s">
        <v>1384</v>
      </c>
      <c r="D479" s="321">
        <v>50</v>
      </c>
      <c r="E479" s="321">
        <v>50</v>
      </c>
      <c r="F479" s="249">
        <f t="shared" si="86"/>
        <v>41.017227235438881</v>
      </c>
      <c r="G479" s="249">
        <f>IFERROR(ROUNDUP(F479*'Customer Base'!$J$5,2),0)</f>
        <v>656.28</v>
      </c>
      <c r="H479" s="249">
        <f t="shared" ref="H479:H503" si="87">$E479/1.219</f>
        <v>41.017227235438881</v>
      </c>
      <c r="I479" s="249">
        <f>IFERROR(ROUNDUP(H479*'Customer Base'!$J$5,2),0)</f>
        <v>656.28</v>
      </c>
      <c r="J479" s="103" t="str">
        <f t="shared" si="84"/>
        <v/>
      </c>
      <c r="L479" s="103" t="str">
        <f t="shared" si="85"/>
        <v/>
      </c>
      <c r="N479" s="103">
        <v>478</v>
      </c>
      <c r="O479" s="103" t="str">
        <f>IF('Customer Base'!$I$15="MANUAL",IF(B479&lt;&gt;"",C479,""),IF('Customer Base'!$I$15="AUTOMATE",IF(A479&lt;&gt;"",C479,""),""))</f>
        <v/>
      </c>
      <c r="AO479" s="103" t="str">
        <f>IF('Customer Base'!$I$15="MANUAL",IFERROR(AM479*B479,""),IF('Customer Base'!$I$15="AUTOMATE",IFERROR(AM479*A479,""),""))</f>
        <v/>
      </c>
      <c r="AV479" s="103">
        <f t="shared" si="81"/>
        <v>0</v>
      </c>
    </row>
    <row r="480" spans="1:48">
      <c r="A480" s="103" t="str">
        <f>IF(AND(OR(AND('Customer Base'!E13="Phoenix",'Customer Base'!D13="Victron"),'Customer Base'!D$7="Grid-Tied"),'Customer Base'!D$9=3,'CABLE SIZING TOOL'!J$27&gt;40,'CABLE SIZING TOOL'!J$27&lt;=50),1,IF(AND('Customer Base'!D$9=3,'CABLE SIZING TOOL'!J$27&gt;40,'CABLE SIZING TOOL'!J$27&lt;=50),2,""))</f>
        <v/>
      </c>
      <c r="B480" s="270" t="s">
        <v>1</v>
      </c>
      <c r="C480" s="250" t="s">
        <v>2599</v>
      </c>
      <c r="D480" s="321">
        <v>50</v>
      </c>
      <c r="E480" s="321">
        <v>50</v>
      </c>
      <c r="F480" s="249">
        <f t="shared" si="86"/>
        <v>41.017227235438881</v>
      </c>
      <c r="G480" s="249">
        <f>IFERROR(ROUNDUP(F480*'Customer Base'!$J$5,2),0)</f>
        <v>656.28</v>
      </c>
      <c r="H480" s="249">
        <f t="shared" si="87"/>
        <v>41.017227235438881</v>
      </c>
      <c r="I480" s="249">
        <f>IFERROR(ROUNDUP(H480*'Customer Base'!$J$5,2),0)</f>
        <v>656.28</v>
      </c>
      <c r="J480" s="103" t="str">
        <f t="shared" si="84"/>
        <v/>
      </c>
      <c r="L480" s="103" t="str">
        <f t="shared" si="85"/>
        <v/>
      </c>
      <c r="N480" s="103">
        <v>479</v>
      </c>
      <c r="O480" s="103" t="str">
        <f>IF('Customer Base'!$I$15="MANUAL",IF(B480&lt;&gt;"",C480,""),IF('Customer Base'!$I$15="AUTOMATE",IF(A480&lt;&gt;"",C480,""),""))</f>
        <v/>
      </c>
      <c r="AO480" s="103" t="str">
        <f>IF('Customer Base'!$I$15="MANUAL",IFERROR(AM480*B480,""),IF('Customer Base'!$I$15="AUTOMATE",IFERROR(AM480*A480,""),""))</f>
        <v/>
      </c>
      <c r="AV480" s="103">
        <f t="shared" si="81"/>
        <v>0</v>
      </c>
    </row>
    <row r="481" spans="1:48">
      <c r="A481" s="103" t="str">
        <f>IF(AND(OR(AND('Customer Base'!E13="Phoenix",'Customer Base'!D13="Victron"),'Customer Base'!D$7="Grid-Tied"),'Customer Base'!D$9=3,'CABLE SIZING TOOL'!J$27&gt;50,'CABLE SIZING TOOL'!J$27&lt;=63),1,IF(AND('Customer Base'!D$9=3,'CABLE SIZING TOOL'!J$27&gt;50,'CABLE SIZING TOOL'!J$27&lt;=63),2,""))</f>
        <v/>
      </c>
      <c r="B481" s="270" t="s">
        <v>1</v>
      </c>
      <c r="C481" s="250" t="s">
        <v>1385</v>
      </c>
      <c r="D481" s="321">
        <v>50</v>
      </c>
      <c r="E481" s="321">
        <v>50</v>
      </c>
      <c r="F481" s="249">
        <f t="shared" si="86"/>
        <v>41.017227235438881</v>
      </c>
      <c r="G481" s="249">
        <f>IFERROR(ROUNDUP(F481*'Customer Base'!$J$5,2),0)</f>
        <v>656.28</v>
      </c>
      <c r="H481" s="249">
        <f t="shared" si="87"/>
        <v>41.017227235438881</v>
      </c>
      <c r="I481" s="249">
        <f>IFERROR(ROUNDUP(H481*'Customer Base'!$J$5,2),0)</f>
        <v>656.28</v>
      </c>
      <c r="J481" s="103" t="str">
        <f t="shared" si="84"/>
        <v/>
      </c>
      <c r="L481" s="103" t="str">
        <f t="shared" si="85"/>
        <v/>
      </c>
      <c r="N481" s="103">
        <v>480</v>
      </c>
      <c r="O481" s="103" t="str">
        <f>IF('Customer Base'!$I$15="MANUAL",IF(B481&lt;&gt;"",C481,""),IF('Customer Base'!$I$15="AUTOMATE",IF(A481&lt;&gt;"",C481,""),""))</f>
        <v/>
      </c>
      <c r="AO481" s="103" t="str">
        <f>IF('Customer Base'!$I$15="MANUAL",IFERROR(AM481*B481,""),IF('Customer Base'!$I$15="AUTOMATE",IFERROR(AM481*A481,""),""))</f>
        <v/>
      </c>
      <c r="AV481" s="103">
        <f t="shared" si="81"/>
        <v>0</v>
      </c>
    </row>
    <row r="482" spans="1:48">
      <c r="A482" s="103" t="str">
        <f>IF(AND(OR(AND('Customer Base'!E13="Phoenix",'Customer Base'!D13="Victron"),'Customer Base'!D$7="Grid-Tied"),'Customer Base'!D$9=3,'CABLE SIZING TOOL'!J$27&gt;63,'CABLE SIZING TOOL'!J$27&lt;=80),1,IF(AND('Customer Base'!D$9=3,'CABLE SIZING TOOL'!J$27&gt;63,'CABLE SIZING TOOL'!J$27&lt;=80),2,""))</f>
        <v/>
      </c>
      <c r="B482" s="270" t="s">
        <v>1</v>
      </c>
      <c r="C482" s="250" t="s">
        <v>1802</v>
      </c>
      <c r="D482" s="321">
        <v>50</v>
      </c>
      <c r="E482" s="321">
        <v>50</v>
      </c>
      <c r="F482" s="249">
        <f t="shared" si="86"/>
        <v>41.017227235438881</v>
      </c>
      <c r="G482" s="249">
        <f>IFERROR(ROUNDUP(F482*'Customer Base'!$J$5,2),0)</f>
        <v>656.28</v>
      </c>
      <c r="H482" s="249">
        <f t="shared" si="87"/>
        <v>41.017227235438881</v>
      </c>
      <c r="I482" s="249">
        <f>IFERROR(ROUNDUP(H482*'Customer Base'!$J$5,2),0)</f>
        <v>656.28</v>
      </c>
      <c r="J482" s="103" t="str">
        <f t="shared" si="84"/>
        <v/>
      </c>
      <c r="L482" s="103" t="str">
        <f t="shared" si="85"/>
        <v/>
      </c>
      <c r="N482" s="103">
        <v>481</v>
      </c>
      <c r="O482" s="103" t="str">
        <f>IF('Customer Base'!$I$15="MANUAL",IF(B482&lt;&gt;"",C482,""),IF('Customer Base'!$I$15="AUTOMATE",IF(A482&lt;&gt;"",C482,""),""))</f>
        <v/>
      </c>
      <c r="AO482" s="103" t="str">
        <f>IF('Customer Base'!$I$15="MANUAL",IFERROR(AM482*B482,""),IF('Customer Base'!$I$15="AUTOMATE",IFERROR(AM482*A482,""),""))</f>
        <v/>
      </c>
      <c r="AV482" s="103">
        <f t="shared" si="81"/>
        <v>0</v>
      </c>
    </row>
    <row r="483" spans="1:48">
      <c r="A483" s="103" t="str">
        <f>IF(AND(OR(AND('Customer Base'!E13="Phoenix",'Customer Base'!D13="Victron"),'Customer Base'!D$7="Grid-Tied"),'Customer Base'!D$9=3,'CABLE SIZING TOOL'!J$27&gt;80,'CABLE SIZING TOOL'!J$27&lt;=100),1,IF(AND('Customer Base'!D$9=3,'CABLE SIZING TOOL'!J$27&gt;80,'CABLE SIZING TOOL'!J$27&lt;=100),2,""))</f>
        <v/>
      </c>
      <c r="B483" s="270">
        <v>2</v>
      </c>
      <c r="C483" s="250" t="s">
        <v>1386</v>
      </c>
      <c r="D483" s="321">
        <v>50</v>
      </c>
      <c r="E483" s="321">
        <v>50</v>
      </c>
      <c r="F483" s="249">
        <f t="shared" si="86"/>
        <v>41.017227235438881</v>
      </c>
      <c r="G483" s="249">
        <f>IFERROR(ROUNDUP(F483*'Customer Base'!$J$5,2),0)</f>
        <v>656.28</v>
      </c>
      <c r="H483" s="249">
        <f t="shared" si="87"/>
        <v>41.017227235438881</v>
      </c>
      <c r="I483" s="249">
        <f>IFERROR(ROUNDUP(H483*'Customer Base'!$J$5,2),0)</f>
        <v>656.28</v>
      </c>
      <c r="J483" s="103" t="str">
        <f t="shared" si="84"/>
        <v/>
      </c>
      <c r="L483" s="103" t="str">
        <f t="shared" si="85"/>
        <v/>
      </c>
      <c r="N483" s="103">
        <v>482</v>
      </c>
      <c r="O483" s="103" t="str">
        <f>IF('Customer Base'!$I$15="MANUAL",IF(B483&lt;&gt;"",C483,""),IF('Customer Base'!$I$15="AUTOMATE",IF(A483&lt;&gt;"",C483,""),""))</f>
        <v/>
      </c>
      <c r="AO483" s="103" t="str">
        <f>IF('Customer Base'!$I$15="MANUAL",IFERROR(AM483*B483,""),IF('Customer Base'!$I$15="AUTOMATE",IFERROR(AM483*A483,""),""))</f>
        <v/>
      </c>
      <c r="AV483" s="103">
        <f t="shared" si="81"/>
        <v>0</v>
      </c>
    </row>
    <row r="484" spans="1:48">
      <c r="A484" s="103" t="str">
        <f>IF(AND(OR(AND('Customer Base'!E13="Phoenix",'Customer Base'!D13="Victron"),'Customer Base'!D$7="Grid-Tied"),'Customer Base'!D$9=3,'CABLE SIZING TOOL'!J$27&gt;100,'CABLE SIZING TOOL'!J$27&lt;=125),1,IF(AND('Customer Base'!D$9=3,'CABLE SIZING TOOL'!J$27&gt;100,'CABLE SIZING TOOL'!J$27&lt;=125),2,""))</f>
        <v/>
      </c>
      <c r="B484" s="270" t="s">
        <v>1</v>
      </c>
      <c r="C484" s="250" t="s">
        <v>2612</v>
      </c>
      <c r="D484" s="321">
        <v>50</v>
      </c>
      <c r="E484" s="321">
        <v>50</v>
      </c>
      <c r="F484" s="249">
        <f t="shared" si="86"/>
        <v>41.017227235438881</v>
      </c>
      <c r="G484" s="249">
        <f>IFERROR(ROUNDUP(F484*'Customer Base'!$J$5,2),0)</f>
        <v>656.28</v>
      </c>
      <c r="H484" s="249">
        <f t="shared" si="87"/>
        <v>41.017227235438881</v>
      </c>
      <c r="I484" s="249">
        <f>IFERROR(ROUNDUP(H484*'Customer Base'!$J$5,2),0)</f>
        <v>656.28</v>
      </c>
      <c r="J484" s="103" t="str">
        <f t="shared" si="84"/>
        <v/>
      </c>
      <c r="L484" s="103" t="str">
        <f t="shared" si="85"/>
        <v/>
      </c>
      <c r="N484" s="103">
        <v>483</v>
      </c>
      <c r="O484" s="103" t="str">
        <f>IF('Customer Base'!$I$15="MANUAL",IF(B484&lt;&gt;"",C484,""),IF('Customer Base'!$I$15="AUTOMATE",IF(A484&lt;&gt;"",C484,""),""))</f>
        <v/>
      </c>
      <c r="AO484" s="103" t="str">
        <f>IF('Customer Base'!$I$15="MANUAL",IFERROR(AM484*B484,""),IF('Customer Base'!$I$15="AUTOMATE",IFERROR(AM484*A484,""),""))</f>
        <v/>
      </c>
      <c r="AV484" s="103">
        <f t="shared" si="81"/>
        <v>0</v>
      </c>
    </row>
    <row r="485" spans="1:48">
      <c r="A485" s="103" t="str">
        <f>IF(AND(OR(AND('Customer Base'!E13="Phoenix",'Customer Base'!D13="Victron"),'Customer Base'!D$7="Grid-Tied"),'Customer Base'!D$9=3,'CABLE SIZING TOOL'!J$27&gt;125,'CABLE SIZING TOOL'!J$27&lt;=160),1,IF(AND('Customer Base'!D$9=3,'CABLE SIZING TOOL'!J$27&gt;125,'CABLE SIZING TOOL'!J$27&lt;=160),2,""))</f>
        <v/>
      </c>
      <c r="B485" s="270" t="s">
        <v>1</v>
      </c>
      <c r="C485" s="250" t="s">
        <v>1495</v>
      </c>
      <c r="D485" s="321">
        <v>70</v>
      </c>
      <c r="E485" s="321">
        <v>70</v>
      </c>
      <c r="F485" s="249">
        <f t="shared" si="86"/>
        <v>57.424118129614435</v>
      </c>
      <c r="G485" s="249">
        <f>IFERROR(ROUNDUP(F485*'Customer Base'!$J$5,2),0)</f>
        <v>918.79</v>
      </c>
      <c r="H485" s="249">
        <f t="shared" si="87"/>
        <v>57.424118129614435</v>
      </c>
      <c r="I485" s="249">
        <f>IFERROR(ROUNDUP(H485*'Customer Base'!$J$5,2),0)</f>
        <v>918.79</v>
      </c>
      <c r="J485" s="103" t="str">
        <f t="shared" si="84"/>
        <v/>
      </c>
      <c r="L485" s="103" t="str">
        <f t="shared" si="85"/>
        <v/>
      </c>
      <c r="N485" s="103">
        <v>484</v>
      </c>
      <c r="O485" s="103" t="str">
        <f>IF('Customer Base'!$I$15="MANUAL",IF(B485&lt;&gt;"",C485,""),IF('Customer Base'!$I$15="AUTOMATE",IF(A485&lt;&gt;"",C485,""),""))</f>
        <v/>
      </c>
      <c r="AO485" s="103" t="str">
        <f>IF('Customer Base'!$I$15="MANUAL",IFERROR(AM485*B485,""),IF('Customer Base'!$I$15="AUTOMATE",IFERROR(AM485*A485,""),""))</f>
        <v/>
      </c>
    </row>
    <row r="486" spans="1:48">
      <c r="C486" s="250" t="s">
        <v>1387</v>
      </c>
      <c r="D486" s="321">
        <v>70</v>
      </c>
      <c r="E486" s="321">
        <v>70</v>
      </c>
      <c r="F486" s="249">
        <f t="shared" si="86"/>
        <v>57.424118129614435</v>
      </c>
      <c r="G486" s="249">
        <f>IFERROR(ROUNDUP(F486*'Customer Base'!$J$5,2),0)</f>
        <v>918.79</v>
      </c>
      <c r="H486" s="249">
        <f t="shared" si="87"/>
        <v>57.424118129614435</v>
      </c>
      <c r="I486" s="249">
        <f>IFERROR(ROUNDUP(H486*'Customer Base'!$J$5,2),0)</f>
        <v>918.79</v>
      </c>
      <c r="J486" s="103" t="str">
        <f t="shared" si="84"/>
        <v/>
      </c>
      <c r="L486" s="103" t="str">
        <f t="shared" si="85"/>
        <v/>
      </c>
      <c r="N486" s="103">
        <v>485</v>
      </c>
      <c r="O486" s="103" t="str">
        <f>IF('Customer Base'!$I$15="MANUAL",IF(B486&lt;&gt;"",C486,""),IF('Customer Base'!$I$15="AUTOMATE",IF(A486&lt;&gt;"",C486,""),""))</f>
        <v/>
      </c>
      <c r="AO486" s="103">
        <f>IF('Customer Base'!$I$15="MANUAL",IFERROR(AM486*B486,""),IF('Customer Base'!$I$15="AUTOMATE",IFERROR(AM486*A486,""),""))</f>
        <v>0</v>
      </c>
    </row>
    <row r="487" spans="1:48">
      <c r="C487" s="250"/>
      <c r="D487" s="321"/>
      <c r="E487" s="321"/>
      <c r="F487" s="249">
        <f t="shared" si="86"/>
        <v>0</v>
      </c>
      <c r="G487" s="249">
        <f>IFERROR(ROUNDUP(F487*'Customer Base'!$J$5,2),0)</f>
        <v>0</v>
      </c>
      <c r="H487" s="249">
        <f t="shared" si="87"/>
        <v>0</v>
      </c>
      <c r="I487" s="249">
        <f>IFERROR(ROUNDUP(H487*'Customer Base'!$J$5,2),0)</f>
        <v>0</v>
      </c>
      <c r="J487" s="103" t="str">
        <f t="shared" si="84"/>
        <v/>
      </c>
      <c r="L487" s="103" t="str">
        <f t="shared" si="85"/>
        <v/>
      </c>
      <c r="N487" s="103">
        <v>486</v>
      </c>
      <c r="O487" s="103" t="str">
        <f>IF('Customer Base'!$I$15="MANUAL",IF(B487&lt;&gt;"",C487,""),IF('Customer Base'!$I$15="AUTOMATE",IF(A487&lt;&gt;"",C487,""),""))</f>
        <v/>
      </c>
      <c r="AO487" s="103">
        <f>IF('Customer Base'!$I$15="MANUAL",IFERROR(AM487*B487,""),IF('Customer Base'!$I$15="AUTOMATE",IFERROR(AM487*A487,""),""))</f>
        <v>0</v>
      </c>
      <c r="AV487" s="103">
        <f t="shared" si="81"/>
        <v>0</v>
      </c>
    </row>
    <row r="488" spans="1:48">
      <c r="C488" s="250" t="s">
        <v>1310</v>
      </c>
      <c r="D488" s="321">
        <v>107.15</v>
      </c>
      <c r="E488" s="321">
        <v>107.15</v>
      </c>
      <c r="F488" s="249">
        <f t="shared" si="86"/>
        <v>87.899917965545526</v>
      </c>
      <c r="G488" s="249">
        <f>IFERROR(ROUNDUP(F488*'Customer Base'!$J$5,2),0)</f>
        <v>1406.4</v>
      </c>
      <c r="H488" s="249">
        <f t="shared" si="87"/>
        <v>87.899917965545526</v>
      </c>
      <c r="I488" s="249">
        <f>IFERROR(ROUNDUP(H488*'Customer Base'!$J$5,2),0)</f>
        <v>1406.4</v>
      </c>
      <c r="J488" s="103" t="str">
        <f t="shared" si="84"/>
        <v/>
      </c>
      <c r="L488" s="103" t="str">
        <f t="shared" si="85"/>
        <v/>
      </c>
      <c r="N488" s="103">
        <v>487</v>
      </c>
      <c r="O488" s="103" t="str">
        <f>IF('Customer Base'!$I$15="MANUAL",IF(B488&lt;&gt;"",C488,""),IF('Customer Base'!$I$15="AUTOMATE",IF(A488&lt;&gt;"",C488,""),""))</f>
        <v/>
      </c>
      <c r="AO488" s="103">
        <f>IF('Customer Base'!$I$15="MANUAL",IFERROR(AM488*B488,""),IF('Customer Base'!$I$15="AUTOMATE",IFERROR(AM488*A488,""),""))</f>
        <v>0</v>
      </c>
      <c r="AV488" s="103">
        <f t="shared" si="81"/>
        <v>0</v>
      </c>
    </row>
    <row r="489" spans="1:48">
      <c r="A489" s="103" t="str">
        <f>IF(AND(OR(AND('Customer Base'!E13="Phoenix",'Customer Base'!D13="Victron"),'Customer Base'!D$7="Grid-Tied"),'Customer Base'!D$9=3,'CABLE SIZING TOOL'!J$27&gt;160,'CABLE SIZING TOOL'!J$27&lt;=250),1,IF(AND('Customer Base'!D$9=3,'CABLE SIZING TOOL'!J$27&gt;160,'CABLE SIZING TOOL'!J$27&lt;=250),2,""))</f>
        <v/>
      </c>
      <c r="B489" s="270" t="s">
        <v>1</v>
      </c>
      <c r="C489" s="250" t="s">
        <v>1496</v>
      </c>
      <c r="D489" s="321">
        <v>107.15</v>
      </c>
      <c r="E489" s="321">
        <v>107.15</v>
      </c>
      <c r="F489" s="249">
        <f t="shared" si="86"/>
        <v>87.899917965545526</v>
      </c>
      <c r="G489" s="249">
        <f>IFERROR(ROUNDUP(F489*'Customer Base'!$J$5,2),0)</f>
        <v>1406.4</v>
      </c>
      <c r="H489" s="249">
        <f t="shared" si="87"/>
        <v>87.899917965545526</v>
      </c>
      <c r="I489" s="249">
        <f>IFERROR(ROUNDUP(H489*'Customer Base'!$J$5,2),0)</f>
        <v>1406.4</v>
      </c>
      <c r="J489" s="103" t="str">
        <f t="shared" si="84"/>
        <v/>
      </c>
      <c r="L489" s="103" t="str">
        <f t="shared" si="85"/>
        <v/>
      </c>
      <c r="N489" s="103">
        <v>488</v>
      </c>
      <c r="O489" s="103" t="str">
        <f>IF('Customer Base'!$I$15="MANUAL",IF(B489&lt;&gt;"",C489,""),IF('Customer Base'!$I$15="AUTOMATE",IF(A489&lt;&gt;"",C489,""),""))</f>
        <v/>
      </c>
      <c r="AO489" s="103" t="str">
        <f>IF('Customer Base'!$I$15="MANUAL",IFERROR(AM489*B489,""),IF('Customer Base'!$I$15="AUTOMATE",IFERROR(AM489*A489,""),""))</f>
        <v/>
      </c>
      <c r="AV489" s="103">
        <f t="shared" si="81"/>
        <v>0</v>
      </c>
    </row>
    <row r="490" spans="1:48">
      <c r="A490" s="103" t="str">
        <f>IF(AND(OR(AND('Customer Base'!E13="Phoenix",'Customer Base'!D13="Victron"),'Customer Base'!D$7="Grid-Tied"),'Customer Base'!D$9=3,'CABLE SIZING TOOL'!J$27&gt;250,'CABLE SIZING TOOL'!J$27&lt;=320),1,IF(AND('Customer Base'!D$9=3,'CABLE SIZING TOOL'!J$27&gt;250,'CABLE SIZING TOOL'!J$27&lt;=320),2,""))</f>
        <v/>
      </c>
      <c r="B490" s="270" t="s">
        <v>1</v>
      </c>
      <c r="C490" s="250" t="s">
        <v>2478</v>
      </c>
      <c r="D490" s="321">
        <v>107.15</v>
      </c>
      <c r="E490" s="321">
        <v>107.15</v>
      </c>
      <c r="F490" s="249">
        <f t="shared" si="86"/>
        <v>87.899917965545526</v>
      </c>
      <c r="G490" s="249">
        <f>IFERROR(ROUNDUP(F490*'Customer Base'!$J$5,2),0)</f>
        <v>1406.4</v>
      </c>
      <c r="H490" s="249">
        <f t="shared" si="87"/>
        <v>87.899917965545526</v>
      </c>
      <c r="I490" s="249">
        <f>IFERROR(ROUNDUP(H490*'Customer Base'!$J$5,2),0)</f>
        <v>1406.4</v>
      </c>
      <c r="J490" s="103" t="str">
        <f t="shared" si="84"/>
        <v/>
      </c>
      <c r="L490" s="103" t="str">
        <f t="shared" si="85"/>
        <v/>
      </c>
      <c r="N490" s="103">
        <v>489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TOOL'!J$27&gt;320,'CABLE SIZING TOOL'!J$27&lt;=400),1,IF(AND('Customer Base'!D$9=3,'CABLE SIZING TOOL'!J$27&gt;320,'CABLE SIZING TOOL'!J$27&lt;=400),2,""))</f>
        <v/>
      </c>
      <c r="B491" s="270" t="s">
        <v>1</v>
      </c>
      <c r="C491" s="250" t="s">
        <v>2479</v>
      </c>
      <c r="D491" s="321">
        <v>107.15</v>
      </c>
      <c r="E491" s="321">
        <v>107.15</v>
      </c>
      <c r="F491" s="249">
        <f t="shared" si="86"/>
        <v>87.899917965545526</v>
      </c>
      <c r="G491" s="249">
        <f>IFERROR(ROUNDUP(F491*'Customer Base'!$J$5,2),0)</f>
        <v>1406.4</v>
      </c>
      <c r="H491" s="249">
        <f t="shared" si="87"/>
        <v>87.899917965545526</v>
      </c>
      <c r="I491" s="249">
        <f>IFERROR(ROUNDUP(H491*'Customer Base'!$J$5,2),0)</f>
        <v>1406.4</v>
      </c>
      <c r="J491" s="103" t="str">
        <f t="shared" si="84"/>
        <v/>
      </c>
      <c r="L491" s="103" t="str">
        <f t="shared" si="85"/>
        <v/>
      </c>
      <c r="N491" s="103">
        <v>490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TOOL'!J$27&gt;400,'CABLE SIZING TOOL'!J$27&lt;=500),1,IF(AND('Customer Base'!D$9=3,'CABLE SIZING TOOL'!J$27&gt;400,'CABLE SIZING TOOL'!J$27&lt;=500),2,""))</f>
        <v/>
      </c>
      <c r="B492" s="270" t="s">
        <v>1</v>
      </c>
      <c r="C492" s="250" t="s">
        <v>1604</v>
      </c>
      <c r="D492" s="321">
        <v>107.15</v>
      </c>
      <c r="E492" s="321">
        <v>107.15</v>
      </c>
      <c r="F492" s="249">
        <f t="shared" si="86"/>
        <v>87.899917965545526</v>
      </c>
      <c r="G492" s="249">
        <f>IFERROR(ROUNDUP(F492*'Customer Base'!$J$5,2),0)</f>
        <v>1406.4</v>
      </c>
      <c r="H492" s="249">
        <f t="shared" si="87"/>
        <v>87.899917965545526</v>
      </c>
      <c r="I492" s="249">
        <f>IFERROR(ROUNDUP(H492*'Customer Base'!$J$5,2),0)</f>
        <v>1406.4</v>
      </c>
      <c r="J492" s="103" t="str">
        <f t="shared" si="84"/>
        <v/>
      </c>
      <c r="L492" s="103" t="str">
        <f t="shared" si="85"/>
        <v/>
      </c>
      <c r="N492" s="103">
        <v>491</v>
      </c>
      <c r="O492" s="103" t="str">
        <f>IF('Customer Base'!$I$15="MANUAL",IF(B492&lt;&gt;"",C492,""),IF('Customer Base'!$I$15="AUTOMATE",IF(A492&lt;&gt;"",C492,""),""))</f>
        <v/>
      </c>
      <c r="AO492" s="103" t="str">
        <f>IF('Customer Base'!$I$15="MANUAL",IFERROR(AM492*B492,""),IF('Customer Base'!$I$15="AUTOMATE",IFERROR(AM492*A492,""),""))</f>
        <v/>
      </c>
    </row>
    <row r="493" spans="1:48">
      <c r="A493" s="103" t="str">
        <f>IF(AND(OR(AND('Customer Base'!E13="Phoenix",'Customer Base'!D13="Victron"),'Customer Base'!D$7="Grid-Tied"),'Customer Base'!D$9=3,'CABLE SIZING TOOL'!J$27&gt;500,'CABLE SIZING TOOL'!J$27&lt;=800),1,IF(AND('Customer Base'!D$9=3,'CABLE SIZING TOOL'!J$27&gt;500,'CABLE SIZING TOOL'!J$27&lt;=800),2,""))</f>
        <v/>
      </c>
      <c r="B493" s="270" t="s">
        <v>1</v>
      </c>
      <c r="C493" s="250" t="s">
        <v>2639</v>
      </c>
      <c r="D493" s="321">
        <v>107.15</v>
      </c>
      <c r="E493" s="321">
        <v>107.15</v>
      </c>
      <c r="F493" s="249">
        <f t="shared" si="86"/>
        <v>87.899917965545526</v>
      </c>
      <c r="G493" s="249">
        <f>IFERROR(ROUNDUP(F493*'Customer Base'!$J$5,2),0)</f>
        <v>1406.4</v>
      </c>
      <c r="H493" s="249">
        <f t="shared" si="87"/>
        <v>87.899917965545526</v>
      </c>
      <c r="I493" s="249">
        <f>IFERROR(ROUNDUP(H493*'Customer Base'!$J$5,2),0)</f>
        <v>1406.4</v>
      </c>
      <c r="J493" s="103" t="str">
        <f t="shared" si="84"/>
        <v/>
      </c>
      <c r="L493" s="103" t="str">
        <f t="shared" si="85"/>
        <v/>
      </c>
      <c r="N493" s="103">
        <v>492</v>
      </c>
      <c r="O493" s="103" t="str">
        <f>IF('Customer Base'!$I$15="MANUAL",IF(B493&lt;&gt;"",C493,""),IF('Customer Base'!$I$15="AUTOMATE",IF(A493&lt;&gt;"",C493,""),""))</f>
        <v/>
      </c>
      <c r="AO493" s="103" t="str">
        <f>IF('Customer Base'!$I$15="MANUAL",IFERROR(AM493*B493,""),IF('Customer Base'!$I$15="AUTOMATE",IFERROR(AM493*A493,""),""))</f>
        <v/>
      </c>
      <c r="AV493" s="103">
        <f t="shared" si="81"/>
        <v>0</v>
      </c>
    </row>
    <row r="494" spans="1:48">
      <c r="D494" s="319"/>
      <c r="E494" s="319"/>
      <c r="F494" s="224">
        <f>$D494/1.219</f>
        <v>0</v>
      </c>
      <c r="H494" s="224">
        <f>$E494/1.219</f>
        <v>0</v>
      </c>
      <c r="I494" s="224"/>
      <c r="J494" s="103" t="str">
        <f t="shared" si="84"/>
        <v/>
      </c>
      <c r="L494" s="103" t="str">
        <f t="shared" si="85"/>
        <v/>
      </c>
      <c r="N494" s="103">
        <v>493</v>
      </c>
      <c r="O494" s="103" t="str">
        <f>IF('Customer Base'!$I$15="MANUAL",IF(B494&lt;&gt;"",C494,""),IF('Customer Base'!$I$15="AUTOMATE",IF(A494&lt;&gt;"",C494,""),""))</f>
        <v/>
      </c>
      <c r="AO494" s="103">
        <f>IF('Customer Base'!$I$15="MANUAL",IFERROR(AM494*B494,""),IF('Customer Base'!$I$15="AUTOMATE",IFERROR(AM494*A494,""),""))</f>
        <v>0</v>
      </c>
      <c r="AV494" s="103">
        <f t="shared" si="81"/>
        <v>0</v>
      </c>
    </row>
    <row r="495" spans="1:48">
      <c r="A495" s="103">
        <f ca="1">IFERROR(ROUNDUP(IF(L1=0,"",L1)*1.5,0),"")</f>
        <v>21</v>
      </c>
      <c r="B495" s="270">
        <v>36</v>
      </c>
      <c r="C495" s="250" t="s">
        <v>944</v>
      </c>
      <c r="D495" s="321">
        <v>9.0299999999999994</v>
      </c>
      <c r="E495" s="321">
        <v>8.5050000000000008</v>
      </c>
      <c r="F495" s="249">
        <f>$D495/1.219</f>
        <v>7.4077112387202613</v>
      </c>
      <c r="G495" s="249">
        <f>IFERROR(ROUNDUP(F495*'Customer Base'!$J$5,2),0)</f>
        <v>118.53</v>
      </c>
      <c r="H495" s="249">
        <f>$E495/1.219</f>
        <v>6.9770303527481543</v>
      </c>
      <c r="I495" s="249">
        <f>IFERROR(ROUNDUP(H495*'Customer Base'!$J$5,2),0)</f>
        <v>111.64</v>
      </c>
      <c r="J495" s="103" t="str">
        <f t="shared" si="84"/>
        <v/>
      </c>
      <c r="L495" s="103" t="str">
        <f t="shared" si="85"/>
        <v/>
      </c>
      <c r="N495" s="103">
        <v>494</v>
      </c>
      <c r="O495" s="103" t="str">
        <f ca="1">IF('Customer Base'!$I$15="MANUAL",IF(B495&lt;&gt;"",C495,""),IF('Customer Base'!$I$15="AUTOMATE",IF(A495&lt;&gt;"",C495,""),""))</f>
        <v>Victron MC4 Solar connector pair MC4, 1x Male/1x Female</v>
      </c>
      <c r="AO495" s="103">
        <f ca="1">IF('Customer Base'!$I$15="MANUAL",IFERROR(AM495*B495,""),IF('Customer Base'!$I$15="AUTOMATE",IFERROR(AM495*A495,""),""))</f>
        <v>0</v>
      </c>
      <c r="AV495" s="103">
        <f t="shared" si="81"/>
        <v>0</v>
      </c>
    </row>
    <row r="496" spans="1:48">
      <c r="C496" s="250" t="s">
        <v>945</v>
      </c>
      <c r="D496" s="321">
        <v>26.18</v>
      </c>
      <c r="E496" s="321">
        <v>24.655999999999999</v>
      </c>
      <c r="F496" s="249">
        <f>$D496/1.219</f>
        <v>21.476620180475798</v>
      </c>
      <c r="G496" s="249">
        <f>IFERROR(ROUNDUP(F496*'Customer Base'!$J$5,2),0)</f>
        <v>343.63</v>
      </c>
      <c r="H496" s="249">
        <f>$E496/1.219</f>
        <v>20.226415094339622</v>
      </c>
      <c r="I496" s="249">
        <f>IFERROR(ROUNDUP(H496*'Customer Base'!$J$5,2),0)</f>
        <v>323.63</v>
      </c>
      <c r="J496" s="103" t="str">
        <f t="shared" si="84"/>
        <v/>
      </c>
      <c r="L496" s="103" t="str">
        <f t="shared" si="85"/>
        <v/>
      </c>
      <c r="N496" s="103">
        <v>495</v>
      </c>
      <c r="O496" s="103" t="str">
        <f>IF('Customer Base'!$I$15="MANUAL",IF(B496&lt;&gt;"",C496,""),IF('Customer Base'!$I$15="AUTOMATE",IF(A496&lt;&gt;"",C496,""),""))</f>
        <v/>
      </c>
      <c r="AO496" s="103">
        <f>IF('Customer Base'!$I$15="MANUAL",IFERROR(AM496*B496,""),IF('Customer Base'!$I$15="AUTOMATE",IFERROR(AM496*A496,""),""))</f>
        <v>0</v>
      </c>
      <c r="AV496" s="103">
        <f t="shared" si="81"/>
        <v>0</v>
      </c>
    </row>
    <row r="497" spans="1:48">
      <c r="C497" s="250" t="s">
        <v>1937</v>
      </c>
      <c r="D497" s="321">
        <v>3.1</v>
      </c>
      <c r="E497" s="321">
        <v>2.9159999999999999</v>
      </c>
      <c r="F497" s="249">
        <f t="shared" ref="F497:F498" si="88">$D497/1.219</f>
        <v>2.5430680885972108</v>
      </c>
      <c r="G497" s="249">
        <f>IFERROR(ROUNDUP(F497*'Customer Base'!$J$5,2),0)</f>
        <v>40.69</v>
      </c>
      <c r="H497" s="249">
        <f t="shared" ref="H497:H498" si="89">$E497/1.219</f>
        <v>2.3921246923707957</v>
      </c>
      <c r="I497" s="249">
        <f>IFERROR(ROUNDUP(H497*'Customer Base'!$J$5,2),0)</f>
        <v>38.28</v>
      </c>
      <c r="J497" s="103" t="str">
        <f t="shared" si="84"/>
        <v/>
      </c>
      <c r="L497" s="103" t="str">
        <f t="shared" si="85"/>
        <v/>
      </c>
      <c r="N497" s="103">
        <v>496</v>
      </c>
      <c r="O497" s="103" t="str">
        <f>IF('Customer Base'!$I$15="MANUAL",IF(B497&lt;&gt;"",C497,""),IF('Customer Base'!$I$15="AUTOMATE",IF(A497&lt;&gt;"",C497,""),""))</f>
        <v/>
      </c>
      <c r="AO497" s="103">
        <f>IF('Customer Base'!$I$15="MANUAL",IFERROR(AM497*B497,""),IF('Customer Base'!$I$15="AUTOMATE",IFERROR(AM497*A497,""),""))</f>
        <v>0</v>
      </c>
      <c r="AV497" s="103">
        <f t="shared" si="81"/>
        <v>0</v>
      </c>
    </row>
    <row r="498" spans="1:48">
      <c r="C498" s="250" t="s">
        <v>1938</v>
      </c>
      <c r="D498" s="321">
        <v>3.13</v>
      </c>
      <c r="E498" s="321">
        <v>2.948</v>
      </c>
      <c r="F498" s="249">
        <f t="shared" si="88"/>
        <v>2.5676784249384741</v>
      </c>
      <c r="G498" s="249">
        <f>IFERROR(ROUNDUP(F498*'Customer Base'!$J$5,2),0)</f>
        <v>41.089999999999996</v>
      </c>
      <c r="H498" s="249">
        <f t="shared" si="89"/>
        <v>2.4183757178014762</v>
      </c>
      <c r="I498" s="249">
        <f>IFERROR(ROUNDUP(H498*'Customer Base'!$J$5,2),0)</f>
        <v>38.699999999999996</v>
      </c>
      <c r="J498" s="103" t="str">
        <f t="shared" si="84"/>
        <v/>
      </c>
      <c r="L498" s="103" t="str">
        <f t="shared" si="85"/>
        <v/>
      </c>
      <c r="N498" s="103">
        <v>497</v>
      </c>
      <c r="O498" s="103" t="str">
        <f>IF('Customer Base'!$I$15="MANUAL",IF(B498&lt;&gt;"",C498,""),IF('Customer Base'!$I$15="AUTOMATE",IF(A498&lt;&gt;"",C498,""),""))</f>
        <v/>
      </c>
      <c r="AO498" s="103">
        <f>IF('Customer Base'!$I$15="MANUAL",IFERROR(AM498*B498,""),IF('Customer Base'!$I$15="AUTOMATE",IFERROR(AM498*A498,""),""))</f>
        <v>0</v>
      </c>
      <c r="AV498" s="103">
        <f t="shared" si="81"/>
        <v>0</v>
      </c>
    </row>
    <row r="499" spans="1:48">
      <c r="D499" s="319"/>
      <c r="E499" s="319"/>
      <c r="F499" s="224">
        <f t="shared" si="86"/>
        <v>0</v>
      </c>
      <c r="G499" s="224">
        <f>IFERROR(ROUNDUP(F499*'Customer Base'!$J$5,2),0)</f>
        <v>0</v>
      </c>
      <c r="H499" s="224">
        <f t="shared" si="87"/>
        <v>0</v>
      </c>
      <c r="I499" s="224">
        <f>IFERROR(ROUNDUP(H499*'Customer Base'!$J$5,2),0)</f>
        <v>0</v>
      </c>
      <c r="J499" s="103" t="str">
        <f t="shared" si="84"/>
        <v/>
      </c>
      <c r="L499" s="103" t="str">
        <f t="shared" si="85"/>
        <v/>
      </c>
      <c r="N499" s="103">
        <v>498</v>
      </c>
      <c r="O499" s="103" t="str">
        <f>IF('Customer Base'!$I$15="MANUAL",IF(B499&lt;&gt;"",C499,""),IF('Customer Base'!$I$15="AUTOMATE",IF(A499&lt;&gt;"",C499,""),""))</f>
        <v/>
      </c>
      <c r="AO499" s="103">
        <f>IF('Customer Base'!$I$15="MANUAL",IFERROR(AM499*B499,""),IF('Customer Base'!$I$15="AUTOMATE",IFERROR(AM499*A499,""),""))</f>
        <v>0</v>
      </c>
      <c r="AV499" s="103">
        <f t="shared" si="81"/>
        <v>0</v>
      </c>
    </row>
    <row r="500" spans="1:48">
      <c r="A500" s="103">
        <f>ROUNDUP('Customer Base'!D14/10,0)</f>
        <v>1</v>
      </c>
      <c r="B500" s="270">
        <v>2</v>
      </c>
      <c r="C500" s="343" t="s">
        <v>969</v>
      </c>
      <c r="D500" s="321">
        <v>16.949152542370001</v>
      </c>
      <c r="E500" s="321">
        <v>16.949152542370001</v>
      </c>
      <c r="F500" s="321">
        <f t="shared" si="86"/>
        <v>13.904144825570139</v>
      </c>
      <c r="G500" s="321">
        <f>IFERROR(ROUNDUP(F500*'Customer Base'!$J$5,2),0)</f>
        <v>222.47</v>
      </c>
      <c r="H500" s="321">
        <f t="shared" si="87"/>
        <v>13.904144825570139</v>
      </c>
      <c r="I500" s="321">
        <f>IFERROR(ROUNDUP(H500*'Customer Base'!$J$5,2),0)</f>
        <v>222.47</v>
      </c>
      <c r="J500" s="103" t="str">
        <f t="shared" si="84"/>
        <v/>
      </c>
      <c r="L500" s="103" t="str">
        <f t="shared" si="85"/>
        <v/>
      </c>
      <c r="N500" s="103">
        <v>499</v>
      </c>
      <c r="O500" s="103" t="str">
        <f>IF('Customer Base'!$I$15="MANUAL",IF(B500&lt;&gt;"",C500,""),IF('Customer Base'!$I$15="AUTOMATE",IF(A500&lt;&gt;"",C500,""),""))</f>
        <v>50x200mm Enclosure with Dinrail</v>
      </c>
      <c r="AO500" s="103">
        <f>IF('Customer Base'!$I$15="MANUAL",IFERROR(AM500*B500,""),IF('Customer Base'!$I$15="AUTOMATE",IFERROR(AM500*A500,""),""))</f>
        <v>0</v>
      </c>
      <c r="AV500" s="103">
        <f t="shared" si="81"/>
        <v>0</v>
      </c>
    </row>
    <row r="501" spans="1:48">
      <c r="C501" s="343" t="s">
        <v>1159</v>
      </c>
      <c r="D501" s="321">
        <v>150.77000000000001</v>
      </c>
      <c r="E501" s="321">
        <v>150.77000000000001</v>
      </c>
      <c r="F501" s="321">
        <f t="shared" si="86"/>
        <v>123.68334700574241</v>
      </c>
      <c r="G501" s="321">
        <f>IFERROR(ROUNDUP(F501*'Customer Base'!$J$5,2),0)</f>
        <v>1978.94</v>
      </c>
      <c r="H501" s="321">
        <f t="shared" si="87"/>
        <v>123.68334700574241</v>
      </c>
      <c r="I501" s="321">
        <f>IFERROR(ROUNDUP(H501*'Customer Base'!$J$5,2),0)</f>
        <v>1978.94</v>
      </c>
      <c r="J501" s="103" t="str">
        <f t="shared" si="84"/>
        <v/>
      </c>
      <c r="L501" s="103" t="str">
        <f t="shared" si="85"/>
        <v/>
      </c>
      <c r="N501" s="103">
        <v>500</v>
      </c>
      <c r="O501" s="103" t="str">
        <f>IF('Customer Base'!$I$15="MANUAL",IF(B501&lt;&gt;"",C501,""),IF('Customer Base'!$I$15="AUTOMATE",IF(A501&lt;&gt;"",C501,""),""))</f>
        <v/>
      </c>
      <c r="AO501" s="103">
        <f>IF('Customer Base'!$I$15="MANUAL",IFERROR(AM501*B501,""),IF('Customer Base'!$I$15="AUTOMATE",IFERROR(AM501*A501,""),""))</f>
        <v>0</v>
      </c>
      <c r="AV501" s="103">
        <f t="shared" si="81"/>
        <v>0</v>
      </c>
    </row>
    <row r="502" spans="1:48">
      <c r="D502" s="319"/>
      <c r="E502" s="319"/>
      <c r="F502" s="224">
        <f t="shared" si="86"/>
        <v>0</v>
      </c>
      <c r="G502" s="224">
        <f>IFERROR(ROUNDUP(F502*'Customer Base'!$J$5,2),0)</f>
        <v>0</v>
      </c>
      <c r="H502" s="224">
        <f t="shared" si="87"/>
        <v>0</v>
      </c>
      <c r="I502" s="224">
        <f>IFERROR(ROUNDUP(H502*'Customer Base'!$J$5,2),0)</f>
        <v>0</v>
      </c>
      <c r="J502" s="103" t="str">
        <f t="shared" si="84"/>
        <v/>
      </c>
      <c r="L502" s="103" t="str">
        <f t="shared" si="85"/>
        <v/>
      </c>
      <c r="N502" s="103">
        <v>501</v>
      </c>
      <c r="O502" s="103" t="str">
        <f>IF('Customer Base'!$I$15="MANUAL",IF(B502&lt;&gt;"",C502,""),IF('Customer Base'!$I$15="AUTOMATE",IF(A502&lt;&gt;"",C502,""),""))</f>
        <v/>
      </c>
      <c r="AO502" s="103">
        <f>IF('Customer Base'!$I$15="MANUAL",IFERROR(AM502*B502,""),IF('Customer Base'!$I$15="AUTOMATE",IFERROR(AM502*A502,""),""))</f>
        <v>0</v>
      </c>
      <c r="AV502" s="103">
        <f t="shared" si="81"/>
        <v>0</v>
      </c>
    </row>
    <row r="503" spans="1:48">
      <c r="A503" s="103" t="str">
        <f>IF(OR('Customer Base'!D7="Grid-Tied",'Customer Base'!D7="Mini-Grid"),1,"")</f>
        <v/>
      </c>
      <c r="B503" s="270" t="s">
        <v>1</v>
      </c>
      <c r="C503" s="250" t="s">
        <v>1849</v>
      </c>
      <c r="D503" s="321">
        <v>120</v>
      </c>
      <c r="E503" s="321">
        <v>120</v>
      </c>
      <c r="F503" s="249">
        <f t="shared" si="86"/>
        <v>98.441345365053309</v>
      </c>
      <c r="G503" s="249">
        <f>IFERROR(ROUNDUP(F503*'Customer Base'!$J$5,2),0)</f>
        <v>1575.07</v>
      </c>
      <c r="H503" s="249">
        <f t="shared" si="87"/>
        <v>98.441345365053309</v>
      </c>
      <c r="I503" s="249">
        <f>IFERROR(ROUNDUP(H503*'Customer Base'!$J$5,2),0)</f>
        <v>1575.07</v>
      </c>
      <c r="J503" s="103" t="str">
        <f t="shared" si="84"/>
        <v/>
      </c>
      <c r="L503" s="103" t="str">
        <f t="shared" si="85"/>
        <v/>
      </c>
      <c r="N503" s="103">
        <v>502</v>
      </c>
      <c r="O503" s="103" t="str">
        <f>IF('Customer Base'!$I$15="MANUAL",IF(B503&lt;&gt;"",C503,""),IF('Customer Base'!$I$15="AUTOMATE",IF(A503&lt;&gt;"",C503,""),""))</f>
        <v/>
      </c>
      <c r="AO503" s="103" t="str">
        <f>IF('Customer Base'!$I$15="MANUAL",IFERROR(AM503*B503,""),IF('Customer Base'!$I$15="AUTOMATE",IFERROR(AM503*A503,""),""))</f>
        <v/>
      </c>
      <c r="AV503" s="103">
        <f t="shared" si="81"/>
        <v>0</v>
      </c>
    </row>
    <row r="504" spans="1:48">
      <c r="D504" s="319"/>
      <c r="E504" s="319"/>
      <c r="I504" s="224"/>
      <c r="J504" s="103" t="str">
        <f t="shared" si="84"/>
        <v/>
      </c>
      <c r="L504" s="103" t="str">
        <f t="shared" si="85"/>
        <v/>
      </c>
      <c r="N504" s="103">
        <v>503</v>
      </c>
      <c r="O504" s="103" t="str">
        <f>IF('Customer Base'!$I$15="MANUAL",IF(B504&lt;&gt;"",C504,""),IF('Customer Base'!$I$15="AUTOMATE",IF(A504&lt;&gt;"",C504,""),""))</f>
        <v/>
      </c>
      <c r="AO504" s="103">
        <f>IF('Customer Base'!$I$15="MANUAL",IFERROR(AM504*B504,""),IF('Customer Base'!$I$15="AUTOMATE",IFERROR(AM504*A504,""),""))</f>
        <v>0</v>
      </c>
      <c r="AV504" s="103">
        <f t="shared" si="81"/>
        <v>0</v>
      </c>
    </row>
    <row r="505" spans="1:48">
      <c r="C505" s="232" t="s">
        <v>1890</v>
      </c>
      <c r="D505" s="320"/>
      <c r="E505" s="320"/>
      <c r="F505" s="234"/>
      <c r="G505" s="234">
        <f>IFERROR(ROUNDUP(F505*'Customer Base'!$J$5,2),0)</f>
        <v>0</v>
      </c>
      <c r="H505" s="234"/>
      <c r="I505" s="234">
        <f>IFERROR(ROUNDUP(H505*'Customer Base'!$J$5,2),0)</f>
        <v>0</v>
      </c>
      <c r="J505" s="103" t="str">
        <f t="shared" si="84"/>
        <v/>
      </c>
      <c r="L505" s="103" t="str">
        <f t="shared" si="85"/>
        <v/>
      </c>
      <c r="N505" s="103">
        <v>504</v>
      </c>
      <c r="O505" s="103" t="str">
        <f>IF('Customer Base'!$I$15="MANUAL",IF(B505&lt;&gt;"",C505,""),IF('Customer Base'!$I$15="AUTOMATE",IF(A505&lt;&gt;"",C505,""),""))</f>
        <v/>
      </c>
      <c r="AO505" s="103">
        <f>IF('Customer Base'!$I$15="MANUAL",IFERROR(AM505*B505,""),IF('Customer Base'!$I$15="AUTOMATE",IFERROR(AM505*A505,""),""))</f>
        <v>0</v>
      </c>
      <c r="AV505" s="103">
        <f t="shared" si="81"/>
        <v>0</v>
      </c>
    </row>
    <row r="506" spans="1:48">
      <c r="A506" s="103">
        <f>IF(AND('Customer Base'!D$36="Roof Mount",'Customer Base'!D$7&lt;&gt;"Backup"),MROUND((SUM(A$242:A$255)/4),0.5),"")</f>
        <v>10</v>
      </c>
      <c r="B506" s="270">
        <v>19</v>
      </c>
      <c r="C506" s="237" t="s">
        <v>1848</v>
      </c>
      <c r="D506" s="267">
        <v>86</v>
      </c>
      <c r="E506" s="267">
        <v>81</v>
      </c>
      <c r="F506" s="238">
        <f>$D506/1.219</f>
        <v>70.549630844954876</v>
      </c>
      <c r="G506" s="238">
        <f>IFERROR(ROUNDUP(F506*'Customer Base'!$J$5,2),0)</f>
        <v>1128.8</v>
      </c>
      <c r="H506" s="238">
        <f>$E506/1.219</f>
        <v>66.44790812141099</v>
      </c>
      <c r="I506" s="238">
        <f>IFERROR(ROUNDUP(H506*'Customer Base'!$J$5,2),0)</f>
        <v>1063.17</v>
      </c>
      <c r="J506" s="103" t="str">
        <f t="shared" si="84"/>
        <v/>
      </c>
      <c r="L506" s="103" t="str">
        <f t="shared" si="85"/>
        <v/>
      </c>
      <c r="N506" s="103">
        <v>505</v>
      </c>
      <c r="O506" s="103" t="str">
        <f>IF('Customer Base'!$I$15="MANUAL",IF(B506&lt;&gt;"",C506,""),IF('Customer Base'!$I$15="AUTOMATE",IF(A506&lt;&gt;"",C506,""),""))</f>
        <v>Mounting Structure for Metal/ Tile Roof (per set of 4 panels) - 4.64 meter</v>
      </c>
      <c r="AO506" s="103">
        <f>IF('Customer Base'!$I$15="MANUAL",IFERROR(AM506*B506,""),IF('Customer Base'!$I$15="AUTOMATE",IFERROR(AM506*A506,""),""))</f>
        <v>0</v>
      </c>
      <c r="AV506" s="103">
        <f t="shared" ref="AV506:AV544" si="90">IF(AU506&lt;&gt;"",AU506,AT506)</f>
        <v>0</v>
      </c>
    </row>
    <row r="507" spans="1:48">
      <c r="A507" s="103" t="str">
        <f>IF('Customer Base'!D$36="Ground Mount",ROUNDUP(SUM(A242:A255)/10,0),"")</f>
        <v/>
      </c>
      <c r="B507" s="270" t="s">
        <v>1</v>
      </c>
      <c r="C507" s="237" t="s">
        <v>2746</v>
      </c>
      <c r="D507" s="267">
        <v>473</v>
      </c>
      <c r="E507" s="267">
        <v>445.5</v>
      </c>
      <c r="F507" s="238">
        <f>$D507/1.219</f>
        <v>388.02296964725184</v>
      </c>
      <c r="G507" s="238">
        <f>IFERROR(ROUNDUP(F507*'Customer Base'!$J$5,2),0)</f>
        <v>6208.37</v>
      </c>
      <c r="H507" s="238">
        <f>$E507/1.219</f>
        <v>365.46349466776041</v>
      </c>
      <c r="I507" s="238">
        <f>IFERROR(ROUNDUP(H507*'Customer Base'!$J$5,2),0)</f>
        <v>5847.42</v>
      </c>
      <c r="J507" s="103" t="str">
        <f t="shared" si="84"/>
        <v/>
      </c>
      <c r="L507" s="103" t="str">
        <f t="shared" si="85"/>
        <v/>
      </c>
      <c r="N507" s="103">
        <v>506</v>
      </c>
      <c r="O507" s="103" t="str">
        <f>IF('Customer Base'!$I$15="MANUAL",IF(B507&lt;&gt;"",C507,""),IF('Customer Base'!$I$15="AUTOMATE",IF(A507&lt;&gt;"",C507,""),""))</f>
        <v/>
      </c>
      <c r="AO507" s="103" t="str">
        <f>IF('Customer Base'!$I$15="MANUAL",IFERROR(AM507*B507,""),IF('Customer Base'!$I$15="AUTOMATE",IFERROR(AM507*A507,""),""))</f>
        <v/>
      </c>
      <c r="AV507" s="103">
        <f t="shared" si="90"/>
        <v>0</v>
      </c>
    </row>
    <row r="508" spans="1:48">
      <c r="A508" s="103" t="str">
        <f>IF('Customer Base'!D$36="Carport",ROUNDUP('Customer Base'!J$9,0),"")</f>
        <v/>
      </c>
      <c r="B508" s="270" t="s">
        <v>1</v>
      </c>
      <c r="C508" s="237" t="s">
        <v>1704</v>
      </c>
      <c r="D508" s="267">
        <v>490.2</v>
      </c>
      <c r="E508" s="267">
        <v>461.7</v>
      </c>
      <c r="F508" s="238">
        <f t="shared" ref="F508" si="91">$D508/1.219</f>
        <v>402.13289581624281</v>
      </c>
      <c r="G508" s="238">
        <f>IFERROR(ROUNDUP(F508*'Customer Base'!$J$5,2),0)</f>
        <v>6434.13</v>
      </c>
      <c r="H508" s="238">
        <f t="shared" ref="H508" si="92">$E508/1.219</f>
        <v>378.75307629204264</v>
      </c>
      <c r="I508" s="238">
        <f>IFERROR(ROUNDUP(H508*'Customer Base'!$J$5,2),0)</f>
        <v>6060.05</v>
      </c>
      <c r="J508" s="103" t="str">
        <f t="shared" si="84"/>
        <v/>
      </c>
      <c r="L508" s="103" t="str">
        <f t="shared" si="85"/>
        <v/>
      </c>
      <c r="N508" s="103">
        <v>507</v>
      </c>
      <c r="O508" s="103" t="str">
        <f>IF('Customer Base'!$I$15="MANUAL",IF(B508&lt;&gt;"",C508,""),IF('Customer Base'!$I$15="AUTOMATE",IF(A508&lt;&gt;"",C508,""),""))</f>
        <v/>
      </c>
      <c r="AO508" s="103" t="str">
        <f>IF('Customer Base'!$I$15="MANUAL",IFERROR(AM508*B508,""),IF('Customer Base'!$I$15="AUTOMATE",IFERROR(AM508*A508,""),""))</f>
        <v/>
      </c>
      <c r="AV508" s="103">
        <f t="shared" si="90"/>
        <v>0</v>
      </c>
    </row>
    <row r="509" spans="1:48">
      <c r="D509" s="319"/>
      <c r="E509" s="319"/>
      <c r="G509" s="224">
        <f>IFERROR(ROUNDUP(F509*'Customer Base'!$J$5,2),0)</f>
        <v>0</v>
      </c>
      <c r="I509" s="224">
        <f>IFERROR(ROUNDUP(H509*'Customer Base'!$J$5,2),0)</f>
        <v>0</v>
      </c>
      <c r="J509" s="103" t="str">
        <f t="shared" si="84"/>
        <v/>
      </c>
      <c r="L509" s="103" t="str">
        <f t="shared" si="85"/>
        <v/>
      </c>
      <c r="N509" s="103">
        <v>508</v>
      </c>
      <c r="O509" s="103" t="str">
        <f>IF('Customer Base'!$I$15="MANUAL",IF(B509&lt;&gt;"",C509,""),IF('Customer Base'!$I$15="AUTOMATE",IF(A509&lt;&gt;"",C509,""),""))</f>
        <v/>
      </c>
      <c r="AO509" s="103">
        <f>IF('Customer Base'!$I$15="MANUAL",IFERROR(AM509*B509,""),IF('Customer Base'!$I$15="AUTOMATE",IFERROR(AM509*A509,""),""))</f>
        <v>0</v>
      </c>
      <c r="AV509" s="103">
        <f t="shared" si="90"/>
        <v>0</v>
      </c>
    </row>
    <row r="510" spans="1:48">
      <c r="A510" s="103" t="str">
        <f>IF('Customer Base'!D$36="Ground Mount",1,"")</f>
        <v/>
      </c>
      <c r="B510" s="270" t="s">
        <v>1</v>
      </c>
      <c r="C510" s="237" t="s">
        <v>1268</v>
      </c>
      <c r="D510" s="238">
        <f>IF(F510="",IF(G510&lt;&gt;"",ROUNDUP(G510*1.219/'Customer Base'!$J$5,1),""),ROUNDUP(F510*1.219,1))</f>
        <v>413</v>
      </c>
      <c r="E510" s="238">
        <f>IF(H510="",IF(I510&lt;&gt;"",ROUNDUP(I510*1.219/'Customer Base'!$J$5,1),""),ROUNDUP(H510*1.219,1))</f>
        <v>413</v>
      </c>
      <c r="F510" s="238">
        <f>'Customer Base'!$J$9*14</f>
        <v>338.8</v>
      </c>
      <c r="G510" s="238">
        <f>IFERROR(ROUNDUP(F510*'Customer Base'!$J$5,2),0)</f>
        <v>5420.8</v>
      </c>
      <c r="H510" s="238">
        <f>'Customer Base'!$J$9*14</f>
        <v>338.8</v>
      </c>
      <c r="I510" s="238">
        <f>IFERROR(ROUNDUP(H510*'Customer Base'!$J$5,2),0)</f>
        <v>5420.8</v>
      </c>
      <c r="J510" s="103" t="str">
        <f t="shared" si="84"/>
        <v/>
      </c>
      <c r="L510" s="103" t="str">
        <f t="shared" si="85"/>
        <v/>
      </c>
      <c r="N510" s="103">
        <v>509</v>
      </c>
      <c r="O510" s="103" t="str">
        <f>IF('Customer Base'!$I$15="MANUAL",IF(B510&lt;&gt;"",C510,""),IF('Customer Base'!$I$15="AUTOMATE",IF(A510&lt;&gt;"",C510,""),""))</f>
        <v/>
      </c>
      <c r="AO510" s="103" t="str">
        <f>IF('Customer Base'!$I$15="MANUAL",IFERROR(AM510*B510,""),IF('Customer Base'!$I$15="AUTOMATE",IFERROR(AM510*A510,""),""))</f>
        <v/>
      </c>
      <c r="AV510" s="103">
        <f t="shared" si="90"/>
        <v>0</v>
      </c>
    </row>
    <row r="511" spans="1:48">
      <c r="A511" s="103" t="str">
        <f>IF('Customer Base'!D$36="Carport",1,"")</f>
        <v/>
      </c>
      <c r="B511" s="270" t="s">
        <v>1</v>
      </c>
      <c r="C511" s="237" t="s">
        <v>1355</v>
      </c>
      <c r="D511" s="238">
        <f>IF(F511="",IF(G511&lt;&gt;"",ROUNDUP(G511*1.219/'Customer Base'!$J$5,1),""),ROUNDUP(F511*1.219,1))</f>
        <v>413</v>
      </c>
      <c r="E511" s="238">
        <f>IF(H511="",IF(I511&lt;&gt;"",ROUNDUP(I511*1.219/'Customer Base'!$J$5,1),""),ROUNDUP(H511*1.219,1))</f>
        <v>413</v>
      </c>
      <c r="F511" s="238">
        <f>'Customer Base'!$J$9*14</f>
        <v>338.8</v>
      </c>
      <c r="G511" s="238">
        <f>IFERROR(ROUNDUP(F511*'Customer Base'!$J$5,2),0)</f>
        <v>5420.8</v>
      </c>
      <c r="H511" s="238">
        <f>'Customer Base'!$J$9*14</f>
        <v>338.8</v>
      </c>
      <c r="I511" s="238">
        <f>IFERROR(ROUNDUP(H511*'Customer Base'!$J$5,2),0)</f>
        <v>5420.8</v>
      </c>
      <c r="J511" s="103" t="str">
        <f t="shared" si="84"/>
        <v/>
      </c>
      <c r="L511" s="103" t="str">
        <f t="shared" si="85"/>
        <v/>
      </c>
      <c r="N511" s="103">
        <v>510</v>
      </c>
      <c r="O511" s="103" t="str">
        <f>IF('Customer Base'!$I$15="MANUAL",IF(B511&lt;&gt;"",C511,""),IF('Customer Base'!$I$15="AUTOMATE",IF(A511&lt;&gt;"",C511,""),""))</f>
        <v/>
      </c>
      <c r="AO511" s="103" t="str">
        <f>IF('Customer Base'!$I$15="MANUAL",IFERROR(AM511*B511,""),IF('Customer Base'!$I$15="AUTOMATE",IFERROR(AM511*A511,""),""))</f>
        <v/>
      </c>
      <c r="AV511" s="103">
        <f t="shared" si="90"/>
        <v>0</v>
      </c>
    </row>
    <row r="512" spans="1:48">
      <c r="D512" s="319"/>
      <c r="E512" s="319"/>
      <c r="I512" s="224"/>
      <c r="J512" s="103" t="str">
        <f t="shared" si="84"/>
        <v/>
      </c>
      <c r="L512" s="103" t="str">
        <f t="shared" si="85"/>
        <v/>
      </c>
      <c r="N512" s="103">
        <v>511</v>
      </c>
      <c r="O512" s="103" t="str">
        <f>IF('Customer Base'!$I$15="MANUAL",IF(B512&lt;&gt;"",C512,""),IF('Customer Base'!$I$15="AUTOMATE",IF(A512&lt;&gt;"",C512,""),""))</f>
        <v/>
      </c>
      <c r="AO512" s="103">
        <f>IF('Customer Base'!$I$15="MANUAL",IFERROR(AM512*B512,""),IF('Customer Base'!$I$15="AUTOMATE",IFERROR(AM512*A512,""),""))</f>
        <v>0</v>
      </c>
      <c r="AV512" s="103">
        <f t="shared" si="90"/>
        <v>0</v>
      </c>
    </row>
    <row r="513" spans="3:48">
      <c r="C513" s="232" t="s">
        <v>1898</v>
      </c>
      <c r="D513" s="320"/>
      <c r="E513" s="320"/>
      <c r="F513" s="234"/>
      <c r="G513" s="234">
        <f>IFERROR(ROUNDUP(F513*'Customer Base'!$J$5,2),0)</f>
        <v>0</v>
      </c>
      <c r="H513" s="234"/>
      <c r="I513" s="234">
        <f>IFERROR(ROUNDUP(H513*'Customer Base'!$J$5,2),0)</f>
        <v>0</v>
      </c>
      <c r="J513" s="103" t="str">
        <f t="shared" si="84"/>
        <v/>
      </c>
      <c r="L513" s="103" t="str">
        <f t="shared" si="85"/>
        <v/>
      </c>
      <c r="N513" s="103">
        <v>512</v>
      </c>
      <c r="O513" s="103" t="str">
        <f>IF('Customer Base'!$I$15="MANUAL",IF(B513&lt;&gt;"",C513,""),IF('Customer Base'!$I$15="AUTOMATE",IF(A513&lt;&gt;"",C513,""),""))</f>
        <v/>
      </c>
      <c r="AO513" s="103">
        <f>IF('Customer Base'!$I$15="MANUAL",IFERROR(AM513*B513,""),IF('Customer Base'!$I$15="AUTOMATE",IFERROR(AM513*A513,""),""))</f>
        <v>0</v>
      </c>
      <c r="AV513" s="103">
        <f t="shared" si="90"/>
        <v>0</v>
      </c>
    </row>
    <row r="514" spans="3:48">
      <c r="C514" s="253" t="s">
        <v>1748</v>
      </c>
      <c r="D514" s="325">
        <v>309.60000000000002</v>
      </c>
      <c r="E514" s="325">
        <v>291.60000000000002</v>
      </c>
      <c r="F514" s="255">
        <f>$D514/1.219</f>
        <v>253.97867104183757</v>
      </c>
      <c r="G514" s="255">
        <f>IFERROR(ROUNDUP(F514*'Customer Base'!$J$5,2),0)</f>
        <v>4063.6600000000003</v>
      </c>
      <c r="H514" s="255">
        <f>$E514/1.219</f>
        <v>239.21246923707957</v>
      </c>
      <c r="I514" s="255">
        <f>IFERROR(ROUNDUP(H514*'Customer Base'!$J$5,2),0)</f>
        <v>3827.4</v>
      </c>
      <c r="J514" s="103" t="str">
        <f t="shared" si="84"/>
        <v/>
      </c>
      <c r="L514" s="103" t="str">
        <f t="shared" si="85"/>
        <v/>
      </c>
      <c r="N514" s="103">
        <v>513</v>
      </c>
      <c r="O514" s="103" t="str">
        <f>IF('Customer Base'!$I$15="MANUAL",IF(B514&lt;&gt;"",C514,""),IF('Customer Base'!$I$15="AUTOMATE",IF(A514&lt;&gt;"",C514,""),""))</f>
        <v/>
      </c>
      <c r="AO514" s="103">
        <f>IF('Customer Base'!$I$15="MANUAL",IFERROR(AM514*B514,""),IF('Customer Base'!$I$15="AUTOMATE",IFERROR(AM514*A514,""),""))</f>
        <v>0</v>
      </c>
      <c r="AV514" s="103">
        <f t="shared" si="90"/>
        <v>0</v>
      </c>
    </row>
    <row r="515" spans="3:48">
      <c r="C515" s="253" t="s">
        <v>1749</v>
      </c>
      <c r="D515" s="325">
        <v>361.2</v>
      </c>
      <c r="E515" s="325">
        <v>340.2</v>
      </c>
      <c r="F515" s="255">
        <f t="shared" ref="F515:F527" si="93">$D515/1.219</f>
        <v>296.30844954881047</v>
      </c>
      <c r="G515" s="255">
        <f>IFERROR(ROUNDUP(F515*'Customer Base'!$J$5,2),0)</f>
        <v>4740.9400000000005</v>
      </c>
      <c r="H515" s="255">
        <f t="shared" ref="H515:H527" si="94">$E515/1.219</f>
        <v>279.08121410992612</v>
      </c>
      <c r="I515" s="255">
        <f>IFERROR(ROUNDUP(H515*'Customer Base'!$J$5,2),0)</f>
        <v>4465.3</v>
      </c>
      <c r="J515" s="103" t="str">
        <f t="shared" si="84"/>
        <v/>
      </c>
      <c r="L515" s="103" t="str">
        <f t="shared" si="85"/>
        <v/>
      </c>
      <c r="N515" s="103">
        <v>514</v>
      </c>
      <c r="O515" s="103" t="str">
        <f>IF('Customer Base'!$I$15="MANUAL",IF(B515&lt;&gt;"",C515,""),IF('Customer Base'!$I$15="AUTOMATE",IF(A515&lt;&gt;"",C515,""),""))</f>
        <v/>
      </c>
      <c r="AO515" s="103">
        <f>IF('Customer Base'!$I$15="MANUAL",IFERROR(AM515*B515,""),IF('Customer Base'!$I$15="AUTOMATE",IFERROR(AM515*A515,""),""))</f>
        <v>0</v>
      </c>
      <c r="AV515" s="103">
        <f t="shared" si="90"/>
        <v>0</v>
      </c>
    </row>
    <row r="516" spans="3:48">
      <c r="C516" s="253" t="s">
        <v>1750</v>
      </c>
      <c r="D516" s="325">
        <v>395.6</v>
      </c>
      <c r="E516" s="325">
        <v>372.6</v>
      </c>
      <c r="F516" s="255">
        <f t="shared" si="93"/>
        <v>324.52830188679246</v>
      </c>
      <c r="G516" s="255">
        <f>IFERROR(ROUNDUP(F516*'Customer Base'!$J$5,2),0)</f>
        <v>5192.46</v>
      </c>
      <c r="H516" s="255">
        <f t="shared" si="94"/>
        <v>305.66037735849056</v>
      </c>
      <c r="I516" s="255">
        <f>IFERROR(ROUNDUP(H516*'Customer Base'!$J$5,2),0)</f>
        <v>4890.5700000000006</v>
      </c>
      <c r="J516" s="103" t="str">
        <f t="shared" si="84"/>
        <v/>
      </c>
      <c r="L516" s="103" t="str">
        <f t="shared" si="85"/>
        <v/>
      </c>
      <c r="N516" s="103">
        <v>515</v>
      </c>
      <c r="O516" s="103" t="str">
        <f>IF('Customer Base'!$I$15="MANUAL",IF(B516&lt;&gt;"",C516,""),IF('Customer Base'!$I$15="AUTOMATE",IF(A516&lt;&gt;"",C516,""),""))</f>
        <v/>
      </c>
      <c r="AO516" s="103">
        <f>IF('Customer Base'!$I$15="MANUAL",IFERROR(AM516*B516,""),IF('Customer Base'!$I$15="AUTOMATE",IFERROR(AM516*A516,""),""))</f>
        <v>0</v>
      </c>
      <c r="AV516" s="103">
        <f t="shared" si="90"/>
        <v>0</v>
      </c>
    </row>
    <row r="517" spans="3:48">
      <c r="C517" s="253" t="s">
        <v>1751</v>
      </c>
      <c r="D517" s="325">
        <v>636.4</v>
      </c>
      <c r="E517" s="325">
        <v>599.4</v>
      </c>
      <c r="F517" s="255">
        <f t="shared" si="93"/>
        <v>522.06726825266605</v>
      </c>
      <c r="G517" s="255">
        <f>IFERROR(ROUNDUP(F517*'Customer Base'!$J$5,2),0)</f>
        <v>8353.08</v>
      </c>
      <c r="H517" s="255">
        <f t="shared" si="94"/>
        <v>491.71452009844131</v>
      </c>
      <c r="I517" s="255">
        <f>IFERROR(ROUNDUP(H517*'Customer Base'!$J$5,2),0)</f>
        <v>7867.4400000000005</v>
      </c>
      <c r="J517" s="103" t="str">
        <f t="shared" si="84"/>
        <v/>
      </c>
      <c r="L517" s="103" t="str">
        <f t="shared" si="85"/>
        <v/>
      </c>
      <c r="N517" s="103">
        <v>516</v>
      </c>
      <c r="O517" s="103" t="str">
        <f>IF('Customer Base'!$I$15="MANUAL",IF(B517&lt;&gt;"",C517,""),IF('Customer Base'!$I$15="AUTOMATE",IF(A517&lt;&gt;"",C517,""),""))</f>
        <v/>
      </c>
      <c r="AO517" s="103">
        <f>IF('Customer Base'!$I$15="MANUAL",IFERROR(AM517*B517,""),IF('Customer Base'!$I$15="AUTOMATE",IFERROR(AM517*A517,""),""))</f>
        <v>0</v>
      </c>
      <c r="AV517" s="103">
        <f t="shared" si="90"/>
        <v>0</v>
      </c>
    </row>
    <row r="518" spans="3:48">
      <c r="C518" s="253" t="s">
        <v>1752</v>
      </c>
      <c r="D518" s="325">
        <v>481.6</v>
      </c>
      <c r="E518" s="325">
        <v>453.6</v>
      </c>
      <c r="F518" s="255">
        <f t="shared" si="93"/>
        <v>395.07793273174735</v>
      </c>
      <c r="G518" s="255">
        <f>IFERROR(ROUNDUP(F518*'Customer Base'!$J$5,2),0)</f>
        <v>6321.25</v>
      </c>
      <c r="H518" s="255">
        <f t="shared" si="94"/>
        <v>372.10828547990155</v>
      </c>
      <c r="I518" s="255">
        <f>IFERROR(ROUNDUP(H518*'Customer Base'!$J$5,2),0)</f>
        <v>5953.74</v>
      </c>
      <c r="J518" s="103" t="str">
        <f t="shared" si="84"/>
        <v/>
      </c>
      <c r="L518" s="103" t="str">
        <f t="shared" si="85"/>
        <v/>
      </c>
      <c r="N518" s="103">
        <v>517</v>
      </c>
      <c r="O518" s="103" t="str">
        <f>IF('Customer Base'!$I$15="MANUAL",IF(B518&lt;&gt;"",C518,""),IF('Customer Base'!$I$15="AUTOMATE",IF(A518&lt;&gt;"",C518,""),""))</f>
        <v/>
      </c>
      <c r="AO518" s="103">
        <f>IF('Customer Base'!$I$15="MANUAL",IFERROR(AM518*B518,""),IF('Customer Base'!$I$15="AUTOMATE",IFERROR(AM518*A518,""),""))</f>
        <v>0</v>
      </c>
      <c r="AV518" s="103">
        <f t="shared" si="90"/>
        <v>0</v>
      </c>
    </row>
    <row r="519" spans="3:48">
      <c r="C519" s="253" t="s">
        <v>1753</v>
      </c>
      <c r="D519" s="325">
        <v>834.2</v>
      </c>
      <c r="E519" s="325">
        <v>785.7</v>
      </c>
      <c r="F519" s="255">
        <f t="shared" si="93"/>
        <v>684.33141919606237</v>
      </c>
      <c r="G519" s="255">
        <f>IFERROR(ROUNDUP(F519*'Customer Base'!$J$5,2),0)</f>
        <v>10949.31</v>
      </c>
      <c r="H519" s="255">
        <f t="shared" si="94"/>
        <v>644.54470877768665</v>
      </c>
      <c r="I519" s="255">
        <f>IFERROR(ROUNDUP(H519*'Customer Base'!$J$5,2),0)</f>
        <v>10312.719999999999</v>
      </c>
      <c r="J519" s="103" t="str">
        <f t="shared" si="84"/>
        <v/>
      </c>
      <c r="L519" s="103" t="str">
        <f t="shared" si="85"/>
        <v/>
      </c>
      <c r="N519" s="103">
        <v>518</v>
      </c>
      <c r="O519" s="103" t="str">
        <f>IF('Customer Base'!$I$15="MANUAL",IF(B519&lt;&gt;"",C519,""),IF('Customer Base'!$I$15="AUTOMATE",IF(A519&lt;&gt;"",C519,""),""))</f>
        <v/>
      </c>
      <c r="AO519" s="103">
        <f>IF('Customer Base'!$I$15="MANUAL",IFERROR(AM519*B519,""),IF('Customer Base'!$I$15="AUTOMATE",IFERROR(AM519*A519,""),""))</f>
        <v>0</v>
      </c>
      <c r="AV519" s="103">
        <f t="shared" si="90"/>
        <v>0</v>
      </c>
    </row>
    <row r="520" spans="3:48">
      <c r="D520" s="319"/>
      <c r="E520" s="319"/>
      <c r="F520" s="224">
        <f t="shared" si="93"/>
        <v>0</v>
      </c>
      <c r="G520" s="224">
        <f>IFERROR(ROUNDUP(F520*'Customer Base'!$J$5,2),0)</f>
        <v>0</v>
      </c>
      <c r="H520" s="224">
        <f t="shared" si="94"/>
        <v>0</v>
      </c>
      <c r="I520" s="224">
        <f>IFERROR(ROUNDUP(H520*'Customer Base'!$J$5,2),0)</f>
        <v>0</v>
      </c>
      <c r="J520" s="103" t="str">
        <f t="shared" si="84"/>
        <v/>
      </c>
      <c r="L520" s="103" t="str">
        <f t="shared" si="85"/>
        <v/>
      </c>
      <c r="N520" s="103">
        <v>519</v>
      </c>
      <c r="O520" s="103" t="str">
        <f>IF('Customer Base'!$I$15="MANUAL",IF(B520&lt;&gt;"",C520,""),IF('Customer Base'!$I$15="AUTOMATE",IF(A520&lt;&gt;"",C520,""),""))</f>
        <v/>
      </c>
      <c r="AO520" s="103">
        <f>IF('Customer Base'!$I$15="MANUAL",IFERROR(AM520*B520,""),IF('Customer Base'!$I$15="AUTOMATE",IFERROR(AM520*A520,""),""))</f>
        <v>0</v>
      </c>
      <c r="AV520" s="103">
        <f t="shared" si="90"/>
        <v>0</v>
      </c>
    </row>
    <row r="521" spans="3:48">
      <c r="C521" s="253" t="s">
        <v>1754</v>
      </c>
      <c r="D521" s="344">
        <f>ROUNDUP(0.15*SUMPRODUCT(D514:D519,$B514:$B519),2)</f>
        <v>0</v>
      </c>
      <c r="E521" s="344">
        <f>ROUNDUP(0.15*SUMPRODUCT(E514:E519,$B514:$B519),2)</f>
        <v>0</v>
      </c>
      <c r="F521" s="255">
        <f t="shared" si="93"/>
        <v>0</v>
      </c>
      <c r="G521" s="255">
        <f>IFERROR(ROUNDUP(F521*'Customer Base'!$J$5,2),0)</f>
        <v>0</v>
      </c>
      <c r="H521" s="255">
        <f t="shared" si="94"/>
        <v>0</v>
      </c>
      <c r="I521" s="255">
        <f>IFERROR(ROUNDUP(H521*'Customer Base'!$J$5,2),0)</f>
        <v>0</v>
      </c>
      <c r="J521" s="103" t="str">
        <f t="shared" si="84"/>
        <v/>
      </c>
      <c r="L521" s="103" t="str">
        <f t="shared" si="85"/>
        <v/>
      </c>
      <c r="N521" s="103">
        <v>520</v>
      </c>
      <c r="O521" s="103" t="str">
        <f>IF('Customer Base'!$I$15="MANUAL",IF(B521&lt;&gt;"",C521,""),IF('Customer Base'!$I$15="AUTOMATE",IF(A521&lt;&gt;"",C521,""),""))</f>
        <v/>
      </c>
      <c r="AO521" s="103">
        <f>IF('Customer Base'!$I$15="MANUAL",IFERROR(AM521*B521,""),IF('Customer Base'!$I$15="AUTOMATE",IFERROR(AM521*A521,""),""))</f>
        <v>0</v>
      </c>
      <c r="AV521" s="103">
        <f t="shared" si="90"/>
        <v>0</v>
      </c>
    </row>
    <row r="522" spans="3:48">
      <c r="D522" s="319"/>
      <c r="E522" s="319"/>
      <c r="F522" s="224">
        <f t="shared" si="93"/>
        <v>0</v>
      </c>
      <c r="G522" s="224">
        <f>IFERROR(ROUNDUP(F522*'Customer Base'!$J$5,2),0)</f>
        <v>0</v>
      </c>
      <c r="H522" s="224">
        <f t="shared" si="94"/>
        <v>0</v>
      </c>
      <c r="I522" s="224">
        <f>IFERROR(ROUNDUP(H522*'Customer Base'!$J$5,2),0)</f>
        <v>0</v>
      </c>
      <c r="J522" s="103" t="str">
        <f t="shared" si="84"/>
        <v/>
      </c>
      <c r="L522" s="103" t="str">
        <f t="shared" si="85"/>
        <v/>
      </c>
      <c r="N522" s="103">
        <v>521</v>
      </c>
      <c r="O522" s="103" t="str">
        <f>IF('Customer Base'!$I$15="MANUAL",IF(B522&lt;&gt;"",C522,""),IF('Customer Base'!$I$15="AUTOMATE",IF(A522&lt;&gt;"",C522,""),""))</f>
        <v/>
      </c>
      <c r="AO522" s="103">
        <f>IF('Customer Base'!$I$15="MANUAL",IFERROR(AM522*B522,""),IF('Customer Base'!$I$15="AUTOMATE",IFERROR(AM522*A522,""),""))</f>
        <v>0</v>
      </c>
      <c r="AV522" s="103">
        <f t="shared" si="90"/>
        <v>0</v>
      </c>
    </row>
    <row r="523" spans="3:48" ht="17">
      <c r="C523" s="345" t="s">
        <v>1743</v>
      </c>
      <c r="D523" s="325">
        <v>344</v>
      </c>
      <c r="E523" s="325">
        <v>324</v>
      </c>
      <c r="F523" s="255">
        <f t="shared" si="93"/>
        <v>282.19852337981951</v>
      </c>
      <c r="G523" s="255">
        <f>IFERROR(ROUNDUP(F523*'Customer Base'!$J$5,2),0)</f>
        <v>4515.18</v>
      </c>
      <c r="H523" s="255">
        <f t="shared" si="94"/>
        <v>265.79163248564396</v>
      </c>
      <c r="I523" s="255">
        <f>IFERROR(ROUNDUP(H523*'Customer Base'!$J$5,2),0)</f>
        <v>4252.67</v>
      </c>
      <c r="J523" s="103" t="str">
        <f t="shared" si="84"/>
        <v/>
      </c>
      <c r="L523" s="103" t="str">
        <f t="shared" si="85"/>
        <v/>
      </c>
      <c r="N523" s="103">
        <v>522</v>
      </c>
      <c r="O523" s="103" t="str">
        <f>IF('Customer Base'!$I$15="MANUAL",IF(B523&lt;&gt;"",C523,""),IF('Customer Base'!$I$15="AUTOMATE",IF(A523&lt;&gt;"",C523,""),""))</f>
        <v/>
      </c>
      <c r="AO523" s="103">
        <f>IF('Customer Base'!$I$15="MANUAL",IFERROR(AM523*B523,""),IF('Customer Base'!$I$15="AUTOMATE",IFERROR(AM523*A523,""),""))</f>
        <v>0</v>
      </c>
      <c r="AV523" s="103">
        <f t="shared" si="90"/>
        <v>0</v>
      </c>
    </row>
    <row r="524" spans="3:48" ht="17">
      <c r="C524" s="345" t="s">
        <v>1744</v>
      </c>
      <c r="D524" s="325">
        <v>481.6</v>
      </c>
      <c r="E524" s="325">
        <v>453.6</v>
      </c>
      <c r="F524" s="255">
        <f t="shared" si="93"/>
        <v>395.07793273174735</v>
      </c>
      <c r="G524" s="255">
        <f>IFERROR(ROUNDUP(F524*'Customer Base'!$J$5,2),0)</f>
        <v>6321.25</v>
      </c>
      <c r="H524" s="255">
        <f t="shared" si="94"/>
        <v>372.10828547990155</v>
      </c>
      <c r="I524" s="255">
        <f>IFERROR(ROUNDUP(H524*'Customer Base'!$J$5,2),0)</f>
        <v>5953.74</v>
      </c>
      <c r="J524" s="103" t="str">
        <f t="shared" si="84"/>
        <v/>
      </c>
      <c r="L524" s="103" t="str">
        <f t="shared" si="85"/>
        <v/>
      </c>
      <c r="N524" s="103">
        <v>523</v>
      </c>
      <c r="O524" s="103" t="str">
        <f>IF('Customer Base'!$I$15="MANUAL",IF(B524&lt;&gt;"",C524,""),IF('Customer Base'!$I$15="AUTOMATE",IF(A524&lt;&gt;"",C524,""),""))</f>
        <v/>
      </c>
      <c r="AO524" s="103">
        <f>IF('Customer Base'!$I$15="MANUAL",IFERROR(AM524*B524,""),IF('Customer Base'!$I$15="AUTOMATE",IFERROR(AM524*A524,""),""))</f>
        <v>0</v>
      </c>
      <c r="AV524" s="103">
        <f t="shared" si="90"/>
        <v>0</v>
      </c>
    </row>
    <row r="525" spans="3:48">
      <c r="C525" s="253" t="s">
        <v>1745</v>
      </c>
      <c r="D525" s="325">
        <v>524.6</v>
      </c>
      <c r="E525" s="325">
        <v>494.1</v>
      </c>
      <c r="F525" s="255">
        <f t="shared" si="93"/>
        <v>430.35274815422474</v>
      </c>
      <c r="G525" s="255">
        <f>IFERROR(ROUNDUP(F525*'Customer Base'!$J$5,2),0)</f>
        <v>6885.6500000000005</v>
      </c>
      <c r="H525" s="255">
        <f t="shared" si="94"/>
        <v>405.33223954060702</v>
      </c>
      <c r="I525" s="255">
        <f>IFERROR(ROUNDUP(H525*'Customer Base'!$J$5,2),0)</f>
        <v>6485.3200000000006</v>
      </c>
      <c r="J525" s="103" t="str">
        <f t="shared" si="84"/>
        <v/>
      </c>
      <c r="L525" s="103" t="str">
        <f t="shared" si="85"/>
        <v/>
      </c>
      <c r="N525" s="103">
        <v>524</v>
      </c>
      <c r="O525" s="103" t="str">
        <f>IF('Customer Base'!$I$15="MANUAL",IF(B525&lt;&gt;"",C525,""),IF('Customer Base'!$I$15="AUTOMATE",IF(A525&lt;&gt;"",C525,""),""))</f>
        <v/>
      </c>
      <c r="AO525" s="103">
        <f>IF('Customer Base'!$I$15="MANUAL",IFERROR(AM525*B525,""),IF('Customer Base'!$I$15="AUTOMATE",IFERROR(AM525*A525,""),""))</f>
        <v>0</v>
      </c>
      <c r="AV525" s="103">
        <f t="shared" si="90"/>
        <v>0</v>
      </c>
    </row>
    <row r="526" spans="3:48">
      <c r="C526" s="253" t="s">
        <v>1746</v>
      </c>
      <c r="D526" s="325">
        <v>645</v>
      </c>
      <c r="E526" s="325">
        <v>607.5</v>
      </c>
      <c r="F526" s="255">
        <f t="shared" si="93"/>
        <v>529.12223133716157</v>
      </c>
      <c r="G526" s="255">
        <f>IFERROR(ROUNDUP(F526*'Customer Base'!$J$5,2),0)</f>
        <v>8465.9600000000009</v>
      </c>
      <c r="H526" s="255">
        <f t="shared" si="94"/>
        <v>498.35931091058239</v>
      </c>
      <c r="I526" s="255">
        <f>IFERROR(ROUNDUP(H526*'Customer Base'!$J$5,2),0)</f>
        <v>7973.75</v>
      </c>
      <c r="J526" s="103" t="str">
        <f t="shared" si="84"/>
        <v/>
      </c>
      <c r="L526" s="103" t="str">
        <f t="shared" si="85"/>
        <v/>
      </c>
      <c r="N526" s="103">
        <v>525</v>
      </c>
      <c r="O526" s="103" t="str">
        <f>IF('Customer Base'!$I$15="MANUAL",IF(B526&lt;&gt;"",C526,""),IF('Customer Base'!$I$15="AUTOMATE",IF(A526&lt;&gt;"",C526,""),""))</f>
        <v/>
      </c>
      <c r="AO526" s="103">
        <f>IF('Customer Base'!$I$15="MANUAL",IFERROR(AM526*B526,""),IF('Customer Base'!$I$15="AUTOMATE",IFERROR(AM526*A526,""),""))</f>
        <v>0</v>
      </c>
      <c r="AV526" s="103">
        <f t="shared" si="90"/>
        <v>0</v>
      </c>
    </row>
    <row r="527" spans="3:48" ht="17">
      <c r="C527" s="345" t="s">
        <v>1747</v>
      </c>
      <c r="D527" s="325">
        <v>722.4</v>
      </c>
      <c r="E527" s="325">
        <v>680.4</v>
      </c>
      <c r="F527" s="255">
        <f t="shared" si="93"/>
        <v>592.61689909762094</v>
      </c>
      <c r="G527" s="255">
        <f>IFERROR(ROUNDUP(F527*'Customer Base'!$J$5,2),0)</f>
        <v>9481.880000000001</v>
      </c>
      <c r="H527" s="255">
        <f t="shared" si="94"/>
        <v>558.16242821985225</v>
      </c>
      <c r="I527" s="255">
        <f>IFERROR(ROUNDUP(H527*'Customer Base'!$J$5,2),0)</f>
        <v>8930.6</v>
      </c>
      <c r="J527" s="103" t="str">
        <f t="shared" si="84"/>
        <v/>
      </c>
      <c r="L527" s="103" t="str">
        <f t="shared" si="85"/>
        <v/>
      </c>
      <c r="N527" s="103">
        <v>526</v>
      </c>
      <c r="O527" s="103" t="str">
        <f>IF('Customer Base'!$I$15="MANUAL",IF(B527&lt;&gt;"",C527,""),IF('Customer Base'!$I$15="AUTOMATE",IF(A527&lt;&gt;"",C527,""),""))</f>
        <v/>
      </c>
      <c r="AO527" s="103">
        <f>IF('Customer Base'!$I$15="MANUAL",IFERROR(AM527*B527,""),IF('Customer Base'!$I$15="AUTOMATE",IFERROR(AM527*A527,""),""))</f>
        <v>0</v>
      </c>
      <c r="AV527" s="103">
        <f t="shared" si="90"/>
        <v>0</v>
      </c>
    </row>
    <row r="528" spans="3:48">
      <c r="D528" s="319"/>
      <c r="E528" s="319"/>
      <c r="F528" s="224">
        <f>$D528/1.219</f>
        <v>0</v>
      </c>
      <c r="G528" s="224">
        <f>IFERROR(ROUNDUP(F528*'Customer Base'!$J$5,2),0)</f>
        <v>0</v>
      </c>
      <c r="H528" s="224">
        <f>$E528/1.219</f>
        <v>0</v>
      </c>
      <c r="I528" s="224"/>
      <c r="J528" s="103" t="str">
        <f t="shared" si="84"/>
        <v/>
      </c>
      <c r="L528" s="103" t="str">
        <f t="shared" si="85"/>
        <v/>
      </c>
      <c r="N528" s="103">
        <v>527</v>
      </c>
      <c r="O528" s="103" t="str">
        <f>IF('Customer Base'!$I$15="MANUAL",IF(B528&lt;&gt;"",C528,""),IF('Customer Base'!$I$15="AUTOMATE",IF(A528&lt;&gt;"",C528,""),""))</f>
        <v/>
      </c>
      <c r="AO528" s="103">
        <f>IF('Customer Base'!$I$15="MANUAL",IFERROR(AM528*B528,""),IF('Customer Base'!$I$15="AUTOMATE",IFERROR(AM528*A528,""),""))</f>
        <v>0</v>
      </c>
      <c r="AV528" s="103">
        <f t="shared" si="90"/>
        <v>0</v>
      </c>
    </row>
    <row r="529" spans="1:48">
      <c r="C529" s="232" t="s">
        <v>1889</v>
      </c>
      <c r="D529" s="320"/>
      <c r="E529" s="320"/>
      <c r="F529" s="234"/>
      <c r="G529" s="234"/>
      <c r="H529" s="234"/>
      <c r="I529" s="234"/>
      <c r="J529" s="103" t="str">
        <f t="shared" si="84"/>
        <v/>
      </c>
      <c r="L529" s="103" t="str">
        <f t="shared" si="85"/>
        <v/>
      </c>
      <c r="N529" s="103">
        <v>528</v>
      </c>
      <c r="O529" s="103" t="str">
        <f>IF('Customer Base'!$I$15="MANUAL",IF(B529&lt;&gt;"",C529,""),IF('Customer Base'!$I$15="AUTOMATE",IF(A529&lt;&gt;"",C529,""),""))</f>
        <v/>
      </c>
      <c r="AO529" s="103">
        <f>IF('Customer Base'!$I$15="MANUAL",IFERROR(AM529*B529,""),IF('Customer Base'!$I$15="AUTOMATE",IFERROR(AM529*A529,""),""))</f>
        <v>0</v>
      </c>
      <c r="AV529" s="103">
        <f t="shared" si="90"/>
        <v>0</v>
      </c>
    </row>
    <row r="530" spans="1:48">
      <c r="A530" s="103" t="str">
        <f>IF(AND('Customer Base'!$D$19="12V Lead-Acid",SUM(Items!$A$205:$A$209,Items!$A$211:$A$236)&gt;0,SUM(Items!$A$205:$A$209,Items!$A$211:$A$236)&lt;=4),1,"")</f>
        <v/>
      </c>
      <c r="B530" s="270" t="s">
        <v>1</v>
      </c>
      <c r="C530" s="265" t="s">
        <v>1316</v>
      </c>
      <c r="D530" s="332">
        <v>127.118644</v>
      </c>
      <c r="E530" s="332">
        <v>127.118644</v>
      </c>
      <c r="F530" s="266">
        <f t="shared" ref="F530:F539" si="95">$D530/1.219</f>
        <v>104.28108613617719</v>
      </c>
      <c r="G530" s="266">
        <f>IFERROR(ROUNDUP(F530*'Customer Base'!$J$5,2),0)</f>
        <v>1668.5</v>
      </c>
      <c r="H530" s="266">
        <f t="shared" ref="H530:H539" si="96">$E530/1.219</f>
        <v>104.28108613617719</v>
      </c>
      <c r="I530" s="266">
        <f>IFERROR(ROUNDUP(H530*'Customer Base'!$J$5,2),0)</f>
        <v>1668.5</v>
      </c>
      <c r="J530" s="103" t="str">
        <f t="shared" ref="J530:J560" si="97">IF(D530&lt;&gt;"",IF(D530&lt;E530,"lkdfjk",""),"")</f>
        <v/>
      </c>
      <c r="L530" s="103" t="str">
        <f t="shared" ref="L530:L593" si="98">IF(H530&gt;F530,"lkkajdfkj","")</f>
        <v/>
      </c>
      <c r="N530" s="103">
        <v>529</v>
      </c>
      <c r="O530" s="103" t="str">
        <f>IF('Customer Base'!$I$15="MANUAL",IF(B530&lt;&gt;"",C530,""),IF('Customer Base'!$I$15="AUTOMATE",IF(A530&lt;&gt;"",C530,""),""))</f>
        <v/>
      </c>
      <c r="AO530" s="103" t="str">
        <f>IF('Customer Base'!$I$15="MANUAL",IFERROR(AM530*B530,""),IF('Customer Base'!$I$15="AUTOMATE",IFERROR(AM530*A530,""),""))</f>
        <v/>
      </c>
      <c r="AV530" s="103">
        <f t="shared" si="90"/>
        <v>0</v>
      </c>
    </row>
    <row r="531" spans="1:48">
      <c r="A531" s="103" t="str">
        <f>IF(AND('Customer Base'!$D$19="12V Lead-Acid",SUM(Items!$A$205:$A$209,Items!$A$211:$A$236)&gt;4,SUM(Items!$A$205:$A$209,Items!$A$211:$A$236)&lt;=8),1,"")</f>
        <v/>
      </c>
      <c r="B531" s="270" t="s">
        <v>1</v>
      </c>
      <c r="C531" s="265" t="s">
        <v>1317</v>
      </c>
      <c r="D531" s="332">
        <v>161.01694915249999</v>
      </c>
      <c r="E531" s="332">
        <v>161.01694915249999</v>
      </c>
      <c r="F531" s="266">
        <f t="shared" si="95"/>
        <v>132.08937584290399</v>
      </c>
      <c r="G531" s="266">
        <f>IFERROR(ROUNDUP(F531*'Customer Base'!$J$5,2),0)</f>
        <v>2113.44</v>
      </c>
      <c r="H531" s="266">
        <f t="shared" si="96"/>
        <v>132.08937584290399</v>
      </c>
      <c r="I531" s="266">
        <f>IFERROR(ROUNDUP(H531*'Customer Base'!$J$5,2),0)</f>
        <v>2113.44</v>
      </c>
      <c r="J531" s="103" t="str">
        <f t="shared" si="97"/>
        <v/>
      </c>
      <c r="L531" s="103" t="str">
        <f t="shared" si="98"/>
        <v/>
      </c>
      <c r="N531" s="103">
        <v>530</v>
      </c>
      <c r="O531" s="103" t="str">
        <f>IF('Customer Base'!$I$15="MANUAL",IF(B531&lt;&gt;"",C531,""),IF('Customer Base'!$I$15="AUTOMATE",IF(A531&lt;&gt;"",C531,""),""))</f>
        <v/>
      </c>
      <c r="AO531" s="103" t="str">
        <f>IF('Customer Base'!$I$15="MANUAL",IFERROR(AM531*B531,""),IF('Customer Base'!$I$15="AUTOMATE",IFERROR(AM531*A531,""),""))</f>
        <v/>
      </c>
      <c r="AV531" s="103">
        <f t="shared" si="90"/>
        <v>0</v>
      </c>
    </row>
    <row r="532" spans="1:48">
      <c r="A532" s="103" t="str">
        <f>IF(AND('Customer Base'!$D$19="12V Lead-Acid",SUM(Items!$A$205:$A$209,Items!$A$211:$A$236)&gt;8,SUM(Items!$A$205:$A$209,Items!$A$211:$A$236)&lt;=12),1,"")</f>
        <v/>
      </c>
      <c r="B532" s="270" t="s">
        <v>1</v>
      </c>
      <c r="C532" s="265" t="s">
        <v>1318</v>
      </c>
      <c r="D532" s="332">
        <v>254.23728813549999</v>
      </c>
      <c r="E532" s="332">
        <v>254.23728813549999</v>
      </c>
      <c r="F532" s="266">
        <f t="shared" si="95"/>
        <v>208.56217238351107</v>
      </c>
      <c r="G532" s="266">
        <f>IFERROR(ROUNDUP(F532*'Customer Base'!$J$5,2),0)</f>
        <v>3337</v>
      </c>
      <c r="H532" s="266">
        <f t="shared" si="96"/>
        <v>208.56217238351107</v>
      </c>
      <c r="I532" s="266">
        <f>IFERROR(ROUNDUP(H532*'Customer Base'!$J$5,2),0)</f>
        <v>3337</v>
      </c>
      <c r="J532" s="103" t="str">
        <f t="shared" si="97"/>
        <v/>
      </c>
      <c r="L532" s="103" t="str">
        <f t="shared" si="98"/>
        <v/>
      </c>
      <c r="N532" s="103">
        <v>531</v>
      </c>
      <c r="O532" s="103" t="str">
        <f>IF('Customer Base'!$I$15="MANUAL",IF(B532&lt;&gt;"",C532,""),IF('Customer Base'!$I$15="AUTOMATE",IF(A532&lt;&gt;"",C532,""),""))</f>
        <v/>
      </c>
      <c r="AO532" s="103" t="str">
        <f>IF('Customer Base'!$I$15="MANUAL",IFERROR(AM532*B532,""),IF('Customer Base'!$I$15="AUTOMATE",IFERROR(AM532*A532,""),""))</f>
        <v/>
      </c>
      <c r="AV532" s="103">
        <f t="shared" si="90"/>
        <v>0</v>
      </c>
    </row>
    <row r="533" spans="1:48">
      <c r="A533" s="103" t="str">
        <f>IF(AND('Customer Base'!$D$19="12V Lead-Acid",SUM(Items!$A$205:$A$209,Items!$A$211:$A$236)&gt;12,SUM(Items!$A$205:$A$209,Items!$A$211:$A$236)&lt;=16),1,"")</f>
        <v/>
      </c>
      <c r="B533" s="270" t="s">
        <v>1</v>
      </c>
      <c r="C533" s="265" t="s">
        <v>1319</v>
      </c>
      <c r="D533" s="332">
        <v>305.08474576269998</v>
      </c>
      <c r="E533" s="332">
        <v>305.08474576269998</v>
      </c>
      <c r="F533" s="266">
        <f t="shared" si="95"/>
        <v>250.27460686029528</v>
      </c>
      <c r="G533" s="266">
        <f>IFERROR(ROUNDUP(F533*'Customer Base'!$J$5,2),0)</f>
        <v>4004.4</v>
      </c>
      <c r="H533" s="266">
        <f t="shared" si="96"/>
        <v>250.27460686029528</v>
      </c>
      <c r="I533" s="266">
        <f>IFERROR(ROUNDUP(H533*'Customer Base'!$J$5,2),0)</f>
        <v>4004.4</v>
      </c>
      <c r="J533" s="103" t="str">
        <f t="shared" si="97"/>
        <v/>
      </c>
      <c r="L533" s="103" t="str">
        <f t="shared" si="98"/>
        <v/>
      </c>
      <c r="N533" s="103">
        <v>532</v>
      </c>
      <c r="O533" s="103" t="str">
        <f>IF('Customer Base'!$I$15="MANUAL",IF(B533&lt;&gt;"",C533,""),IF('Customer Base'!$I$15="AUTOMATE",IF(A533&lt;&gt;"",C533,""),""))</f>
        <v/>
      </c>
      <c r="AO533" s="103" t="str">
        <f>IF('Customer Base'!$I$15="MANUAL",IFERROR(AM533*B533,""),IF('Customer Base'!$I$15="AUTOMATE",IFERROR(AM533*A533,""),""))</f>
        <v/>
      </c>
      <c r="AV533" s="103">
        <f t="shared" si="90"/>
        <v>0</v>
      </c>
    </row>
    <row r="534" spans="1:48">
      <c r="C534" s="265"/>
      <c r="D534" s="332"/>
      <c r="E534" s="332"/>
      <c r="F534" s="266"/>
      <c r="G534" s="266"/>
      <c r="H534" s="266"/>
      <c r="I534" s="266"/>
      <c r="J534" s="103" t="str">
        <f t="shared" si="97"/>
        <v/>
      </c>
      <c r="L534" s="103" t="str">
        <f t="shared" si="98"/>
        <v/>
      </c>
      <c r="N534" s="103">
        <v>533</v>
      </c>
      <c r="O534" s="103" t="str">
        <f>IF('Customer Base'!$I$15="MANUAL",IF(B534&lt;&gt;"",C534,""),IF('Customer Base'!$I$15="AUTOMATE",IF(A534&lt;&gt;"",C534,""),""))</f>
        <v/>
      </c>
      <c r="AO534" s="103">
        <f>IF('Customer Base'!$I$15="MANUAL",IFERROR(AM534*B534,""),IF('Customer Base'!$I$15="AUTOMATE",IFERROR(AM534*A534,""),""))</f>
        <v>0</v>
      </c>
    </row>
    <row r="535" spans="1:48">
      <c r="A535" s="103" t="str">
        <f>IF(AND('Customer Base'!$D$19="LITHIUM",A207="",A211="",SUM(Items!$A$205:$A$209,Items!$A$211:$A$236)&gt;0,SUM(Items!$A$205:$A$209,Items!$A$211:$A$236)&lt;=2),1,"")</f>
        <v/>
      </c>
      <c r="B535" s="270" t="s">
        <v>1</v>
      </c>
      <c r="C535" s="265" t="s">
        <v>2327</v>
      </c>
      <c r="D535" s="332">
        <v>60.95</v>
      </c>
      <c r="E535" s="332">
        <v>60.95</v>
      </c>
      <c r="F535" s="266">
        <f t="shared" si="95"/>
        <v>50</v>
      </c>
      <c r="G535" s="266">
        <f>IFERROR(ROUNDUP(F535*'Customer Base'!$J$5,2),0)</f>
        <v>800</v>
      </c>
      <c r="H535" s="266">
        <f t="shared" si="96"/>
        <v>50</v>
      </c>
      <c r="I535" s="266">
        <f>IFERROR(ROUNDUP(H535*'Customer Base'!$J$5,2),0)</f>
        <v>800</v>
      </c>
      <c r="J535" s="103" t="str">
        <f t="shared" si="97"/>
        <v/>
      </c>
      <c r="L535" s="103" t="str">
        <f t="shared" si="98"/>
        <v/>
      </c>
      <c r="N535" s="103">
        <v>534</v>
      </c>
      <c r="O535" s="103" t="str">
        <f>IF('Customer Base'!$I$15="MANUAL",IF(B535&lt;&gt;"",C535,""),IF('Customer Base'!$I$15="AUTOMATE",IF(A535&lt;&gt;"",C535,""),""))</f>
        <v/>
      </c>
      <c r="AO535" s="103" t="str">
        <f>IF('Customer Base'!$I$15="MANUAL",IFERROR(AM535*B535,""),IF('Customer Base'!$I$15="AUTOMATE",IFERROR(AM535*A535,""),""))</f>
        <v/>
      </c>
      <c r="AV535" s="103">
        <f t="shared" ref="AV535" si="99">IF(AU535&lt;&gt;"",AU535,AT535)</f>
        <v>0</v>
      </c>
    </row>
    <row r="536" spans="1:48">
      <c r="A536" s="103" t="str">
        <f>IF(AND('Customer Base'!$D$19="LITHIUM",A207="",A211="",SUM(Items!$A$205:$A$209,Items!$A$211:$A$236)&gt;2,SUM(Items!$A$205:$A$209,Items!$A$211:$A$236)&lt;=4),1,"")</f>
        <v/>
      </c>
      <c r="B536" s="270" t="s">
        <v>1</v>
      </c>
      <c r="C536" s="265" t="s">
        <v>1312</v>
      </c>
      <c r="D536" s="332">
        <v>161.02000000000001</v>
      </c>
      <c r="E536" s="332">
        <v>161.02000000000001</v>
      </c>
      <c r="F536" s="266">
        <f t="shared" si="95"/>
        <v>132.09187858900739</v>
      </c>
      <c r="G536" s="266">
        <f>IFERROR(ROUNDUP(F536*'Customer Base'!$J$5,2),0)</f>
        <v>2113.48</v>
      </c>
      <c r="H536" s="266">
        <f t="shared" si="96"/>
        <v>132.09187858900739</v>
      </c>
      <c r="I536" s="266">
        <f>IFERROR(ROUNDUP(H536*'Customer Base'!$J$5,2),0)</f>
        <v>2113.48</v>
      </c>
      <c r="J536" s="103" t="str">
        <f t="shared" si="97"/>
        <v/>
      </c>
      <c r="L536" s="103" t="str">
        <f t="shared" si="98"/>
        <v/>
      </c>
      <c r="N536" s="103">
        <v>535</v>
      </c>
      <c r="O536" s="103" t="str">
        <f>IF('Customer Base'!$I$15="MANUAL",IF(B536&lt;&gt;"",C536,""),IF('Customer Base'!$I$15="AUTOMATE",IF(A536&lt;&gt;"",C536,""),""))</f>
        <v/>
      </c>
      <c r="AO536" s="103" t="str">
        <f>IF('Customer Base'!$I$15="MANUAL",IFERROR(AM536*B536,""),IF('Customer Base'!$I$15="AUTOMATE",IFERROR(AM536*A536,""),""))</f>
        <v/>
      </c>
      <c r="AV536" s="103">
        <f t="shared" si="90"/>
        <v>0</v>
      </c>
    </row>
    <row r="537" spans="1:48">
      <c r="A537" s="103" t="str">
        <f>IF(AND('Customer Base'!$D$19="LITHIUM",A207="",A211="",SUM(Items!$A$205:$A$209,Items!$A$211:$A$236)&gt;4,SUM(Items!$A$205:$A$209,Items!$A$211:$A$236)&lt;=8),1,"")</f>
        <v/>
      </c>
      <c r="B537" s="270" t="s">
        <v>1</v>
      </c>
      <c r="C537" s="265" t="s">
        <v>1313</v>
      </c>
      <c r="D537" s="332">
        <v>254.24</v>
      </c>
      <c r="E537" s="332">
        <v>254.24</v>
      </c>
      <c r="F537" s="266">
        <f t="shared" si="95"/>
        <v>208.56439704675964</v>
      </c>
      <c r="G537" s="266">
        <f>IFERROR(ROUNDUP(F537*'Customer Base'!$J$5,2),0)</f>
        <v>3337.0400000000004</v>
      </c>
      <c r="H537" s="266">
        <f t="shared" si="96"/>
        <v>208.56439704675964</v>
      </c>
      <c r="I537" s="266">
        <f>IFERROR(ROUNDUP(H537*'Customer Base'!$J$5,2),0)</f>
        <v>3337.0400000000004</v>
      </c>
      <c r="J537" s="103" t="str">
        <f t="shared" si="97"/>
        <v/>
      </c>
      <c r="L537" s="103" t="str">
        <f t="shared" si="98"/>
        <v/>
      </c>
      <c r="N537" s="103">
        <v>536</v>
      </c>
      <c r="O537" s="103" t="str">
        <f>IF('Customer Base'!$I$15="MANUAL",IF(B537&lt;&gt;"",C537,""),IF('Customer Base'!$I$15="AUTOMATE",IF(A537&lt;&gt;"",C537,""),""))</f>
        <v/>
      </c>
      <c r="AO537" s="103" t="str">
        <f>IF('Customer Base'!$I$15="MANUAL",IFERROR(AM537*B537,""),IF('Customer Base'!$I$15="AUTOMATE",IFERROR(AM537*A537,""),""))</f>
        <v/>
      </c>
      <c r="AV537" s="103">
        <f t="shared" si="90"/>
        <v>0</v>
      </c>
    </row>
    <row r="538" spans="1:48">
      <c r="A538" s="103" t="str">
        <f>IF(AND('Customer Base'!$D$19="LITHIUM",A207="",A211="",SUM(Items!$A$205:$A$209,Items!$A$211:$A$236)&gt;8,SUM(Items!$A$205:$A$209,Items!$A$211:$A$236)&lt;=12),1,"")</f>
        <v/>
      </c>
      <c r="B538" s="270" t="s">
        <v>1</v>
      </c>
      <c r="C538" s="265" t="s">
        <v>1314</v>
      </c>
      <c r="D538" s="332">
        <v>305.08</v>
      </c>
      <c r="E538" s="332">
        <v>305.08</v>
      </c>
      <c r="F538" s="266">
        <f t="shared" si="95"/>
        <v>250.27071369975386</v>
      </c>
      <c r="G538" s="266">
        <f>IFERROR(ROUNDUP(F538*'Customer Base'!$J$5,2),0)</f>
        <v>4004.34</v>
      </c>
      <c r="H538" s="266">
        <f t="shared" si="96"/>
        <v>250.27071369975386</v>
      </c>
      <c r="I538" s="266">
        <f>IFERROR(ROUNDUP(H538*'Customer Base'!$J$5,2),0)</f>
        <v>4004.34</v>
      </c>
      <c r="J538" s="103" t="str">
        <f t="shared" si="97"/>
        <v/>
      </c>
      <c r="L538" s="103" t="str">
        <f t="shared" si="98"/>
        <v/>
      </c>
      <c r="N538" s="103">
        <v>537</v>
      </c>
      <c r="O538" s="103" t="str">
        <f>IF('Customer Base'!$I$15="MANUAL",IF(B538&lt;&gt;"",C538,""),IF('Customer Base'!$I$15="AUTOMATE",IF(A538&lt;&gt;"",C538,""),""))</f>
        <v/>
      </c>
      <c r="AO538" s="103" t="str">
        <f>IF('Customer Base'!$I$15="MANUAL",IFERROR(AM538*B538,""),IF('Customer Base'!$I$15="AUTOMATE",IFERROR(AM538*A538,""),""))</f>
        <v/>
      </c>
      <c r="AV538" s="103">
        <f t="shared" si="90"/>
        <v>0</v>
      </c>
    </row>
    <row r="539" spans="1:48">
      <c r="A539" s="103" t="str">
        <f>IF(AND('Customer Base'!$D$19="LITHIUM",A207="",A211="",SUM(Items!$A$205:$A$209,Items!$A$211:$A$236)&gt;12,SUM(Items!$A$205:$A$209,Items!$A$211:$A$236)&lt;=16),1,"")</f>
        <v/>
      </c>
      <c r="B539" s="270" t="s">
        <v>1</v>
      </c>
      <c r="C539" s="265" t="s">
        <v>1315</v>
      </c>
      <c r="D539" s="332">
        <v>415.28</v>
      </c>
      <c r="E539" s="332">
        <v>415.28</v>
      </c>
      <c r="F539" s="266">
        <f t="shared" si="95"/>
        <v>340.67268252666116</v>
      </c>
      <c r="G539" s="266">
        <f>IFERROR(ROUNDUP(F539*'Customer Base'!$J$5,2),0)</f>
        <v>5450.77</v>
      </c>
      <c r="H539" s="266">
        <f t="shared" si="96"/>
        <v>340.67268252666116</v>
      </c>
      <c r="I539" s="266">
        <f>IFERROR(ROUNDUP(H539*'Customer Base'!$J$5,2),0)</f>
        <v>5450.77</v>
      </c>
      <c r="J539" s="103" t="str">
        <f t="shared" si="97"/>
        <v/>
      </c>
      <c r="L539" s="103" t="str">
        <f t="shared" si="98"/>
        <v/>
      </c>
      <c r="N539" s="103">
        <v>538</v>
      </c>
      <c r="O539" s="103" t="str">
        <f>IF('Customer Base'!$I$15="MANUAL",IF(B539&lt;&gt;"",C539,""),IF('Customer Base'!$I$15="AUTOMATE",IF(A539&lt;&gt;"",C539,""),""))</f>
        <v/>
      </c>
      <c r="AO539" s="103" t="str">
        <f>IF('Customer Base'!$I$15="MANUAL",IFERROR(AM539*B539,""),IF('Customer Base'!$I$15="AUTOMATE",IFERROR(AM539*A539,""),""))</f>
        <v/>
      </c>
      <c r="AV539" s="103">
        <f t="shared" si="90"/>
        <v>0</v>
      </c>
    </row>
    <row r="540" spans="1:48">
      <c r="D540" s="319"/>
      <c r="E540" s="319"/>
      <c r="I540" s="224"/>
      <c r="J540" s="103" t="str">
        <f t="shared" si="97"/>
        <v/>
      </c>
      <c r="L540" s="103" t="str">
        <f t="shared" si="98"/>
        <v/>
      </c>
      <c r="N540" s="103">
        <v>539</v>
      </c>
      <c r="O540" s="103" t="str">
        <f>IF('Customer Base'!$I$15="MANUAL",IF(B540&lt;&gt;"",C540,""),IF('Customer Base'!$I$15="AUTOMATE",IF(A540&lt;&gt;"",C540,""),""))</f>
        <v/>
      </c>
      <c r="AO540" s="103">
        <f>IF('Customer Base'!$I$15="MANUAL",IFERROR(AM540*B540,""),IF('Customer Base'!$I$15="AUTOMATE",IFERROR(AM540*A540,""),""))</f>
        <v>0</v>
      </c>
      <c r="AV540" s="103">
        <f t="shared" si="90"/>
        <v>0</v>
      </c>
    </row>
    <row r="541" spans="1:48">
      <c r="A541" s="103">
        <f ca="1">IF(SUM(A6:A540)&gt;0,1,"")</f>
        <v>1</v>
      </c>
      <c r="B541" s="270">
        <v>1</v>
      </c>
      <c r="C541" s="265" t="s">
        <v>953</v>
      </c>
      <c r="D541" s="332">
        <f ca="1">IF(F541="",IF(G541&lt;&gt;"",ROUNDUP(G541*1.219/'Customer Base'!$J$5,1),""),ROUNDUP(F541*1.219,1))</f>
        <v>121.9</v>
      </c>
      <c r="E541" s="332" t="str">
        <f ca="1">IF(H541="",IF(I541&lt;&gt;"",ROUNDUP(I541*1.219/'Customer Base'!$J$5,1),""),ROUNDUP(H541*1.219,1))</f>
        <v/>
      </c>
      <c r="F541" s="266" t="str">
        <f ca="1">IF('Customer Base'!$I$15="MANUAL",IF($B541="","",IF(AND(INVOICE!$K$14="USD",'Customer Base'!$I$17="Retail"),ROUNDUP(SUM(2.5%*SUMPRODUCT($B$242:$B$255,F$242:F$255),1%*SUMPRODUCT($B$1:$B$160,F$1:F$160)),0),"")),IF('Customer Base'!$I$15="AUTOMATE",IF($A541="","",IF(AND(INVOICE!$K$14="USD",'Customer Base'!$I$17="Retail"),ROUNDUP(SUM(2.5%*SUMPRODUCT($A$242:$A$255,F$242:F$255),1%*SUMPRODUCT($A$1:$A$160,F$1:F$160)),0),"")),""))</f>
        <v/>
      </c>
      <c r="G541" s="266">
        <f ca="1">IF('Customer Base'!$I$15="MANUAL",IF($B541="","",IF(AND(INVOICE!$K$14="GH₵",'Customer Base'!$I$17="Retail"),ROUNDUP(SUM(2.5%*SUMPRODUCT($B$242:$B$255,G$242:G$255),1%*SUMPRODUCT($B$1:$B$160,G$1:G$160)),-1),"")),IF('Customer Base'!$I$15="AUTOMATE",IF($A541="","",IF(AND(INVOICE!$K$14="GH₵",'Customer Base'!$I$17="Retail"),ROUNDUP(SUM(2.5%*SUMPRODUCT($A$242:$A$255,G$242:G$255),1%*SUMPRODUCT($A$1:$A$160,G$1:G$160)),-1),"")),""))</f>
        <v>1600</v>
      </c>
      <c r="H541" s="266" t="str">
        <f ca="1">IF('Customer Base'!$I$15="MANUAL",IF($B541="","",IF(AND(INVOICE!$K$14="USD",'Customer Base'!$I$17="Super Dealer"),ROUNDUP(SUM(2.5%*SUMPRODUCT($B$242:$B$255,H$242:H$255),1%*SUMPRODUCT($B$1:$B$160,H$1:H$160)),0),"")),IF('Customer Base'!$I$15="AUTOMATE",IF($A541="","",IF(AND(INVOICE!$K$14="USD",'Customer Base'!$I$17="Super Dealer"),ROUNDUP(SUM(2.5%*SUMPRODUCT($A$242:$A$255,H$242:H$255),1%*SUMPRODUCT($A$1:$A$160,H$1:H$160)),0),"")),""))</f>
        <v/>
      </c>
      <c r="I541" s="266" t="str">
        <f ca="1">IF('Customer Base'!$I$15="MANUAL",IF($B541="","",IF(AND(INVOICE!$K$14="GH₵",'Customer Base'!$I$17="Super Dealer"),ROUNDUP(SUM(2.5%*SUMPRODUCT($B$242:$B$255,I$242:I$255),1%*SUMPRODUCT($B$1:$B$160,I$1:I$160)),-1),"")),IF('Customer Base'!$I$15="AUTOMATE",IF($A541="","",IF(AND(INVOICE!$K$14="GH₵",'Customer Base'!$I$17="Super Dealer"),ROUNDUP(SUM(2.5%*SUMPRODUCT($A$242:$A$255,I$242:I$255),1%*SUMPRODUCT($A$1:$A$160,I$1:I$160)),-1),"")),""))</f>
        <v/>
      </c>
      <c r="J541" s="103" t="str">
        <f t="shared" ca="1" si="97"/>
        <v>lkdfjk</v>
      </c>
      <c r="L541" s="103" t="str">
        <f t="shared" ca="1" si="98"/>
        <v/>
      </c>
      <c r="N541" s="103">
        <v>540</v>
      </c>
      <c r="O541" s="103" t="str">
        <f ca="1">IF('Customer Base'!$I$15="MANUAL",IF(B541&lt;&gt;"",C541,""),IF('Customer Base'!$I$15="AUTOMATE",IF(A541&lt;&gt;"",C541,""),""))</f>
        <v>PVC Pipes, Trunking, Cable Lugs and Assessories</v>
      </c>
      <c r="AO541" s="103">
        <f ca="1">IF('Customer Base'!$I$15="MANUAL",IFERROR(AM541*B541,""),IF('Customer Base'!$I$15="AUTOMATE",IFERROR(AM541*A541,""),""))</f>
        <v>0</v>
      </c>
      <c r="AV541" s="103">
        <f t="shared" si="90"/>
        <v>0</v>
      </c>
    </row>
    <row r="542" spans="1:48">
      <c r="C542" s="265" t="s">
        <v>952</v>
      </c>
      <c r="D542" s="332" t="str">
        <f>IF(F542="",IF(G542&lt;&gt;"",ROUNDUP(G542*1.219/'Customer Base'!$J$5,1),""),ROUNDUP(F542*1.219,1))</f>
        <v/>
      </c>
      <c r="E542" s="332" t="str">
        <f>IF(H542="",IF(I542&lt;&gt;"",ROUNDUP(I542*1.219/'Customer Base'!$J$5,1),""),ROUNDUP(H542*1.219,1))</f>
        <v/>
      </c>
      <c r="F542" s="266" t="str">
        <f>IF($B542="","",IF(AND(INVOICE!$K$14="USD",'Customer Base'!$I$17="Retail"),ROUNDUP(SUM(4%*SUMPRODUCT($B$242:$B$255,F$242:F$255),1%*SUMPRODUCT($B$1:$B$160,F$1:F$160)),-1),""))</f>
        <v/>
      </c>
      <c r="G542" s="266" t="str">
        <f>IF($B542="","",IF(AND(INVOICE!$K$14="GH₵",'Customer Base'!$I$17="Retail"),ROUNDUP(SUM(4%*SUMPRODUCT($B$242:$B$255,G$242:G$255),1%*SUMPRODUCT($B$1:$B$160,G$1:G$160)),-1),""))</f>
        <v/>
      </c>
      <c r="H542" s="266" t="str">
        <f>IF($B542="","",IF(AND(INVOICE!$K$14="USD",'Customer Base'!$I$17="Super Dealer"),ROUNDUP(SUM(4%*SUMPRODUCT($B$242:$B$255,H$242:H$255),1%*SUMPRODUCT($B$1:$B$160,H$1:H$160)),-1),""))</f>
        <v/>
      </c>
      <c r="I542" s="266" t="str">
        <f>IF($B542="","",IF(AND(INVOICE!$K$14="GH₵",'Customer Base'!$I$17="Super Dealer"),ROUNDUP(SUM(4%*SUMPRODUCT($B$242:$B$255,I$242:I$255),1%*SUMPRODUCT($B$1:$B$160,I$1:I$160)),-1),""))</f>
        <v/>
      </c>
      <c r="J542" s="103" t="str">
        <f t="shared" si="97"/>
        <v/>
      </c>
      <c r="L542" s="103" t="str">
        <f t="shared" si="98"/>
        <v/>
      </c>
      <c r="N542" s="103">
        <v>541</v>
      </c>
      <c r="O542" s="103" t="str">
        <f>IF('Customer Base'!$I$15="MANUAL",IF(B542&lt;&gt;"",C542,""),IF('Customer Base'!$I$15="AUTOMATE",IF(A542&lt;&gt;"",C542,""),""))</f>
        <v/>
      </c>
      <c r="AO542" s="103">
        <f>IF('Customer Base'!$I$15="MANUAL",IFERROR(AM542*B542,""),IF('Customer Base'!$I$15="AUTOMATE",IFERROR(AM542*A542,""),""))</f>
        <v>0</v>
      </c>
      <c r="AV542" s="103">
        <f t="shared" si="90"/>
        <v>0</v>
      </c>
    </row>
    <row r="543" spans="1:48">
      <c r="D543" s="319"/>
      <c r="E543" s="319"/>
      <c r="I543" s="224"/>
      <c r="J543" s="103" t="str">
        <f t="shared" si="97"/>
        <v/>
      </c>
      <c r="L543" s="103" t="str">
        <f t="shared" si="98"/>
        <v/>
      </c>
      <c r="N543" s="103">
        <v>542</v>
      </c>
      <c r="O543" s="103" t="str">
        <f>IF('Customer Base'!$I$15="MANUAL",IF(B543&lt;&gt;"",C543,""),IF('Customer Base'!$I$15="AUTOMATE",IF(A543&lt;&gt;"",C543,""),""))</f>
        <v/>
      </c>
      <c r="AO543" s="103">
        <f>IF('Customer Base'!$I$15="MANUAL",IFERROR(AM543*B543,""),IF('Customer Base'!$I$15="AUTOMATE",IFERROR(AM543*A543,""),""))</f>
        <v>0</v>
      </c>
      <c r="AV543" s="103">
        <f t="shared" si="90"/>
        <v>0</v>
      </c>
    </row>
    <row r="544" spans="1:48">
      <c r="C544" s="232" t="s">
        <v>1888</v>
      </c>
      <c r="D544" s="320"/>
      <c r="E544" s="320"/>
      <c r="F544" s="234">
        <f t="shared" ref="F544:F545" si="100">$D544/1.219</f>
        <v>0</v>
      </c>
      <c r="G544" s="234">
        <f>IFERROR(ROUNDUP(F544*'Customer Base'!$J$5,2),0)</f>
        <v>0</v>
      </c>
      <c r="H544" s="234">
        <f t="shared" ref="H544:H545" si="101">$E544/1.219</f>
        <v>0</v>
      </c>
      <c r="I544" s="234">
        <f>IFERROR(ROUNDUP(H544*'Customer Base'!$J$5,2),0)</f>
        <v>0</v>
      </c>
      <c r="J544" s="103" t="str">
        <f t="shared" si="97"/>
        <v/>
      </c>
      <c r="L544" s="103" t="str">
        <f t="shared" si="98"/>
        <v/>
      </c>
      <c r="N544" s="103">
        <v>543</v>
      </c>
      <c r="O544" s="103" t="str">
        <f>IF('Customer Base'!$I$15="MANUAL",IF(B544&lt;&gt;"",C544,""),IF('Customer Base'!$I$15="AUTOMATE",IF(A544&lt;&gt;"",C544,""),""))</f>
        <v/>
      </c>
      <c r="AO544" s="103">
        <f>IF('Customer Base'!$I$15="MANUAL",IFERROR(AM544*B544,""),IF('Customer Base'!$I$15="AUTOMATE",IFERROR(AM544*A544,""),""))</f>
        <v>0</v>
      </c>
      <c r="AV544" s="103">
        <f t="shared" si="90"/>
        <v>0</v>
      </c>
    </row>
    <row r="545" spans="1:48">
      <c r="C545" s="262" t="s">
        <v>1615</v>
      </c>
      <c r="D545" s="330">
        <f>ROUNDUP('Customer Base'!J9*4,-2)</f>
        <v>100</v>
      </c>
      <c r="E545" s="330">
        <f>ROUNDUP('Customer Base'!J9*4,-2)</f>
        <v>100</v>
      </c>
      <c r="F545" s="263">
        <f t="shared" si="100"/>
        <v>82.034454470877762</v>
      </c>
      <c r="G545" s="263">
        <f>IFERROR(ROUNDUP(F545*'Customer Base'!$J$5,2),0)</f>
        <v>1312.56</v>
      </c>
      <c r="H545" s="263">
        <f t="shared" si="101"/>
        <v>82.034454470877762</v>
      </c>
      <c r="I545" s="263">
        <f>IFERROR(ROUNDUP(H545*'Customer Base'!$J$5,2),0)</f>
        <v>1312.56</v>
      </c>
      <c r="J545" s="103" t="str">
        <f t="shared" si="97"/>
        <v/>
      </c>
      <c r="L545" s="103" t="str">
        <f t="shared" si="98"/>
        <v/>
      </c>
      <c r="N545" s="103">
        <v>544</v>
      </c>
      <c r="O545" s="103" t="str">
        <f>IF('Customer Base'!$I$15="MANUAL",IF(B545&lt;&gt;"",C545,""),IF('Customer Base'!$I$15="AUTOMATE",IF(A545&lt;&gt;"",C545,""),""))</f>
        <v/>
      </c>
      <c r="AO545" s="103">
        <f>IF('Customer Base'!$I$15="MANUAL",IFERROR(AM545*B545,""),IF('Customer Base'!$I$15="AUTOMATE",IFERROR(AM545*A545,""),""))</f>
        <v>0</v>
      </c>
      <c r="AV545" s="103">
        <f t="shared" ref="AV545:AV561" si="102">IF(AU545&lt;&gt;"",AU545,AT545)</f>
        <v>0</v>
      </c>
    </row>
    <row r="546" spans="1:48">
      <c r="D546" s="319"/>
      <c r="E546" s="319"/>
      <c r="G546" s="224">
        <f>IFERROR(ROUNDUP(F546*'Customer Base'!$J$5,2),0)</f>
        <v>0</v>
      </c>
      <c r="I546" s="224">
        <f>IFERROR(ROUNDUP(H546*'Customer Base'!$J$5,2),0)</f>
        <v>0</v>
      </c>
      <c r="J546" s="103" t="str">
        <f t="shared" si="97"/>
        <v/>
      </c>
      <c r="L546" s="103" t="str">
        <f t="shared" si="98"/>
        <v/>
      </c>
      <c r="N546" s="103">
        <v>545</v>
      </c>
      <c r="O546" s="103" t="str">
        <f>IF('Customer Base'!$I$15="MANUAL",IF(B546&lt;&gt;"",C546,""),IF('Customer Base'!$I$15="AUTOMATE",IF(A546&lt;&gt;"",C546,""),""))</f>
        <v/>
      </c>
      <c r="AO546" s="103">
        <f>IF('Customer Base'!$I$15="MANUAL",IFERROR(AM546*B546,""),IF('Customer Base'!$I$15="AUTOMATE",IFERROR(AM546*A546,""),""))</f>
        <v>0</v>
      </c>
      <c r="AV546" s="103">
        <f t="shared" si="102"/>
        <v>0</v>
      </c>
    </row>
    <row r="547" spans="1:48">
      <c r="C547" s="262" t="s">
        <v>1171</v>
      </c>
      <c r="D547" s="330">
        <v>20</v>
      </c>
      <c r="E547" s="330">
        <v>20</v>
      </c>
      <c r="F547" s="263">
        <f>$D547/1.219</f>
        <v>16.406890894175554</v>
      </c>
      <c r="G547" s="263">
        <f>IFERROR(ROUNDUP(F547*'Customer Base'!$J$5,2),0)</f>
        <v>262.52</v>
      </c>
      <c r="H547" s="263">
        <f>$E547/1.219</f>
        <v>16.406890894175554</v>
      </c>
      <c r="I547" s="263">
        <f>IFERROR(ROUNDUP(H547*'Customer Base'!$J$5,2),0)</f>
        <v>262.52</v>
      </c>
      <c r="J547" s="103" t="str">
        <f t="shared" si="97"/>
        <v/>
      </c>
      <c r="L547" s="103" t="str">
        <f t="shared" si="98"/>
        <v/>
      </c>
      <c r="N547" s="103">
        <v>546</v>
      </c>
      <c r="O547" s="103" t="str">
        <f>IF('Customer Base'!$I$15="MANUAL",IF(B547&lt;&gt;"",C547,""),IF('Customer Base'!$I$15="AUTOMATE",IF(A547&lt;&gt;"",C547,""),""))</f>
        <v/>
      </c>
      <c r="AO547" s="103">
        <f>IF('Customer Base'!$I$15="MANUAL",IFERROR(AM547*B547,""),IF('Customer Base'!$I$15="AUTOMATE",IFERROR(AM547*A547,""),""))</f>
        <v>0</v>
      </c>
      <c r="AV547" s="103">
        <f t="shared" si="102"/>
        <v>0</v>
      </c>
    </row>
    <row r="548" spans="1:48">
      <c r="C548" s="262" t="s">
        <v>1221</v>
      </c>
      <c r="D548" s="330">
        <v>43.75</v>
      </c>
      <c r="E548" s="330">
        <v>43.75</v>
      </c>
      <c r="F548" s="263">
        <f>$D548/1.219</f>
        <v>35.890073831009019</v>
      </c>
      <c r="G548" s="263">
        <f>IFERROR(ROUNDUP(F548*'Customer Base'!$J$5,2),0)</f>
        <v>574.25</v>
      </c>
      <c r="H548" s="263">
        <f>$E548/1.219</f>
        <v>35.890073831009019</v>
      </c>
      <c r="I548" s="263">
        <f>IFERROR(ROUNDUP(H548*'Customer Base'!$J$5,2),0)</f>
        <v>574.25</v>
      </c>
      <c r="J548" s="103" t="str">
        <f t="shared" si="97"/>
        <v/>
      </c>
      <c r="L548" s="103" t="str">
        <f t="shared" si="98"/>
        <v/>
      </c>
      <c r="N548" s="103">
        <v>547</v>
      </c>
      <c r="O548" s="103" t="str">
        <f>IF('Customer Base'!$I$15="MANUAL",IF(B548&lt;&gt;"",C548,""),IF('Customer Base'!$I$15="AUTOMATE",IF(A548&lt;&gt;"",C548,""),""))</f>
        <v/>
      </c>
      <c r="AO548" s="103">
        <f>IF('Customer Base'!$I$15="MANUAL",IFERROR(AM548*B548,""),IF('Customer Base'!$I$15="AUTOMATE",IFERROR(AM548*A548,""),""))</f>
        <v>0</v>
      </c>
      <c r="AV548" s="103">
        <f t="shared" si="102"/>
        <v>0</v>
      </c>
    </row>
    <row r="549" spans="1:48">
      <c r="D549" s="319"/>
      <c r="E549" s="319"/>
      <c r="I549" s="224"/>
      <c r="J549" s="103" t="str">
        <f t="shared" si="97"/>
        <v/>
      </c>
      <c r="L549" s="103" t="str">
        <f t="shared" si="98"/>
        <v/>
      </c>
      <c r="N549" s="103">
        <v>548</v>
      </c>
      <c r="O549" s="103" t="str">
        <f>IF('Customer Base'!$I$15="MANUAL",IF(B549&lt;&gt;"",C549,""),IF('Customer Base'!$I$15="AUTOMATE",IF(A549&lt;&gt;"",C549,""),""))</f>
        <v/>
      </c>
      <c r="AO549" s="103">
        <f>IF('Customer Base'!$I$15="MANUAL",IFERROR(AM549*B549,""),IF('Customer Base'!$I$15="AUTOMATE",IFERROR(AM549*A549,""),""))</f>
        <v>0</v>
      </c>
      <c r="AV549" s="103">
        <f t="shared" si="102"/>
        <v>0</v>
      </c>
    </row>
    <row r="550" spans="1:48">
      <c r="C550" s="232" t="s">
        <v>1887</v>
      </c>
      <c r="D550" s="322"/>
      <c r="E550" s="322"/>
      <c r="F550" s="252"/>
      <c r="G550" s="234">
        <f>IFERROR(ROUNDUP(F550*'Customer Base'!$J$5,2),0)</f>
        <v>0</v>
      </c>
      <c r="H550" s="252"/>
      <c r="I550" s="234">
        <f>IFERROR(ROUNDUP(H550*'Customer Base'!$J$5,2),0)</f>
        <v>0</v>
      </c>
      <c r="J550" s="103" t="str">
        <f t="shared" si="97"/>
        <v/>
      </c>
      <c r="L550" s="103" t="str">
        <f t="shared" si="98"/>
        <v/>
      </c>
      <c r="N550" s="103">
        <v>549</v>
      </c>
      <c r="O550" s="103" t="str">
        <f>IF('Customer Base'!$I$15="MANUAL",IF(B550&lt;&gt;"",C550,""),IF('Customer Base'!$I$15="AUTOMATE",IF(A550&lt;&gt;"",C550,""),""))</f>
        <v/>
      </c>
      <c r="AO550" s="103">
        <f>IF('Customer Base'!$I$15="MANUAL",IFERROR(AM550*B550,""),IF('Customer Base'!$I$15="AUTOMATE",IFERROR(AM550*A550,""),""))</f>
        <v>0</v>
      </c>
      <c r="AV550" s="103">
        <f t="shared" si="102"/>
        <v>0</v>
      </c>
    </row>
    <row r="551" spans="1:48">
      <c r="A551" s="103">
        <f ca="1">IF(INVOICE!C13&lt;&gt;"Accra",IF(SUM(A1:A550)&gt;0,1,""),"")</f>
        <v>1</v>
      </c>
      <c r="B551" s="270">
        <v>1</v>
      </c>
      <c r="C551" s="250" t="s">
        <v>1525</v>
      </c>
      <c r="D551" s="333">
        <f>F551*1.219</f>
        <v>347.9648909</v>
      </c>
      <c r="E551" s="333">
        <f>H551*1.219</f>
        <v>330.83140706</v>
      </c>
      <c r="F551" s="249">
        <f>(IF(ISNA(VLOOKUP(INVOICE!$C$13,Items!$K$6:$L$56,2,0)),0,ROUNDUP(VLOOKUP(INVOICE!$C$13,Items!$K$6:$L$56,2,0),0))+(0.25%*ROUNDUP(SUMPRODUCT($B$242:$B$255,F$242:F$255),-1)*'Customer Base'!J9/10))*(IF('Customer Base'!J9&lt;10,1,'Customer Base'!J9/10))</f>
        <v>285.4511</v>
      </c>
      <c r="G551" s="249">
        <f>IFERROR(ROUNDUP(F551*'Customer Base'!$J$5,0),0)</f>
        <v>4568</v>
      </c>
      <c r="H551" s="249">
        <f>(IF(ISNA(VLOOKUP(INVOICE!$C$13,Items!$K$6:$L$56,2,0)),0,ROUNDUP(VLOOKUP(INVOICE!$C$13,Items!$K$6:$L$56,2,0),0))+(0.25%*ROUNDUP(SUMPRODUCT($B$242:$B$255,H$242:H$255),-1)*'Customer Base'!J9/10))*(IF('Customer Base'!J9&lt;10,1,'Customer Base'!J9/10))</f>
        <v>271.39573999999999</v>
      </c>
      <c r="I551" s="249">
        <f>IFERROR(ROUNDUP(H551*'Customer Base'!$J$5,0),0)</f>
        <v>4343</v>
      </c>
      <c r="J551" s="103" t="str">
        <f t="shared" si="97"/>
        <v/>
      </c>
      <c r="L551" s="103" t="str">
        <f t="shared" si="98"/>
        <v/>
      </c>
      <c r="N551" s="103">
        <v>550</v>
      </c>
      <c r="O551" s="103" t="str">
        <f ca="1">IF('Customer Base'!$I$15="MANUAL",IF(B551&lt;&gt;"",C551,""),IF('Customer Base'!$I$15="AUTOMATE",IF(A551&lt;&gt;"",C551,""),""))</f>
        <v>Transportation Expenses</v>
      </c>
      <c r="AO551" s="103">
        <f ca="1">IF('Customer Base'!$I$15="MANUAL",IFERROR(AM551*B551,""),IF('Customer Base'!$I$15="AUTOMATE",IFERROR(AM551*A551,""),""))</f>
        <v>0</v>
      </c>
      <c r="AV551" s="103">
        <f t="shared" si="102"/>
        <v>0</v>
      </c>
    </row>
    <row r="552" spans="1:48">
      <c r="C552" s="250" t="s">
        <v>1301</v>
      </c>
      <c r="D552" s="333">
        <f>F552*1.219</f>
        <v>143.78714500000001</v>
      </c>
      <c r="E552" s="333">
        <f>H552*1.219</f>
        <v>136.70719299999999</v>
      </c>
      <c r="F552" s="249">
        <f>IF(ISNA(VLOOKUP(INVOICE!$C$13,Items!$K$6:$L$56,2,0)),0,ROUNDUP(VLOOKUP(INVOICE!$C$13,Items!$K$6:$L$56,2,0),0))+0.25%*ROUNDUP(SUMPRODUCT($B$242:$B$255,F$242:F$255),-1)*'Customer Base'!J9/10</f>
        <v>117.955</v>
      </c>
      <c r="G552" s="249">
        <f>IFERROR(ROUNDUP(F552*'Customer Base'!$J$5,0),0)</f>
        <v>1888</v>
      </c>
      <c r="H552" s="249">
        <f>IF(ISNA(VLOOKUP(INVOICE!$C$13,Items!$K$6:$L$56,2,0)),0,ROUNDUP(VLOOKUP(INVOICE!$C$13,Items!$K$6:$L$56,2,0),0))+0.25%*ROUNDUP(SUMPRODUCT($B$242:$B$255,H$242:H$255),-1)*'Customer Base'!J9/10</f>
        <v>112.14699999999999</v>
      </c>
      <c r="I552" s="249">
        <f>IFERROR(ROUNDUP(H552*'Customer Base'!$J$5,0),0)</f>
        <v>1795</v>
      </c>
      <c r="J552" s="103" t="str">
        <f t="shared" si="97"/>
        <v/>
      </c>
      <c r="L552" s="103" t="str">
        <f t="shared" si="98"/>
        <v/>
      </c>
      <c r="N552" s="103">
        <v>551</v>
      </c>
      <c r="O552" s="103" t="str">
        <f>IF('Customer Base'!$I$15="MANUAL",IF(B552&lt;&gt;"",C552,""),IF('Customer Base'!$I$15="AUTOMATE",IF(A552&lt;&gt;"",C552,""),""))</f>
        <v/>
      </c>
      <c r="AO552" s="103">
        <f>IF('Customer Base'!$I$15="MANUAL",IFERROR(AM552*B552,""),IF('Customer Base'!$I$15="AUTOMATE",IFERROR(AM552*A552,""),""))</f>
        <v>0</v>
      </c>
      <c r="AV552" s="103">
        <f t="shared" si="102"/>
        <v>0</v>
      </c>
    </row>
    <row r="553" spans="1:48">
      <c r="C553" s="250" t="s">
        <v>990</v>
      </c>
      <c r="D553" s="333">
        <f>F553*1.219</f>
        <v>0</v>
      </c>
      <c r="E553" s="333">
        <f>H553*1.219</f>
        <v>0</v>
      </c>
      <c r="F553" s="268">
        <f>$L$2/'Customer Base'!$J$5*'Customer Base'!$K$15*'Customer Base'!$K$17</f>
        <v>0</v>
      </c>
      <c r="G553" s="249">
        <f>IFERROR(ROUNDUP(F553*'Customer Base'!$J$5,2),0)</f>
        <v>0</v>
      </c>
      <c r="H553" s="268">
        <f>$L$2/'Customer Base'!$J$5*'Customer Base'!$K$15*'Customer Base'!$K$17</f>
        <v>0</v>
      </c>
      <c r="I553" s="249">
        <f>IFERROR(ROUNDUP(H553*'Customer Base'!$J$5,2),0)</f>
        <v>0</v>
      </c>
      <c r="J553" s="103" t="str">
        <f t="shared" si="97"/>
        <v/>
      </c>
      <c r="L553" s="103" t="str">
        <f t="shared" si="98"/>
        <v/>
      </c>
      <c r="N553" s="103">
        <v>552</v>
      </c>
      <c r="O553" s="103" t="str">
        <f>IF('Customer Base'!$I$15="MANUAL",IF(B553&lt;&gt;"",C553,""),IF('Customer Base'!$I$15="AUTOMATE",IF(A553&lt;&gt;"",C553,""),""))</f>
        <v/>
      </c>
      <c r="AO553" s="103">
        <f>IF('Customer Base'!$I$15="MANUAL",IFERROR(AM553*B553,""),IF('Customer Base'!$I$15="AUTOMATE",IFERROR(AM553*A553,""),""))</f>
        <v>0</v>
      </c>
      <c r="AV553" s="103">
        <f t="shared" si="102"/>
        <v>0</v>
      </c>
    </row>
    <row r="554" spans="1:48">
      <c r="C554" s="250" t="s">
        <v>988</v>
      </c>
      <c r="D554" s="333">
        <f>F554*1.219</f>
        <v>347.9648909</v>
      </c>
      <c r="E554" s="333">
        <f>H554*1.219</f>
        <v>330.83140706</v>
      </c>
      <c r="F554" s="268">
        <f>F551+F553</f>
        <v>285.4511</v>
      </c>
      <c r="G554" s="249">
        <f>IFERROR(ROUNDUP(F554*'Customer Base'!$J$5,2),0)</f>
        <v>4567.22</v>
      </c>
      <c r="H554" s="268">
        <f>H551+H553</f>
        <v>271.39573999999999</v>
      </c>
      <c r="I554" s="249">
        <f>IFERROR(ROUNDUP(H554*'Customer Base'!$J$5,2),0)</f>
        <v>4342.34</v>
      </c>
      <c r="J554" s="103" t="str">
        <f t="shared" si="97"/>
        <v/>
      </c>
      <c r="L554" s="103" t="str">
        <f t="shared" si="98"/>
        <v/>
      </c>
      <c r="N554" s="103">
        <v>553</v>
      </c>
      <c r="O554" s="103" t="str">
        <f>IF('Customer Base'!$I$15="MANUAL",IF(B554&lt;&gt;"",C554,""),IF('Customer Base'!$I$15="AUTOMATE",IF(A554&lt;&gt;"",C554,""),""))</f>
        <v/>
      </c>
      <c r="AO554" s="103">
        <f>IF('Customer Base'!$I$15="MANUAL",IFERROR(AM554*B554,""),IF('Customer Base'!$I$15="AUTOMATE",IFERROR(AM554*A554,""),""))</f>
        <v>0</v>
      </c>
      <c r="AV554" s="103">
        <f t="shared" si="102"/>
        <v>0</v>
      </c>
    </row>
    <row r="555" spans="1:48">
      <c r="C555" s="250" t="s">
        <v>1594</v>
      </c>
      <c r="D555" s="321">
        <f>'Customer Base'!J9/35</f>
        <v>0.69142857142857139</v>
      </c>
      <c r="E555" s="321">
        <f>'Customer Base'!J9/35</f>
        <v>0.69142857142857139</v>
      </c>
      <c r="F555" s="249">
        <f t="shared" ref="F555" si="103">$D555/1.219</f>
        <v>0.5672096566272119</v>
      </c>
      <c r="G555" s="249">
        <f>IFERROR(ROUNDUP(F555*'Customer Base'!$J$5,2),0)</f>
        <v>9.08</v>
      </c>
      <c r="H555" s="249">
        <f t="shared" ref="H555" si="104">$E555/1.219</f>
        <v>0.5672096566272119</v>
      </c>
      <c r="I555" s="249">
        <f>IFERROR(ROUNDUP(H555*'Customer Base'!$J$5,2),0)</f>
        <v>9.08</v>
      </c>
      <c r="J555" s="103" t="str">
        <f t="shared" si="97"/>
        <v/>
      </c>
      <c r="L555" s="103" t="str">
        <f t="shared" si="98"/>
        <v/>
      </c>
      <c r="N555" s="103">
        <v>554</v>
      </c>
      <c r="O555" s="103" t="str">
        <f>IF('Customer Base'!$I$15="MANUAL",IF(B555&lt;&gt;"",C555,""),IF('Customer Base'!$I$15="AUTOMATE",IF(A555&lt;&gt;"",C555,""),""))</f>
        <v/>
      </c>
      <c r="AO555" s="103">
        <f>IF('Customer Base'!$I$15="MANUAL",IFERROR(AM555*B555,""),IF('Customer Base'!$I$15="AUTOMATE",IFERROR(AM555*A555,""),""))</f>
        <v>0</v>
      </c>
      <c r="AV555" s="103">
        <f t="shared" si="102"/>
        <v>0</v>
      </c>
    </row>
    <row r="556" spans="1:48">
      <c r="A556" s="103" t="str">
        <f>IF(INVOICE!C13="Accra",IF(SUM(A1:A555)&gt;0,1,""),"")</f>
        <v/>
      </c>
      <c r="B556" s="270" t="s">
        <v>1</v>
      </c>
      <c r="C556" s="250" t="s">
        <v>1070</v>
      </c>
      <c r="D556" s="321" t="str">
        <f>IF(F556="",IF(G556&lt;&gt;"",ROUNDUP(G556*1.219/'Customer Base'!$J$5,1),""),ROUNDUP(F556*1.219,1))</f>
        <v/>
      </c>
      <c r="E556" s="321" t="str">
        <f>IF(H556="",IF(I556&lt;&gt;"",ROUNDUP(I556*1.219/'Customer Base'!$J$5,1),""),ROUNDUP(H556*1.219,1))</f>
        <v/>
      </c>
      <c r="F556" s="249" t="str">
        <f>IF('Customer Base'!$I$15="MANUAL",IF($B556="","",IF(AND(INVOICE!$K$14="USD",'Customer Base'!$I$17="Retail"),ROUNDUP(3.5%*(SUMPRODUCT($B$1:$B$160,F$1:F$160)+SUMPRODUCT($B$242:$B$548,F$242:F$548)+F$551),0),"")),IF('Customer Base'!$I$15="AUTOMATE",IF($A556="","",IF(AND(INVOICE!$K$14="USD",'Customer Base'!$I$17="Retail"),ROUNDUP(3.5%*(SUMPRODUCT($A$1:$A$160,F$1:F$160)+SUMPRODUCT($A$242:$A$548,F$242:F$548)+F$551),0),"")),""))</f>
        <v/>
      </c>
      <c r="G556" s="249" t="str">
        <f>IF('Customer Base'!$I$15="MANUAL",IF($B556="","",IF(AND(INVOICE!$K$14="GH₵",'Customer Base'!$I$17="Retail"),ROUNDUP(3.5%*(SUMPRODUCT($B$1:$B$160,G$1:G$160)+SUMPRODUCT($B$242:$B$548,G$242:G$548)+G$551),-1),"")),IF('Customer Base'!$I$15="AUTOMATE",IF($A556="","",IF(AND(INVOICE!$K$14="GH₵",'Customer Base'!$I$17="Retail"),ROUNDUP(3.5%*(SUMPRODUCT($A$1:$A$160,G$1:G$160)+SUMPRODUCT($A$242:$A$548,G$242:G$548)+G$551),-1),"")),""))</f>
        <v/>
      </c>
      <c r="H556" s="249" t="str">
        <f>IF('Customer Base'!$I$15="MANUAL",IF($B556="","",IF(AND(INVOICE!$K$14="USD",'Customer Base'!$I$17="Super Dealer"),ROUNDUP(3.5%*(SUMPRODUCT($B$1:$B$160,H$1:H$160)+SUMPRODUCT($B$242:$B$548,H$242:H$548)+H$551),0),"")),IF('Customer Base'!$I$15="AUTOMATE",IF($A556="","",IF(AND(INVOICE!$K$14="USD",'Customer Base'!$I$17="Super Dealer"),ROUNDUP(3.5%*(SUMPRODUCT($A$1:$A$160,H$1:H$160)+SUMPRODUCT($A$242:$A$548,H$242:H$548)+H$551),0),"")),""))</f>
        <v/>
      </c>
      <c r="I556" s="249" t="str">
        <f>IF('Customer Base'!$I$15="MANUAL",IF($B556="","",IF(AND(INVOICE!$K$14="GH₵",'Customer Base'!$I$17="Super Dealer"),ROUNDUP(3.5%*(SUMPRODUCT($B$1:$B$160,I$1:I$160)+SUMPRODUCT($B$242:$B$548,I$242:I$548)+I$551),-1),"")),IF('Customer Base'!$I$15="AUTOMATE",IF($A556="","",IF(AND(INVOICE!$K$14="GH₵",'Customer Base'!$I$17="Super Dealer"),ROUNDUP(3.5%*(SUMPRODUCT($A$1:$A$160,I$1:I$160)+SUMPRODUCT($A$242:$A$548,I$242:I$548)+I$551),-1),"")),""))</f>
        <v/>
      </c>
      <c r="J556" s="103" t="str">
        <f t="shared" si="97"/>
        <v/>
      </c>
      <c r="L556" s="103" t="str">
        <f t="shared" si="98"/>
        <v/>
      </c>
      <c r="N556" s="103">
        <v>555</v>
      </c>
      <c r="O556" s="103" t="str">
        <f>IF('Customer Base'!$I$15="MANUAL",IF(B556&lt;&gt;"",C556,""),IF('Customer Base'!$I$15="AUTOMATE",IF(A556&lt;&gt;"",C556,""),""))</f>
        <v/>
      </c>
      <c r="AO556" s="103" t="str">
        <f>IF('Customer Base'!$I$15="MANUAL",IFERROR(AM556*B556,""),IF('Customer Base'!$I$15="AUTOMATE",IFERROR(AM556*A556,""),""))</f>
        <v/>
      </c>
      <c r="AV556" s="103">
        <f t="shared" si="102"/>
        <v>0</v>
      </c>
    </row>
    <row r="557" spans="1:48">
      <c r="A557" s="103">
        <f ca="1">IF(INVOICE!C13&lt;&gt;"Accra",IF(SUM(A1:A550)&gt;0,1,""),"")</f>
        <v>1</v>
      </c>
      <c r="B557" s="270">
        <v>1</v>
      </c>
      <c r="C557" s="250" t="s">
        <v>1676</v>
      </c>
      <c r="D557" s="321">
        <f ca="1">IF(F557="",IF(G557&lt;&gt;"",ROUNDUP(G557*1.219/'Customer Base'!$J$5,1),""),ROUNDUP(F557*1.219,1))</f>
        <v>405.40000000000003</v>
      </c>
      <c r="E557" s="321" t="str">
        <f ca="1">IF(H557="",IF(I557&lt;&gt;"",ROUNDUP(I557*1.219/'Customer Base'!$J$5,1),""),ROUNDUP(H557*1.219,1))</f>
        <v/>
      </c>
      <c r="F557" s="249" t="str">
        <f ca="1">IFERROR(IF('Customer Base'!$I$15="MANUAL",IF($B557="","",IF(AND(INVOICE!$K$14="USD",'Customer Base'!$I$17="Retail"),ROUNDUP(3.5%*(SUMPRODUCT($B$1:$B$160,F$1:F$160)+SUMPRODUCT($B$242:$B$548,F$242:F$548))+F553,0),"")),IF('Customer Base'!$I$15="AUTOMATE",IF($A557="","",IF(AND(INVOICE!$K$14="USD",'Customer Base'!$I$17="Retail"),ROUNDUP(3.5%*(SUMPRODUCT($A$1:$A$160,F$1:F$160)+SUMPRODUCT($A$242:$A$548,F$242:F$548))+F553,0),"")),"")),"")</f>
        <v/>
      </c>
      <c r="G557" s="249">
        <f ca="1">IFERROR(IF('Customer Base'!$I$15="MANUAL",IF($B557="","",IF(AND(INVOICE!$K$14="GH₵",'Customer Base'!$I$17="Retail"),ROUNDUP(3.5%*(SUMPRODUCT($B$1:$B$160,G$1:G$160)+SUMPRODUCT($B$242:$B$548,G$242:G$548))+G553,-1),"")),IF('Customer Base'!$I$15="AUTOMATE",IF($A557="","",IF(AND(INVOICE!$K$14="GH₵",'Customer Base'!$I$17="Retail"),ROUNDUP(3.5%*(SUMPRODUCT($A$1:$A$160,G$1:G$160)+SUMPRODUCT($A$242:$A$548,G$242:G$548))+G553,-1),"")),"")),"")</f>
        <v>5320</v>
      </c>
      <c r="H557" s="249" t="str">
        <f ca="1">IFERROR(IF('Customer Base'!$I$15="MANUAL",IF($B557="","",IF(AND(INVOICE!$K$14="USD",'Customer Base'!$I$17="Super Dealer"),ROUNDUP(3.5%*(SUMPRODUCT($B$1:$B$160,H$1:H$160)+SUMPRODUCT($B$242:$B$548,H$242:H$548))+H553,0),"")),IF('Customer Base'!$I$15="AUTOMATE",IF($A557="","",IF(AND(INVOICE!$K$14="USD",'Customer Base'!$I$17="Super Dealer"),ROUNDUP(3.5%*(SUMPRODUCT($A$1:$A$160,H$1:H$160)+SUMPRODUCT($A$242:$A$548,H$242:H$548))+H553,0),"")),"")),"")</f>
        <v/>
      </c>
      <c r="I557" s="249" t="str">
        <f ca="1">IFERROR(IF('Customer Base'!$I$15="MANUAL",IF($B557="","",IF(AND(INVOICE!$K$14="GH₵",'Customer Base'!$I$17="Super Dealer"),ROUNDUP(3.5%*(SUMPRODUCT($B$1:$B$160,I$1:I$160)+SUMPRODUCT($B$242:$B$548,I$242:I$548))+I553,-1),"")),IF('Customer Base'!$I$15="AUTOMATE",IF($A557="","",IF(AND(INVOICE!$K$14="GH₵",'Customer Base'!$I$17="Super Dealer"),ROUNDUP(3.5%*(SUMPRODUCT($A$1:$A$160,I$1:I$160)+SUMPRODUCT($A$242:$A$548,I$242:I$548))+I553,-1),"")),"")),"")</f>
        <v/>
      </c>
      <c r="J557" s="103" t="str">
        <f t="shared" ca="1" si="97"/>
        <v>lkdfjk</v>
      </c>
      <c r="L557" s="103" t="str">
        <f t="shared" ca="1" si="98"/>
        <v/>
      </c>
      <c r="N557" s="103">
        <v>556</v>
      </c>
      <c r="O557" s="103" t="str">
        <f ca="1">IF('Customer Base'!$I$15="MANUAL",IF(B557&lt;&gt;"",C557,""),IF('Customer Base'!$I$15="AUTOMATE",IF(A557&lt;&gt;"",C557,""),""))</f>
        <v>Engineering and Installation Works</v>
      </c>
      <c r="AO557" s="103">
        <f ca="1">IF('Customer Base'!$I$15="MANUAL",IFERROR(AM557*B557,""),IF('Customer Base'!$I$15="AUTOMATE",IFERROR(AM557*A557,""),""))</f>
        <v>0</v>
      </c>
      <c r="AV557" s="103">
        <f t="shared" si="102"/>
        <v>0</v>
      </c>
    </row>
    <row r="558" spans="1:48">
      <c r="C558" s="250" t="s">
        <v>1526</v>
      </c>
      <c r="D558" s="321" t="str">
        <f>IF(F558="",IF(G558&lt;&gt;"",ROUNDUP(G558*1.219/'Customer Base'!$J$5,1),""),ROUNDUP(F558*1.219,1))</f>
        <v/>
      </c>
      <c r="E558" s="321" t="str">
        <f>IF(H558="",IF(I558&lt;&gt;"",ROUNDUP(I558*1.219/'Customer Base'!$J$5,1),""),ROUNDUP(H558*1.219,1))</f>
        <v/>
      </c>
      <c r="F558" s="249" t="str">
        <f>IF($B558="","",IF(AND(INVOICE!$K$14="USD",'Customer Base'!$I$17="Retail"),ROUNDUP(3.5%*SUMPRODUCT($B$1:$B$548,F$1:F$548),-1),""))</f>
        <v/>
      </c>
      <c r="G558" s="249" t="str">
        <f>IF($B558="","",IF(AND(INVOICE!$K$14="GH₵",'Customer Base'!$I$17="Retail"),ROUNDUP(3.5%*SUMPRODUCT($B$1:$B$548,G$1:G$548),-1),""))</f>
        <v/>
      </c>
      <c r="H558" s="249" t="str">
        <f>IF($B558="","",IF(AND(INVOICE!$K$14="USD",'Customer Base'!$I$17="Super Dealer"),ROUNDUP(3.5%*SUMPRODUCT($B$1:$B$548,H$1:H$548),-1),""))</f>
        <v/>
      </c>
      <c r="I558" s="249" t="str">
        <f>IF($B558="","",IF(AND(INVOICE!$K$14="GH₵",'Customer Base'!$I$17="Super Dealer"),ROUNDUP(3.5%*SUMPRODUCT($B$1:$B$548,I$1:I$548),-1),""))</f>
        <v/>
      </c>
      <c r="J558" s="103" t="str">
        <f t="shared" si="97"/>
        <v/>
      </c>
      <c r="L558" s="103" t="str">
        <f t="shared" si="98"/>
        <v/>
      </c>
      <c r="N558" s="103">
        <v>557</v>
      </c>
      <c r="O558" s="103" t="str">
        <f>IF('Customer Base'!$I$15="MANUAL",IF(B558&lt;&gt;"",C558,""),IF('Customer Base'!$I$15="AUTOMATE",IF(A558&lt;&gt;"",C558,""),""))</f>
        <v/>
      </c>
      <c r="AO558" s="103">
        <f>IF('Customer Base'!$I$15="MANUAL",IFERROR(AM558*B558,""),IF('Customer Base'!$I$15="AUTOMATE",IFERROR(AM558*A558,""),""))</f>
        <v>0</v>
      </c>
      <c r="AV558" s="103">
        <f t="shared" si="102"/>
        <v>0</v>
      </c>
    </row>
    <row r="559" spans="1:48">
      <c r="D559" s="319"/>
      <c r="E559" s="319"/>
      <c r="G559" s="224">
        <f>IFERROR(ROUNDUP(F559*'Customer Base'!$J$5,2),0)</f>
        <v>0</v>
      </c>
      <c r="I559" s="224">
        <f>IFERROR(ROUNDUP(H559*'Customer Base'!$J$5,2),0)</f>
        <v>0</v>
      </c>
      <c r="J559" s="103" t="str">
        <f t="shared" si="97"/>
        <v/>
      </c>
      <c r="L559" s="103" t="str">
        <f t="shared" si="98"/>
        <v/>
      </c>
      <c r="N559" s="103">
        <v>558</v>
      </c>
      <c r="O559" s="103" t="str">
        <f>IF('Customer Base'!$I$15="MANUAL",IF(B559&lt;&gt;"",C559,""),IF('Customer Base'!$I$15="AUTOMATE",IF(A559&lt;&gt;"",C559,""),""))</f>
        <v/>
      </c>
      <c r="AO559" s="103">
        <f>IF('Customer Base'!$I$15="MANUAL",IFERROR(AM559*B559,""),IF('Customer Base'!$I$15="AUTOMATE",IFERROR(AM559*A559,""),""))</f>
        <v>0</v>
      </c>
      <c r="AV559" s="103">
        <f t="shared" si="102"/>
        <v>0</v>
      </c>
    </row>
    <row r="560" spans="1:48">
      <c r="C560" s="232" t="s">
        <v>1738</v>
      </c>
      <c r="D560" s="320"/>
      <c r="E560" s="320"/>
      <c r="F560" s="234"/>
      <c r="G560" s="234"/>
      <c r="H560" s="234"/>
      <c r="I560" s="234"/>
      <c r="J560" s="103" t="str">
        <f t="shared" si="97"/>
        <v/>
      </c>
      <c r="L560" s="103" t="str">
        <f t="shared" si="98"/>
        <v/>
      </c>
      <c r="N560" s="103">
        <v>559</v>
      </c>
      <c r="O560" s="103" t="str">
        <f>IF('Customer Base'!$I$15="MANUAL",IF(B560&lt;&gt;"",C560,""),IF('Customer Base'!$I$15="AUTOMATE",IF(A560&lt;&gt;"",C560,""),""))</f>
        <v/>
      </c>
      <c r="AO560" s="103">
        <f>IF('Customer Base'!$I$15="MANUAL",IFERROR(AM560*B560,""),IF('Customer Base'!$I$15="AUTOMATE",IFERROR(AM560*A560,""),""))</f>
        <v>0</v>
      </c>
      <c r="AV560" s="103">
        <f t="shared" si="102"/>
        <v>0</v>
      </c>
    </row>
    <row r="561" spans="1:48">
      <c r="A561" s="103" t="str">
        <f>IF('Customer Base'!J$2&lt;&gt;"",1,"")</f>
        <v/>
      </c>
      <c r="B561" s="270" t="s">
        <v>1</v>
      </c>
      <c r="C561" s="346" t="s">
        <v>1148</v>
      </c>
      <c r="D561" s="347">
        <f>-1*IF('Customer Base'!$J$2="",'Customer Base'!$L$2,'Customer Base'!$J$2%*IF('Customer Base'!$I$15="MANUAL",SUMPRODUCT($B5:$B559,D5:D559),IF('Customer Base'!$I$15="AUTOMATE",SUMPRODUCT($A5:$A559,D5:D559),0)))</f>
        <v>0</v>
      </c>
      <c r="E561" s="347">
        <f>-1*IF('Customer Base'!$J$2="",'Customer Base'!$L$2,'Customer Base'!$J$2%*IF('Customer Base'!$I$15="MANUAL",SUMPRODUCT($B5:$B559,E5:E559),IF('Customer Base'!$I$15="AUTOMATE",SUMPRODUCT($A5:$A559,E5:E559),0)))</f>
        <v>0</v>
      </c>
      <c r="F561" s="347">
        <f>-1*IF('Customer Base'!$J$2="",'Customer Base'!$L$2,'Customer Base'!$J$2%*IF('Customer Base'!$I$15="MANUAL",SUMPRODUCT($B5:$B559,F5:F559),IF('Customer Base'!$I$15="AUTOMATE",SUMPRODUCT($A5:$A559,F5:F559),0)))</f>
        <v>0</v>
      </c>
      <c r="G561" s="347">
        <f>-1*IF('Customer Base'!$J$2="",'Customer Base'!$L$2,'Customer Base'!$J$2%*IF('Customer Base'!$I$15="MANUAL",SUMPRODUCT($B5:$B559,G5:G559),IF('Customer Base'!$I$15="AUTOMATE",SUMPRODUCT($A5:$A559,G5:G559),0)))</f>
        <v>0</v>
      </c>
      <c r="H561" s="347">
        <f>-1*IF('Customer Base'!$J$2="",'Customer Base'!$L$2,'Customer Base'!$J$2%*IF('Customer Base'!$I$15="MANUAL",SUMPRODUCT($B5:$B559,H5:H559),IF('Customer Base'!$I$15="AUTOMATE",SUMPRODUCT($A5:$A559,H5:H559),0)))</f>
        <v>0</v>
      </c>
      <c r="I561" s="347">
        <f>-1*IF('Customer Base'!$J$2="",'Customer Base'!$L$2,'Customer Base'!$J$2%*IF('Customer Base'!$I$15="MANUAL",SUMPRODUCT($B5:$B559,I5:I559),IF('Customer Base'!$I$15="AUTOMATE",SUMPRODUCT($A5:$A559,I5:I559),0)))</f>
        <v>0</v>
      </c>
      <c r="L561" s="103" t="str">
        <f t="shared" si="98"/>
        <v/>
      </c>
      <c r="N561" s="103">
        <v>560</v>
      </c>
      <c r="O561" s="103" t="str">
        <f>IF('Customer Base'!$I$15="MANUAL",IF(B561&lt;&gt;"",C561,""),IF('Customer Base'!$I$15="AUTOMATE",IF(A561&lt;&gt;"",C561,""),""))</f>
        <v/>
      </c>
      <c r="AO561" s="103" t="str">
        <f>IF('Customer Base'!$I$15="MANUAL",IFERROR(AM561*B561,""),IF('Customer Base'!$I$15="AUTOMATE",IFERROR(AM561*A561,""),""))</f>
        <v/>
      </c>
      <c r="AV561" s="103">
        <f t="shared" si="102"/>
        <v>0</v>
      </c>
    </row>
    <row r="562" spans="1:48">
      <c r="E562" s="224">
        <f t="shared" ref="E562:E625" si="105">H562/1.219</f>
        <v>0</v>
      </c>
      <c r="G562" s="224">
        <f>IFERROR(ROUNDUP(F562*'Customer Base'!$J$5,2),0)</f>
        <v>0</v>
      </c>
      <c r="I562" s="224">
        <f>IFERROR(ROUNDUP(H562*'Customer Base'!$J$5,2),0)</f>
        <v>0</v>
      </c>
      <c r="L562" s="103" t="str">
        <f t="shared" si="98"/>
        <v/>
      </c>
      <c r="N562" s="103">
        <v>561</v>
      </c>
      <c r="O562" s="103" t="str">
        <f>IF('Customer Base'!$I$15="MANUAL",IF(B562&lt;&gt;"",C562,""),IF('Customer Base'!$I$15="AUTOMATE",IF(A562&lt;&gt;"",C562,""),""))</f>
        <v/>
      </c>
    </row>
    <row r="563" spans="1:48">
      <c r="E563" s="224">
        <f t="shared" si="105"/>
        <v>0</v>
      </c>
      <c r="G563" s="224">
        <f>IFERROR(ROUNDUP(F563*'Customer Base'!$J$5,2),0)</f>
        <v>0</v>
      </c>
      <c r="I563" s="224">
        <f>IFERROR(ROUNDUP(H563*'Customer Base'!$J$5,2),0)</f>
        <v>0</v>
      </c>
      <c r="L563" s="103" t="str">
        <f t="shared" si="98"/>
        <v/>
      </c>
      <c r="N563" s="103">
        <v>562</v>
      </c>
      <c r="O563" s="103" t="str">
        <f>IF('Customer Base'!$I$15="MANUAL",IF(B563&lt;&gt;"",C563,""),IF('Customer Base'!$I$15="AUTOMATE",IF(A563&lt;&gt;"",C563,""),""))</f>
        <v/>
      </c>
    </row>
    <row r="564" spans="1:48">
      <c r="E564" s="224">
        <f t="shared" si="105"/>
        <v>0</v>
      </c>
      <c r="G564" s="224">
        <f>IFERROR(ROUNDUP(F564*'Customer Base'!$J$5,2),0)</f>
        <v>0</v>
      </c>
      <c r="I564" s="224">
        <f>IFERROR(ROUNDUP(H564*'Customer Base'!$J$5,2),0)</f>
        <v>0</v>
      </c>
      <c r="L564" s="103" t="str">
        <f t="shared" si="98"/>
        <v/>
      </c>
      <c r="N564" s="103">
        <v>563</v>
      </c>
      <c r="O564" s="103" t="str">
        <f>IF('Customer Base'!$I$15="MANUAL",IF(B564&lt;&gt;"",C564,""),IF('Customer Base'!$I$15="AUTOMATE",IF(A564&lt;&gt;"",C564,""),""))</f>
        <v/>
      </c>
    </row>
    <row r="565" spans="1:48">
      <c r="E565" s="224">
        <f t="shared" si="105"/>
        <v>0</v>
      </c>
      <c r="G565" s="224">
        <f>IFERROR(ROUNDUP(F565*'Customer Base'!$J$5,2),0)</f>
        <v>0</v>
      </c>
      <c r="I565" s="224">
        <f>IFERROR(ROUNDUP(H565*'Customer Base'!$J$5,2),0)</f>
        <v>0</v>
      </c>
      <c r="L565" s="103" t="str">
        <f t="shared" si="98"/>
        <v/>
      </c>
      <c r="N565" s="103">
        <v>564</v>
      </c>
      <c r="O565" s="103" t="str">
        <f>IF('Customer Base'!$I$15="MANUAL",IF(B565&lt;&gt;"",C565,""),IF('Customer Base'!$I$15="AUTOMATE",IF(A565&lt;&gt;"",C565,""),""))</f>
        <v/>
      </c>
    </row>
    <row r="566" spans="1:48">
      <c r="E566" s="224">
        <f t="shared" si="105"/>
        <v>0</v>
      </c>
      <c r="G566" s="224">
        <f>IFERROR(ROUNDUP(F566*'Customer Base'!$J$5,2),0)</f>
        <v>0</v>
      </c>
      <c r="I566" s="224">
        <f>IFERROR(ROUNDUP(H566*'Customer Base'!$J$5,2),0)</f>
        <v>0</v>
      </c>
      <c r="L566" s="103" t="str">
        <f t="shared" si="98"/>
        <v/>
      </c>
      <c r="N566" s="103">
        <v>565</v>
      </c>
      <c r="O566" s="103" t="str">
        <f>IF('Customer Base'!$I$15="MANUAL",IF(B566&lt;&gt;"",C566,""),IF('Customer Base'!$I$15="AUTOMATE",IF(A566&lt;&gt;"",C566,""),""))</f>
        <v/>
      </c>
    </row>
    <row r="567" spans="1:48">
      <c r="E567" s="224">
        <f t="shared" si="105"/>
        <v>0</v>
      </c>
      <c r="G567" s="224">
        <f>IFERROR(ROUNDUP(F567*'Customer Base'!$J$5,2),0)</f>
        <v>0</v>
      </c>
      <c r="I567" s="224">
        <f>IFERROR(ROUNDUP(H567*'Customer Base'!$J$5,2),0)</f>
        <v>0</v>
      </c>
      <c r="L567" s="103" t="str">
        <f t="shared" si="98"/>
        <v/>
      </c>
      <c r="N567" s="103">
        <v>566</v>
      </c>
      <c r="O567" s="103" t="str">
        <f>IF('Customer Base'!$I$15="MANUAL",IF(B567&lt;&gt;"",C567,""),IF('Customer Base'!$I$15="AUTOMATE",IF(A567&lt;&gt;"",C567,""),""))</f>
        <v/>
      </c>
    </row>
    <row r="568" spans="1:48">
      <c r="E568" s="224">
        <f t="shared" si="105"/>
        <v>0</v>
      </c>
      <c r="G568" s="224">
        <f>IFERROR(ROUNDUP(F568*'Customer Base'!$J$5,2),0)</f>
        <v>0</v>
      </c>
      <c r="I568" s="224">
        <f>IFERROR(ROUNDUP(H568*'Customer Base'!$J$5,2),0)</f>
        <v>0</v>
      </c>
      <c r="L568" s="103" t="str">
        <f t="shared" si="98"/>
        <v/>
      </c>
      <c r="N568" s="103">
        <v>567</v>
      </c>
      <c r="O568" s="103" t="str">
        <f>IF('Customer Base'!$I$15="MANUAL",IF(B568&lt;&gt;"",C568,""),IF('Customer Base'!$I$15="AUTOMATE",IF(A568&lt;&gt;"",C568,""),""))</f>
        <v/>
      </c>
    </row>
    <row r="569" spans="1:48">
      <c r="E569" s="224">
        <f t="shared" si="105"/>
        <v>0</v>
      </c>
      <c r="G569" s="224">
        <f>IFERROR(ROUNDUP(F569*'Customer Base'!$J$5,2),0)</f>
        <v>0</v>
      </c>
      <c r="I569" s="224">
        <f>IFERROR(ROUNDUP(H569*'Customer Base'!$J$5,2),0)</f>
        <v>0</v>
      </c>
      <c r="L569" s="103" t="str">
        <f t="shared" si="98"/>
        <v/>
      </c>
      <c r="N569" s="103">
        <v>568</v>
      </c>
      <c r="O569" s="103" t="str">
        <f>IF('Customer Base'!$I$15="MANUAL",IF(B569&lt;&gt;"",C569,""),IF('Customer Base'!$I$15="AUTOMATE",IF(A569&lt;&gt;"",C569,""),""))</f>
        <v/>
      </c>
    </row>
    <row r="570" spans="1:48">
      <c r="E570" s="224">
        <f t="shared" si="105"/>
        <v>0</v>
      </c>
      <c r="G570" s="224">
        <f>IFERROR(ROUNDUP(F570*'Customer Base'!$J$5,2),0)</f>
        <v>0</v>
      </c>
      <c r="I570" s="224">
        <f>IFERROR(ROUNDUP(H570*'Customer Base'!$J$5,2),0)</f>
        <v>0</v>
      </c>
      <c r="L570" s="103" t="str">
        <f t="shared" si="98"/>
        <v/>
      </c>
      <c r="N570" s="103">
        <v>569</v>
      </c>
      <c r="O570" s="103" t="str">
        <f>IF('Customer Base'!$I$15="MANUAL",IF(B570&lt;&gt;"",C570,""),IF('Customer Base'!$I$15="AUTOMATE",IF(A570&lt;&gt;"",C570,""),""))</f>
        <v/>
      </c>
    </row>
    <row r="571" spans="1:48">
      <c r="E571" s="224">
        <f t="shared" si="105"/>
        <v>0</v>
      </c>
      <c r="G571" s="224">
        <f>IFERROR(ROUNDUP(F571*'Customer Base'!$J$5,2),0)</f>
        <v>0</v>
      </c>
      <c r="I571" s="224">
        <f>IFERROR(ROUNDUP(H571*'Customer Base'!$J$5,2),0)</f>
        <v>0</v>
      </c>
      <c r="L571" s="103" t="str">
        <f t="shared" si="98"/>
        <v/>
      </c>
      <c r="N571" s="103">
        <v>570</v>
      </c>
      <c r="O571" s="103" t="str">
        <f>IF('Customer Base'!$I$15="MANUAL",IF(B571&lt;&gt;"",C571,""),IF('Customer Base'!$I$15="AUTOMATE",IF(A571&lt;&gt;"",C571,""),""))</f>
        <v/>
      </c>
    </row>
    <row r="572" spans="1:48">
      <c r="E572" s="224">
        <f t="shared" si="105"/>
        <v>0</v>
      </c>
      <c r="G572" s="224">
        <f>IFERROR(ROUNDUP(F572*'Customer Base'!$J$5,2),0)</f>
        <v>0</v>
      </c>
      <c r="I572" s="224">
        <f>IFERROR(ROUNDUP(H572*'Customer Base'!$J$5,2),0)</f>
        <v>0</v>
      </c>
      <c r="L572" s="103" t="str">
        <f t="shared" si="98"/>
        <v/>
      </c>
      <c r="N572" s="103">
        <v>571</v>
      </c>
      <c r="O572" s="103" t="str">
        <f>IF('Customer Base'!$I$15="MANUAL",IF(B572&lt;&gt;"",C572,""),IF('Customer Base'!$I$15="AUTOMATE",IF(A572&lt;&gt;"",C572,""),""))</f>
        <v/>
      </c>
    </row>
    <row r="573" spans="1:48">
      <c r="E573" s="224">
        <f t="shared" si="105"/>
        <v>0</v>
      </c>
      <c r="G573" s="224">
        <f>IFERROR(ROUNDUP(F573*'Customer Base'!$J$5,2),0)</f>
        <v>0</v>
      </c>
      <c r="I573" s="224">
        <f>IFERROR(ROUNDUP(H573*'Customer Base'!$J$5,2),0)</f>
        <v>0</v>
      </c>
      <c r="L573" s="103" t="str">
        <f t="shared" si="98"/>
        <v/>
      </c>
      <c r="N573" s="103">
        <v>572</v>
      </c>
      <c r="O573" s="103" t="str">
        <f>IF('Customer Base'!$I$15="MANUAL",IF(B573&lt;&gt;"",C573,""),IF('Customer Base'!$I$15="AUTOMATE",IF(A573&lt;&gt;"",C573,""),""))</f>
        <v/>
      </c>
    </row>
    <row r="574" spans="1:48">
      <c r="E574" s="224">
        <f t="shared" si="105"/>
        <v>0</v>
      </c>
      <c r="G574" s="224">
        <f>IFERROR(ROUNDUP(F574*'Customer Base'!$J$5,2),0)</f>
        <v>0</v>
      </c>
      <c r="I574" s="224">
        <f>IFERROR(ROUNDUP(H574*'Customer Base'!$J$5,2),0)</f>
        <v>0</v>
      </c>
      <c r="L574" s="103" t="str">
        <f t="shared" si="98"/>
        <v/>
      </c>
      <c r="N574" s="103">
        <v>573</v>
      </c>
      <c r="O574" s="103" t="str">
        <f>IF('Customer Base'!$I$15="MANUAL",IF(B574&lt;&gt;"",C574,""),IF('Customer Base'!$I$15="AUTOMATE",IF(A574&lt;&gt;"",C574,""),""))</f>
        <v/>
      </c>
    </row>
    <row r="575" spans="1:48">
      <c r="E575" s="224">
        <f t="shared" si="105"/>
        <v>0</v>
      </c>
      <c r="G575" s="224">
        <f>IFERROR(ROUNDUP(F575*'Customer Base'!$J$5,2),0)</f>
        <v>0</v>
      </c>
      <c r="I575" s="224">
        <f>IFERROR(ROUNDUP(H575*'Customer Base'!$J$5,2),0)</f>
        <v>0</v>
      </c>
      <c r="L575" s="103" t="str">
        <f t="shared" si="98"/>
        <v/>
      </c>
      <c r="N575" s="103">
        <v>574</v>
      </c>
      <c r="O575" s="103" t="str">
        <f>IF('Customer Base'!$I$15="MANUAL",IF(B575&lt;&gt;"",C575,""),IF('Customer Base'!$I$15="AUTOMATE",IF(A575&lt;&gt;"",C575,""),""))</f>
        <v/>
      </c>
    </row>
    <row r="576" spans="1:48">
      <c r="E576" s="224">
        <f t="shared" si="105"/>
        <v>0</v>
      </c>
      <c r="G576" s="224">
        <f>IFERROR(ROUNDUP(F576*'Customer Base'!$J$5,2),0)</f>
        <v>0</v>
      </c>
      <c r="I576" s="224">
        <f>IFERROR(ROUNDUP(H576*'Customer Base'!$J$5,2),0)</f>
        <v>0</v>
      </c>
      <c r="L576" s="103" t="str">
        <f t="shared" si="98"/>
        <v/>
      </c>
      <c r="N576" s="103">
        <v>575</v>
      </c>
      <c r="O576" s="103" t="str">
        <f>IF('Customer Base'!$I$15="MANUAL",IF(B576&lt;&gt;"",C576,""),IF('Customer Base'!$I$15="AUTOMATE",IF(A576&lt;&gt;"",C576,""),""))</f>
        <v/>
      </c>
    </row>
    <row r="577" spans="5:15">
      <c r="E577" s="224">
        <f t="shared" si="105"/>
        <v>0</v>
      </c>
      <c r="G577" s="224">
        <f>IFERROR(ROUNDUP(F577*'Customer Base'!$J$5,2),0)</f>
        <v>0</v>
      </c>
      <c r="I577" s="224">
        <f>IFERROR(ROUNDUP(H577*'Customer Base'!$J$5,2),0)</f>
        <v>0</v>
      </c>
      <c r="L577" s="103" t="str">
        <f t="shared" si="98"/>
        <v/>
      </c>
      <c r="N577" s="103">
        <v>576</v>
      </c>
      <c r="O577" s="103" t="str">
        <f>IF('Customer Base'!$I$15="MANUAL",IF(B577&lt;&gt;"",C577,""),IF('Customer Base'!$I$15="AUTOMATE",IF(A577&lt;&gt;"",C577,""),""))</f>
        <v/>
      </c>
    </row>
    <row r="578" spans="5:15">
      <c r="E578" s="224">
        <f t="shared" si="105"/>
        <v>0</v>
      </c>
      <c r="G578" s="224">
        <f>IFERROR(ROUNDUP(F578*'Customer Base'!$J$5,2),0)</f>
        <v>0</v>
      </c>
      <c r="I578" s="224">
        <f>IFERROR(ROUNDUP(H578*'Customer Base'!$J$5,2),0)</f>
        <v>0</v>
      </c>
      <c r="L578" s="103" t="str">
        <f t="shared" si="98"/>
        <v/>
      </c>
      <c r="N578" s="103">
        <v>577</v>
      </c>
      <c r="O578" s="103" t="str">
        <f>IF('Customer Base'!$I$15="MANUAL",IF(B578&lt;&gt;"",C578,""),IF('Customer Base'!$I$15="AUTOMATE",IF(A578&lt;&gt;"",C578,""),""))</f>
        <v/>
      </c>
    </row>
    <row r="579" spans="5:15">
      <c r="E579" s="224">
        <f t="shared" si="105"/>
        <v>0</v>
      </c>
      <c r="G579" s="224">
        <f>IFERROR(ROUNDUP(F579*'Customer Base'!$J$5,2),0)</f>
        <v>0</v>
      </c>
      <c r="I579" s="224">
        <f>IFERROR(ROUNDUP(H579*'Customer Base'!$J$5,2),0)</f>
        <v>0</v>
      </c>
      <c r="L579" s="103" t="str">
        <f t="shared" si="98"/>
        <v/>
      </c>
      <c r="N579" s="103">
        <v>578</v>
      </c>
      <c r="O579" s="103" t="str">
        <f>IF('Customer Base'!$I$15="MANUAL",IF(B579&lt;&gt;"",C579,""),IF('Customer Base'!$I$15="AUTOMATE",IF(A579&lt;&gt;"",C579,""),""))</f>
        <v/>
      </c>
    </row>
    <row r="580" spans="5:15">
      <c r="E580" s="224">
        <f t="shared" si="105"/>
        <v>0</v>
      </c>
      <c r="G580" s="224">
        <f>IFERROR(ROUNDUP(F580*'Customer Base'!$J$5,2),0)</f>
        <v>0</v>
      </c>
      <c r="I580" s="224">
        <f>IFERROR(ROUNDUP(H580*'Customer Base'!$J$5,2),0)</f>
        <v>0</v>
      </c>
      <c r="L580" s="103" t="str">
        <f t="shared" si="98"/>
        <v/>
      </c>
      <c r="N580" s="103">
        <v>579</v>
      </c>
      <c r="O580" s="103" t="str">
        <f>IF('Customer Base'!$I$15="MANUAL",IF(B580&lt;&gt;"",C580,""),IF('Customer Base'!$I$15="AUTOMATE",IF(A580&lt;&gt;"",C580,""),""))</f>
        <v/>
      </c>
    </row>
    <row r="581" spans="5:15">
      <c r="E581" s="224">
        <f t="shared" si="105"/>
        <v>0</v>
      </c>
      <c r="G581" s="224">
        <f>IFERROR(ROUNDUP(F581*'Customer Base'!$J$5,2),0)</f>
        <v>0</v>
      </c>
      <c r="I581" s="224">
        <f>IFERROR(ROUNDUP(H581*'Customer Base'!$J$5,2),0)</f>
        <v>0</v>
      </c>
      <c r="L581" s="103" t="str">
        <f t="shared" si="98"/>
        <v/>
      </c>
      <c r="N581" s="103">
        <v>580</v>
      </c>
      <c r="O581" s="103" t="str">
        <f>IF('Customer Base'!$I$15="MANUAL",IF(B581&lt;&gt;"",C581,""),IF('Customer Base'!$I$15="AUTOMATE",IF(A581&lt;&gt;"",C581,""),""))</f>
        <v/>
      </c>
    </row>
    <row r="582" spans="5:15">
      <c r="E582" s="224">
        <f t="shared" si="105"/>
        <v>0</v>
      </c>
      <c r="G582" s="224">
        <f>IFERROR(ROUNDUP(F582*'Customer Base'!$J$5,2),0)</f>
        <v>0</v>
      </c>
      <c r="I582" s="224">
        <f>IFERROR(ROUNDUP(H582*'Customer Base'!$J$5,2),0)</f>
        <v>0</v>
      </c>
      <c r="L582" s="103" t="str">
        <f t="shared" si="98"/>
        <v/>
      </c>
      <c r="N582" s="103">
        <v>581</v>
      </c>
      <c r="O582" s="103" t="str">
        <f>IF('Customer Base'!$I$15="MANUAL",IF(B582&lt;&gt;"",C582,""),IF('Customer Base'!$I$15="AUTOMATE",IF(A582&lt;&gt;"",C582,""),""))</f>
        <v/>
      </c>
    </row>
    <row r="583" spans="5:15">
      <c r="E583" s="224">
        <f t="shared" si="105"/>
        <v>0</v>
      </c>
      <c r="G583" s="224">
        <f>IFERROR(ROUNDUP(F583*'Customer Base'!$J$5,2),0)</f>
        <v>0</v>
      </c>
      <c r="I583" s="224">
        <f>IFERROR(ROUNDUP(H583*'Customer Base'!$J$5,2),0)</f>
        <v>0</v>
      </c>
      <c r="L583" s="103" t="str">
        <f t="shared" si="98"/>
        <v/>
      </c>
      <c r="N583" s="103">
        <v>582</v>
      </c>
      <c r="O583" s="103" t="str">
        <f>IF('Customer Base'!$I$15="MANUAL",IF(B583&lt;&gt;"",C583,""),IF('Customer Base'!$I$15="AUTOMATE",IF(A583&lt;&gt;"",C583,""),""))</f>
        <v/>
      </c>
    </row>
    <row r="584" spans="5:15">
      <c r="E584" s="224">
        <f t="shared" si="105"/>
        <v>0</v>
      </c>
      <c r="G584" s="224">
        <f>IFERROR(ROUNDUP(F584*'Customer Base'!$J$5,2),0)</f>
        <v>0</v>
      </c>
      <c r="I584" s="224">
        <f>IFERROR(ROUNDUP(H584*'Customer Base'!$J$5,2),0)</f>
        <v>0</v>
      </c>
      <c r="L584" s="103" t="str">
        <f t="shared" si="98"/>
        <v/>
      </c>
      <c r="N584" s="103">
        <v>583</v>
      </c>
      <c r="O584" s="103" t="str">
        <f>IF('Customer Base'!$I$15="MANUAL",IF(B584&lt;&gt;"",C584,""),IF('Customer Base'!$I$15="AUTOMATE",IF(A584&lt;&gt;"",C584,""),""))</f>
        <v/>
      </c>
    </row>
    <row r="585" spans="5:15">
      <c r="E585" s="224">
        <f t="shared" si="105"/>
        <v>0</v>
      </c>
      <c r="G585" s="224">
        <f>IFERROR(ROUNDUP(F585*'Customer Base'!$J$5,2),0)</f>
        <v>0</v>
      </c>
      <c r="I585" s="224">
        <f>IFERROR(ROUNDUP(H585*'Customer Base'!$J$5,2),0)</f>
        <v>0</v>
      </c>
      <c r="L585" s="103" t="str">
        <f t="shared" si="98"/>
        <v/>
      </c>
      <c r="N585" s="103">
        <v>584</v>
      </c>
      <c r="O585" s="103" t="str">
        <f>IF('Customer Base'!$I$15="MANUAL",IF(B585&lt;&gt;"",C585,""),IF('Customer Base'!$I$15="AUTOMATE",IF(A585&lt;&gt;"",C585,""),""))</f>
        <v/>
      </c>
    </row>
    <row r="586" spans="5:15">
      <c r="E586" s="224">
        <f t="shared" si="105"/>
        <v>0</v>
      </c>
      <c r="G586" s="224">
        <f>IFERROR(ROUNDUP(F586*'Customer Base'!$J$5,2),0)</f>
        <v>0</v>
      </c>
      <c r="I586" s="224">
        <f>IFERROR(ROUNDUP(H586*'Customer Base'!$J$5,2),0)</f>
        <v>0</v>
      </c>
      <c r="L586" s="103" t="str">
        <f t="shared" si="98"/>
        <v/>
      </c>
      <c r="N586" s="103">
        <v>585</v>
      </c>
      <c r="O586" s="103" t="str">
        <f>IF('Customer Base'!$I$15="MANUAL",IF(B586&lt;&gt;"",C586,""),IF('Customer Base'!$I$15="AUTOMATE",IF(A586&lt;&gt;"",C586,""),""))</f>
        <v/>
      </c>
    </row>
    <row r="587" spans="5:15">
      <c r="E587" s="224">
        <f t="shared" si="105"/>
        <v>0</v>
      </c>
      <c r="G587" s="224">
        <f>IFERROR(ROUNDUP(F587*'Customer Base'!$J$5,2),0)</f>
        <v>0</v>
      </c>
      <c r="I587" s="224">
        <f>IFERROR(ROUNDUP(H587*'Customer Base'!$J$5,2),0)</f>
        <v>0</v>
      </c>
      <c r="L587" s="103" t="str">
        <f t="shared" si="98"/>
        <v/>
      </c>
      <c r="N587" s="103">
        <v>586</v>
      </c>
      <c r="O587" s="103" t="str">
        <f>IF('Customer Base'!$I$15="MANUAL",IF(B587&lt;&gt;"",C587,""),IF('Customer Base'!$I$15="AUTOMATE",IF(A587&lt;&gt;"",C587,""),""))</f>
        <v/>
      </c>
    </row>
    <row r="588" spans="5:15">
      <c r="E588" s="224">
        <f t="shared" si="105"/>
        <v>0</v>
      </c>
      <c r="G588" s="224">
        <f>IFERROR(ROUNDUP(F588*'Customer Base'!$J$5,2),0)</f>
        <v>0</v>
      </c>
      <c r="I588" s="224">
        <f>IFERROR(ROUNDUP(H588*'Customer Base'!$J$5,2),0)</f>
        <v>0</v>
      </c>
      <c r="L588" s="103" t="str">
        <f t="shared" si="98"/>
        <v/>
      </c>
      <c r="N588" s="103">
        <v>587</v>
      </c>
      <c r="O588" s="103" t="str">
        <f>IF('Customer Base'!$I$15="MANUAL",IF(B588&lt;&gt;"",C588,""),IF('Customer Base'!$I$15="AUTOMATE",IF(A588&lt;&gt;"",C588,""),""))</f>
        <v/>
      </c>
    </row>
    <row r="589" spans="5:15">
      <c r="E589" s="224">
        <f t="shared" si="105"/>
        <v>0</v>
      </c>
      <c r="G589" s="224">
        <f>IFERROR(ROUNDUP(F589*'Customer Base'!$J$5,2),0)</f>
        <v>0</v>
      </c>
      <c r="I589" s="224">
        <f>IFERROR(ROUNDUP(H589*'Customer Base'!$J$5,2),0)</f>
        <v>0</v>
      </c>
      <c r="L589" s="103" t="str">
        <f t="shared" si="98"/>
        <v/>
      </c>
      <c r="N589" s="103">
        <v>588</v>
      </c>
      <c r="O589" s="103" t="str">
        <f>IF('Customer Base'!$I$15="MANUAL",IF(B589&lt;&gt;"",C589,""),IF('Customer Base'!$I$15="AUTOMATE",IF(A589&lt;&gt;"",C589,""),""))</f>
        <v/>
      </c>
    </row>
    <row r="590" spans="5:15">
      <c r="E590" s="224">
        <f t="shared" si="105"/>
        <v>0</v>
      </c>
      <c r="G590" s="224">
        <f>IFERROR(ROUNDUP(F590*'Customer Base'!$J$5,2),0)</f>
        <v>0</v>
      </c>
      <c r="I590" s="224">
        <f>IFERROR(ROUNDUP(H590*'Customer Base'!$J$5,2),0)</f>
        <v>0</v>
      </c>
      <c r="L590" s="103" t="str">
        <f t="shared" si="98"/>
        <v/>
      </c>
      <c r="N590" s="103">
        <v>589</v>
      </c>
      <c r="O590" s="103" t="str">
        <f>IF('Customer Base'!$I$15="MANUAL",IF(B590&lt;&gt;"",C590,""),IF('Customer Base'!$I$15="AUTOMATE",IF(A590&lt;&gt;"",C590,""),""))</f>
        <v/>
      </c>
    </row>
    <row r="591" spans="5:15">
      <c r="E591" s="224">
        <f t="shared" si="105"/>
        <v>0</v>
      </c>
      <c r="G591" s="224">
        <f>IFERROR(ROUNDUP(F591*'Customer Base'!$J$5,2),0)</f>
        <v>0</v>
      </c>
      <c r="I591" s="224">
        <f>IFERROR(ROUNDUP(H591*'Customer Base'!$J$5,2),0)</f>
        <v>0</v>
      </c>
      <c r="L591" s="103" t="str">
        <f t="shared" si="98"/>
        <v/>
      </c>
      <c r="N591" s="103">
        <v>590</v>
      </c>
      <c r="O591" s="103" t="str">
        <f>IF('Customer Base'!$I$15="MANUAL",IF(B591&lt;&gt;"",C591,""),IF('Customer Base'!$I$15="AUTOMATE",IF(A591&lt;&gt;"",C591,""),""))</f>
        <v/>
      </c>
    </row>
    <row r="592" spans="5:15">
      <c r="E592" s="224">
        <f t="shared" si="105"/>
        <v>0</v>
      </c>
      <c r="G592" s="224">
        <f>IFERROR(ROUNDUP(F592*'Customer Base'!$J$5,2),0)</f>
        <v>0</v>
      </c>
      <c r="I592" s="224">
        <f>IFERROR(ROUNDUP(H592*'Customer Base'!$J$5,2),0)</f>
        <v>0</v>
      </c>
      <c r="L592" s="103" t="str">
        <f t="shared" si="98"/>
        <v/>
      </c>
      <c r="N592" s="103">
        <v>591</v>
      </c>
      <c r="O592" s="103" t="str">
        <f>IF('Customer Base'!$I$15="MANUAL",IF(B592&lt;&gt;"",C592,""),IF('Customer Base'!$I$15="AUTOMATE",IF(A592&lt;&gt;"",C592,""),""))</f>
        <v/>
      </c>
    </row>
    <row r="593" spans="5:15">
      <c r="E593" s="224">
        <f t="shared" si="105"/>
        <v>0</v>
      </c>
      <c r="G593" s="224">
        <f>IFERROR(ROUNDUP(F593*'Customer Base'!$J$5,2),0)</f>
        <v>0</v>
      </c>
      <c r="I593" s="224">
        <f>IFERROR(ROUNDUP(H593*'Customer Base'!$J$5,2),0)</f>
        <v>0</v>
      </c>
      <c r="L593" s="103" t="str">
        <f t="shared" si="98"/>
        <v/>
      </c>
      <c r="N593" s="103">
        <v>592</v>
      </c>
      <c r="O593" s="103" t="str">
        <f>IF('Customer Base'!$I$15="MANUAL",IF(B593&lt;&gt;"",C593,""),IF('Customer Base'!$I$15="AUTOMATE",IF(A593&lt;&gt;"",C593,""),""))</f>
        <v/>
      </c>
    </row>
    <row r="594" spans="5:15">
      <c r="E594" s="224">
        <f t="shared" si="105"/>
        <v>0</v>
      </c>
      <c r="G594" s="224">
        <f>IFERROR(ROUNDUP(F594*'Customer Base'!$J$5,2),0)</f>
        <v>0</v>
      </c>
      <c r="I594" s="224">
        <f>IFERROR(ROUNDUP(H594*'Customer Base'!$J$5,2),0)</f>
        <v>0</v>
      </c>
      <c r="L594" s="103" t="str">
        <f t="shared" ref="L594:L657" si="106">IF(H594&gt;F594,"lkkajdfkj","")</f>
        <v/>
      </c>
      <c r="N594" s="103">
        <v>593</v>
      </c>
      <c r="O594" s="103" t="str">
        <f>IF('Customer Base'!$I$15="MANUAL",IF(B594&lt;&gt;"",C594,""),IF('Customer Base'!$I$15="AUTOMATE",IF(A594&lt;&gt;"",C594,""),""))</f>
        <v/>
      </c>
    </row>
    <row r="595" spans="5:15">
      <c r="E595" s="224">
        <f t="shared" si="105"/>
        <v>0</v>
      </c>
      <c r="G595" s="224">
        <f>IFERROR(ROUNDUP(F595*'Customer Base'!$J$5,2),0)</f>
        <v>0</v>
      </c>
      <c r="I595" s="224">
        <f>IFERROR(ROUNDUP(H595*'Customer Base'!$J$5,2),0)</f>
        <v>0</v>
      </c>
      <c r="L595" s="103" t="str">
        <f t="shared" si="106"/>
        <v/>
      </c>
      <c r="N595" s="103">
        <v>594</v>
      </c>
      <c r="O595" s="103" t="str">
        <f>IF('Customer Base'!$I$15="MANUAL",IF(B595&lt;&gt;"",C595,""),IF('Customer Base'!$I$15="AUTOMATE",IF(A595&lt;&gt;"",C595,""),""))</f>
        <v/>
      </c>
    </row>
    <row r="596" spans="5:15">
      <c r="E596" s="224">
        <f t="shared" si="105"/>
        <v>0</v>
      </c>
      <c r="G596" s="224">
        <f>IFERROR(ROUNDUP(F596*'Customer Base'!$J$5,2),0)</f>
        <v>0</v>
      </c>
      <c r="I596" s="224">
        <f>IFERROR(ROUNDUP(H596*'Customer Base'!$J$5,2),0)</f>
        <v>0</v>
      </c>
      <c r="L596" s="103" t="str">
        <f t="shared" si="106"/>
        <v/>
      </c>
      <c r="N596" s="103">
        <v>595</v>
      </c>
      <c r="O596" s="103" t="str">
        <f>IF('Customer Base'!$I$15="MANUAL",IF(B596&lt;&gt;"",C596,""),IF('Customer Base'!$I$15="AUTOMATE",IF(A596&lt;&gt;"",C596,""),""))</f>
        <v/>
      </c>
    </row>
    <row r="597" spans="5:15">
      <c r="E597" s="224">
        <f t="shared" si="105"/>
        <v>0</v>
      </c>
      <c r="G597" s="224">
        <f>IFERROR(ROUNDUP(F597*'Customer Base'!$J$5,2),0)</f>
        <v>0</v>
      </c>
      <c r="I597" s="224">
        <f>IFERROR(ROUNDUP(H597*'Customer Base'!$J$5,2),0)</f>
        <v>0</v>
      </c>
      <c r="L597" s="103" t="str">
        <f t="shared" si="106"/>
        <v/>
      </c>
      <c r="N597" s="103">
        <v>596</v>
      </c>
      <c r="O597" s="103" t="str">
        <f>IF('Customer Base'!$I$15="MANUAL",IF(B597&lt;&gt;"",C597,""),IF('Customer Base'!$I$15="AUTOMATE",IF(A597&lt;&gt;"",C597,""),""))</f>
        <v/>
      </c>
    </row>
    <row r="598" spans="5:15">
      <c r="E598" s="224">
        <f t="shared" si="105"/>
        <v>0</v>
      </c>
      <c r="G598" s="224">
        <f>IFERROR(ROUNDUP(F598*'Customer Base'!$J$5,2),0)</f>
        <v>0</v>
      </c>
      <c r="I598" s="224">
        <f>IFERROR(ROUNDUP(H598*'Customer Base'!$J$5,2),0)</f>
        <v>0</v>
      </c>
      <c r="L598" s="103" t="str">
        <f t="shared" si="106"/>
        <v/>
      </c>
      <c r="N598" s="103">
        <v>597</v>
      </c>
      <c r="O598" s="103" t="str">
        <f>IF('Customer Base'!$I$15="MANUAL",IF(B598&lt;&gt;"",C598,""),IF('Customer Base'!$I$15="AUTOMATE",IF(A598&lt;&gt;"",C598,""),""))</f>
        <v/>
      </c>
    </row>
    <row r="599" spans="5:15">
      <c r="E599" s="224">
        <f t="shared" si="105"/>
        <v>0</v>
      </c>
      <c r="G599" s="224">
        <f>IFERROR(ROUNDUP(F599*'Customer Base'!$J$5,2),0)</f>
        <v>0</v>
      </c>
      <c r="I599" s="224">
        <f>IFERROR(ROUNDUP(H599*'Customer Base'!$J$5,2),0)</f>
        <v>0</v>
      </c>
      <c r="L599" s="103" t="str">
        <f t="shared" si="106"/>
        <v/>
      </c>
      <c r="N599" s="103">
        <v>598</v>
      </c>
      <c r="O599" s="103" t="str">
        <f>IF('Customer Base'!$I$15="MANUAL",IF(B599&lt;&gt;"",C599,""),IF('Customer Base'!$I$15="AUTOMATE",IF(A599&lt;&gt;"",C599,""),""))</f>
        <v/>
      </c>
    </row>
    <row r="600" spans="5:15">
      <c r="E600" s="224">
        <f t="shared" si="105"/>
        <v>0</v>
      </c>
      <c r="G600" s="224">
        <f>IFERROR(ROUNDUP(F600*'Customer Base'!$J$5,2),0)</f>
        <v>0</v>
      </c>
      <c r="I600" s="224">
        <f>IFERROR(ROUNDUP(H600*'Customer Base'!$J$5,2),0)</f>
        <v>0</v>
      </c>
      <c r="L600" s="103" t="str">
        <f t="shared" si="106"/>
        <v/>
      </c>
      <c r="N600" s="103">
        <v>599</v>
      </c>
      <c r="O600" s="103" t="str">
        <f>IF('Customer Base'!$I$15="MANUAL",IF(B600&lt;&gt;"",C600,""),IF('Customer Base'!$I$15="AUTOMATE",IF(A600&lt;&gt;"",C600,""),""))</f>
        <v/>
      </c>
    </row>
    <row r="601" spans="5:15">
      <c r="E601" s="224">
        <f t="shared" si="105"/>
        <v>0</v>
      </c>
      <c r="G601" s="224">
        <f>IFERROR(ROUNDUP(F601*'Customer Base'!$J$5,2),0)</f>
        <v>0</v>
      </c>
      <c r="I601" s="224">
        <f>IFERROR(ROUNDUP(H601*'Customer Base'!$J$5,2),0)</f>
        <v>0</v>
      </c>
      <c r="L601" s="103" t="str">
        <f t="shared" si="106"/>
        <v/>
      </c>
      <c r="N601" s="103">
        <v>600</v>
      </c>
      <c r="O601" s="103" t="str">
        <f>IF('Customer Base'!$I$15="MANUAL",IF(B601&lt;&gt;"",C601,""),IF('Customer Base'!$I$15="AUTOMATE",IF(A601&lt;&gt;"",C601,""),""))</f>
        <v/>
      </c>
    </row>
    <row r="602" spans="5:15">
      <c r="E602" s="224">
        <f t="shared" si="105"/>
        <v>0</v>
      </c>
      <c r="G602" s="224">
        <f>IFERROR(ROUNDUP(F602*'Customer Base'!$J$5,2),0)</f>
        <v>0</v>
      </c>
      <c r="I602" s="224">
        <f>IFERROR(ROUNDUP(H602*'Customer Base'!$J$5,2),0)</f>
        <v>0</v>
      </c>
      <c r="L602" s="103" t="str">
        <f t="shared" si="106"/>
        <v/>
      </c>
      <c r="N602" s="103">
        <v>601</v>
      </c>
      <c r="O602" s="103" t="str">
        <f>IF('Customer Base'!$I$15="MANUAL",IF(B602&lt;&gt;"",C602,""),IF('Customer Base'!$I$15="AUTOMATE",IF(A602&lt;&gt;"",C602,""),""))</f>
        <v/>
      </c>
    </row>
    <row r="603" spans="5:15">
      <c r="E603" s="224">
        <f t="shared" si="105"/>
        <v>0</v>
      </c>
      <c r="G603" s="224">
        <f>IFERROR(ROUNDUP(F603*'Customer Base'!$J$5,2),0)</f>
        <v>0</v>
      </c>
      <c r="I603" s="224">
        <f>IFERROR(ROUNDUP(H603*'Customer Base'!$J$5,2),0)</f>
        <v>0</v>
      </c>
      <c r="L603" s="103" t="str">
        <f t="shared" si="106"/>
        <v/>
      </c>
      <c r="N603" s="103">
        <v>602</v>
      </c>
      <c r="O603" s="103" t="str">
        <f>IF('Customer Base'!$I$15="MANUAL",IF(B603&lt;&gt;"",C603,""),IF('Customer Base'!$I$15="AUTOMATE",IF(A603&lt;&gt;"",C603,""),""))</f>
        <v/>
      </c>
    </row>
    <row r="604" spans="5:15">
      <c r="E604" s="224">
        <f t="shared" si="105"/>
        <v>0</v>
      </c>
      <c r="G604" s="224">
        <f>IFERROR(ROUNDUP(F604*'Customer Base'!$J$5,2),0)</f>
        <v>0</v>
      </c>
      <c r="I604" s="224">
        <f>IFERROR(ROUNDUP(H604*'Customer Base'!$J$5,2),0)</f>
        <v>0</v>
      </c>
      <c r="L604" s="103" t="str">
        <f t="shared" si="106"/>
        <v/>
      </c>
      <c r="N604" s="103">
        <v>603</v>
      </c>
      <c r="O604" s="103" t="str">
        <f>IF('Customer Base'!$I$15="MANUAL",IF(B604&lt;&gt;"",C604,""),IF('Customer Base'!$I$15="AUTOMATE",IF(A604&lt;&gt;"",C604,""),""))</f>
        <v/>
      </c>
    </row>
    <row r="605" spans="5:15">
      <c r="E605" s="224">
        <f t="shared" si="105"/>
        <v>0</v>
      </c>
      <c r="G605" s="224">
        <f>IFERROR(ROUNDUP(F605*'Customer Base'!$J$5,2),0)</f>
        <v>0</v>
      </c>
      <c r="I605" s="224">
        <f>IFERROR(ROUNDUP(H605*'Customer Base'!$J$5,2),0)</f>
        <v>0</v>
      </c>
      <c r="L605" s="103" t="str">
        <f t="shared" si="106"/>
        <v/>
      </c>
      <c r="N605" s="103">
        <v>604</v>
      </c>
      <c r="O605" s="103" t="str">
        <f>IF('Customer Base'!$I$15="MANUAL",IF(B605&lt;&gt;"",C605,""),IF('Customer Base'!$I$15="AUTOMATE",IF(A605&lt;&gt;"",C605,""),""))</f>
        <v/>
      </c>
    </row>
    <row r="606" spans="5:15">
      <c r="E606" s="224">
        <f t="shared" si="105"/>
        <v>0</v>
      </c>
      <c r="G606" s="224">
        <f>IFERROR(ROUNDUP(F606*'Customer Base'!$J$5,2),0)</f>
        <v>0</v>
      </c>
      <c r="I606" s="224">
        <f>IFERROR(ROUNDUP(H606*'Customer Base'!$J$5,2),0)</f>
        <v>0</v>
      </c>
      <c r="L606" s="103" t="str">
        <f t="shared" si="106"/>
        <v/>
      </c>
      <c r="N606" s="103">
        <v>605</v>
      </c>
      <c r="O606" s="103" t="str">
        <f>IF('Customer Base'!$I$15="MANUAL",IF(B606&lt;&gt;"",C606,""),IF('Customer Base'!$I$15="AUTOMATE",IF(A606&lt;&gt;"",C606,""),""))</f>
        <v/>
      </c>
    </row>
    <row r="607" spans="5:15">
      <c r="E607" s="224">
        <f t="shared" si="105"/>
        <v>0</v>
      </c>
      <c r="G607" s="224">
        <f>IFERROR(ROUNDUP(F607*'Customer Base'!$J$5,2),0)</f>
        <v>0</v>
      </c>
      <c r="I607" s="224">
        <f>IFERROR(ROUNDUP(H607*'Customer Base'!$J$5,2),0)</f>
        <v>0</v>
      </c>
      <c r="L607" s="103" t="str">
        <f t="shared" si="106"/>
        <v/>
      </c>
      <c r="N607" s="103">
        <v>606</v>
      </c>
      <c r="O607" s="103" t="str">
        <f>IF('Customer Base'!$I$15="MANUAL",IF(B607&lt;&gt;"",C607,""),IF('Customer Base'!$I$15="AUTOMATE",IF(A607&lt;&gt;"",C607,""),""))</f>
        <v/>
      </c>
    </row>
    <row r="608" spans="5:15">
      <c r="E608" s="224">
        <f t="shared" si="105"/>
        <v>0</v>
      </c>
      <c r="G608" s="224">
        <f>IFERROR(ROUNDUP(F608*'Customer Base'!$J$5,2),0)</f>
        <v>0</v>
      </c>
      <c r="I608" s="224">
        <f>IFERROR(ROUNDUP(H608*'Customer Base'!$J$5,2),0)</f>
        <v>0</v>
      </c>
      <c r="L608" s="103" t="str">
        <f t="shared" si="106"/>
        <v/>
      </c>
      <c r="N608" s="103">
        <v>607</v>
      </c>
      <c r="O608" s="103" t="str">
        <f>IF('Customer Base'!$I$15="MANUAL",IF(B608&lt;&gt;"",C608,""),IF('Customer Base'!$I$15="AUTOMATE",IF(A608&lt;&gt;"",C608,""),""))</f>
        <v/>
      </c>
    </row>
    <row r="609" spans="5:15">
      <c r="E609" s="224">
        <f t="shared" si="105"/>
        <v>0</v>
      </c>
      <c r="G609" s="224">
        <f>IFERROR(ROUNDUP(F609*'Customer Base'!$J$5,2),0)</f>
        <v>0</v>
      </c>
      <c r="I609" s="224">
        <f>IFERROR(ROUNDUP(H609*'Customer Base'!$J$5,2),0)</f>
        <v>0</v>
      </c>
      <c r="L609" s="103" t="str">
        <f t="shared" si="106"/>
        <v/>
      </c>
      <c r="N609" s="103">
        <v>608</v>
      </c>
      <c r="O609" s="103" t="str">
        <f>IF('Customer Base'!$I$15="MANUAL",IF(B609&lt;&gt;"",C609,""),IF('Customer Base'!$I$15="AUTOMATE",IF(A609&lt;&gt;"",C609,""),""))</f>
        <v/>
      </c>
    </row>
    <row r="610" spans="5:15">
      <c r="E610" s="224">
        <f t="shared" si="105"/>
        <v>0</v>
      </c>
      <c r="G610" s="224">
        <f>IFERROR(ROUNDUP(F610*'Customer Base'!$J$5,2),0)</f>
        <v>0</v>
      </c>
      <c r="I610" s="224">
        <f>IFERROR(ROUNDUP(H610*'Customer Base'!$J$5,2),0)</f>
        <v>0</v>
      </c>
      <c r="L610" s="103" t="str">
        <f t="shared" si="106"/>
        <v/>
      </c>
      <c r="N610" s="103">
        <v>609</v>
      </c>
      <c r="O610" s="103" t="str">
        <f>IF('Customer Base'!$I$15="MANUAL",IF(B610&lt;&gt;"",C610,""),IF('Customer Base'!$I$15="AUTOMATE",IF(A610&lt;&gt;"",C610,""),""))</f>
        <v/>
      </c>
    </row>
    <row r="611" spans="5:15">
      <c r="E611" s="224">
        <f t="shared" si="105"/>
        <v>0</v>
      </c>
      <c r="G611" s="224">
        <f>IFERROR(ROUNDUP(F611*'Customer Base'!$J$5,2),0)</f>
        <v>0</v>
      </c>
      <c r="I611" s="224">
        <f>IFERROR(ROUNDUP(H611*'Customer Base'!$J$5,2),0)</f>
        <v>0</v>
      </c>
      <c r="L611" s="103" t="str">
        <f t="shared" si="106"/>
        <v/>
      </c>
      <c r="N611" s="103">
        <v>610</v>
      </c>
      <c r="O611" s="103" t="str">
        <f>IF('Customer Base'!$I$15="MANUAL",IF(B611&lt;&gt;"",C611,""),IF('Customer Base'!$I$15="AUTOMATE",IF(A611&lt;&gt;"",C611,""),""))</f>
        <v/>
      </c>
    </row>
    <row r="612" spans="5:15">
      <c r="E612" s="224">
        <f t="shared" si="105"/>
        <v>0</v>
      </c>
      <c r="G612" s="224">
        <f>IFERROR(ROUNDUP(F612*'Customer Base'!$J$5,2),0)</f>
        <v>0</v>
      </c>
      <c r="I612" s="224">
        <f>IFERROR(ROUNDUP(H612*'Customer Base'!$J$5,2),0)</f>
        <v>0</v>
      </c>
      <c r="L612" s="103" t="str">
        <f t="shared" si="106"/>
        <v/>
      </c>
      <c r="N612" s="103">
        <v>611</v>
      </c>
      <c r="O612" s="103" t="str">
        <f>IF('Customer Base'!$I$15="MANUAL",IF(B612&lt;&gt;"",C612,""),IF('Customer Base'!$I$15="AUTOMATE",IF(A612&lt;&gt;"",C612,""),""))</f>
        <v/>
      </c>
    </row>
    <row r="613" spans="5:15">
      <c r="E613" s="224">
        <f t="shared" si="105"/>
        <v>0</v>
      </c>
      <c r="G613" s="224">
        <f>IFERROR(ROUNDUP(F613*'Customer Base'!$J$5,2),0)</f>
        <v>0</v>
      </c>
      <c r="I613" s="224">
        <f>IFERROR(ROUNDUP(H613*'Customer Base'!$J$5,2),0)</f>
        <v>0</v>
      </c>
      <c r="L613" s="103" t="str">
        <f t="shared" si="106"/>
        <v/>
      </c>
      <c r="N613" s="103">
        <v>612</v>
      </c>
      <c r="O613" s="103" t="str">
        <f>IF('Customer Base'!$I$15="MANUAL",IF(B613&lt;&gt;"",C613,""),IF('Customer Base'!$I$15="AUTOMATE",IF(A613&lt;&gt;"",C613,""),""))</f>
        <v/>
      </c>
    </row>
    <row r="614" spans="5:15">
      <c r="E614" s="224">
        <f t="shared" si="105"/>
        <v>0</v>
      </c>
      <c r="G614" s="224">
        <f>IFERROR(ROUNDUP(F614*'Customer Base'!$J$5,2),0)</f>
        <v>0</v>
      </c>
      <c r="I614" s="224">
        <f>IFERROR(ROUNDUP(H614*'Customer Base'!$J$5,2),0)</f>
        <v>0</v>
      </c>
      <c r="L614" s="103" t="str">
        <f t="shared" si="106"/>
        <v/>
      </c>
      <c r="N614" s="103">
        <v>613</v>
      </c>
      <c r="O614" s="103" t="str">
        <f>IF('Customer Base'!$I$15="MANUAL",IF(B614&lt;&gt;"",C614,""),IF('Customer Base'!$I$15="AUTOMATE",IF(A614&lt;&gt;"",C614,""),""))</f>
        <v/>
      </c>
    </row>
    <row r="615" spans="5:15">
      <c r="E615" s="224">
        <f t="shared" si="105"/>
        <v>0</v>
      </c>
      <c r="G615" s="224">
        <f>IFERROR(ROUNDUP(F615*'Customer Base'!$J$5,2),0)</f>
        <v>0</v>
      </c>
      <c r="I615" s="224">
        <f>IFERROR(ROUNDUP(H615*'Customer Base'!$J$5,2),0)</f>
        <v>0</v>
      </c>
      <c r="L615" s="103" t="str">
        <f t="shared" si="106"/>
        <v/>
      </c>
      <c r="N615" s="103">
        <v>614</v>
      </c>
      <c r="O615" s="103" t="str">
        <f>IF('Customer Base'!$I$15="MANUAL",IF(B615&lt;&gt;"",C615,""),IF('Customer Base'!$I$15="AUTOMATE",IF(A615&lt;&gt;"",C615,""),""))</f>
        <v/>
      </c>
    </row>
    <row r="616" spans="5:15">
      <c r="E616" s="224">
        <f t="shared" si="105"/>
        <v>0</v>
      </c>
      <c r="G616" s="224">
        <f>IFERROR(ROUNDUP(F616*'Customer Base'!$J$5,2),0)</f>
        <v>0</v>
      </c>
      <c r="I616" s="224">
        <f>IFERROR(ROUNDUP(H616*'Customer Base'!$J$5,2),0)</f>
        <v>0</v>
      </c>
      <c r="L616" s="103" t="str">
        <f t="shared" si="106"/>
        <v/>
      </c>
      <c r="N616" s="103">
        <v>615</v>
      </c>
      <c r="O616" s="103" t="str">
        <f>IF('Customer Base'!$I$15="MANUAL",IF(B616&lt;&gt;"",C616,""),IF('Customer Base'!$I$15="AUTOMATE",IF(A616&lt;&gt;"",C616,""),""))</f>
        <v/>
      </c>
    </row>
    <row r="617" spans="5:15">
      <c r="E617" s="224">
        <f t="shared" si="105"/>
        <v>0</v>
      </c>
      <c r="G617" s="224">
        <f>IFERROR(ROUNDUP(F617*'Customer Base'!$J$5,2),0)</f>
        <v>0</v>
      </c>
      <c r="I617" s="224">
        <f>IFERROR(ROUNDUP(H617*'Customer Base'!$J$5,2),0)</f>
        <v>0</v>
      </c>
      <c r="L617" s="103" t="str">
        <f t="shared" si="106"/>
        <v/>
      </c>
      <c r="N617" s="103">
        <v>616</v>
      </c>
      <c r="O617" s="103" t="str">
        <f>IF('Customer Base'!$I$15="MANUAL",IF(B617&lt;&gt;"",C617,""),IF('Customer Base'!$I$15="AUTOMATE",IF(A617&lt;&gt;"",C617,""),""))</f>
        <v/>
      </c>
    </row>
    <row r="618" spans="5:15">
      <c r="E618" s="224">
        <f t="shared" si="105"/>
        <v>0</v>
      </c>
      <c r="G618" s="224">
        <f>IFERROR(ROUNDUP(F618*'Customer Base'!$J$5,2),0)</f>
        <v>0</v>
      </c>
      <c r="I618" s="224">
        <f>IFERROR(ROUNDUP(H618*'Customer Base'!$J$5,2),0)</f>
        <v>0</v>
      </c>
      <c r="L618" s="103" t="str">
        <f t="shared" si="106"/>
        <v/>
      </c>
      <c r="N618" s="103">
        <v>617</v>
      </c>
      <c r="O618" s="103" t="str">
        <f>IF('Customer Base'!$I$15="MANUAL",IF(B618&lt;&gt;"",C618,""),IF('Customer Base'!$I$15="AUTOMATE",IF(A618&lt;&gt;"",C618,""),""))</f>
        <v/>
      </c>
    </row>
    <row r="619" spans="5:15">
      <c r="E619" s="224">
        <f t="shared" si="105"/>
        <v>0</v>
      </c>
      <c r="G619" s="224">
        <f>IFERROR(ROUNDUP(F619*'Customer Base'!$J$5,2),0)</f>
        <v>0</v>
      </c>
      <c r="I619" s="224">
        <f>IFERROR(ROUNDUP(H619*'Customer Base'!$J$5,2),0)</f>
        <v>0</v>
      </c>
      <c r="L619" s="103" t="str">
        <f t="shared" si="106"/>
        <v/>
      </c>
      <c r="N619" s="103">
        <v>618</v>
      </c>
      <c r="O619" s="103" t="str">
        <f>IF('Customer Base'!$I$15="MANUAL",IF(B619&lt;&gt;"",C619,""),IF('Customer Base'!$I$15="AUTOMATE",IF(A619&lt;&gt;"",C619,""),""))</f>
        <v/>
      </c>
    </row>
    <row r="620" spans="5:15">
      <c r="E620" s="224">
        <f t="shared" si="105"/>
        <v>0</v>
      </c>
      <c r="G620" s="224">
        <f>IFERROR(ROUNDUP(F620*'Customer Base'!$J$5,2),0)</f>
        <v>0</v>
      </c>
      <c r="I620" s="224">
        <f>IFERROR(ROUNDUP(H620*'Customer Base'!$J$5,2),0)</f>
        <v>0</v>
      </c>
      <c r="L620" s="103" t="str">
        <f t="shared" si="106"/>
        <v/>
      </c>
      <c r="N620" s="103">
        <v>619</v>
      </c>
      <c r="O620" s="103" t="str">
        <f>IF('Customer Base'!$I$15="MANUAL",IF(B620&lt;&gt;"",C620,""),IF('Customer Base'!$I$15="AUTOMATE",IF(A620&lt;&gt;"",C620,""),""))</f>
        <v/>
      </c>
    </row>
    <row r="621" spans="5:15">
      <c r="E621" s="224">
        <f t="shared" si="105"/>
        <v>0</v>
      </c>
      <c r="G621" s="224">
        <f>IFERROR(ROUNDUP(F621*'Customer Base'!$J$5,2),0)</f>
        <v>0</v>
      </c>
      <c r="I621" s="224">
        <f>IFERROR(ROUNDUP(H621*'Customer Base'!$J$5,2),0)</f>
        <v>0</v>
      </c>
      <c r="L621" s="103" t="str">
        <f t="shared" si="106"/>
        <v/>
      </c>
      <c r="N621" s="103">
        <v>620</v>
      </c>
      <c r="O621" s="103" t="str">
        <f>IF('Customer Base'!$I$15="MANUAL",IF(B621&lt;&gt;"",C621,""),IF('Customer Base'!$I$15="AUTOMATE",IF(A621&lt;&gt;"",C621,""),""))</f>
        <v/>
      </c>
    </row>
    <row r="622" spans="5:15">
      <c r="E622" s="224">
        <f t="shared" si="105"/>
        <v>0</v>
      </c>
      <c r="G622" s="224">
        <f>IFERROR(ROUNDUP(F622*'Customer Base'!$J$5,2),0)</f>
        <v>0</v>
      </c>
      <c r="I622" s="224">
        <f>IFERROR(ROUNDUP(H622*'Customer Base'!$J$5,2),0)</f>
        <v>0</v>
      </c>
      <c r="L622" s="103" t="str">
        <f t="shared" si="106"/>
        <v/>
      </c>
      <c r="N622" s="103">
        <v>621</v>
      </c>
      <c r="O622" s="103" t="str">
        <f>IF('Customer Base'!$I$15="MANUAL",IF(B622&lt;&gt;"",C622,""),IF('Customer Base'!$I$15="AUTOMATE",IF(A622&lt;&gt;"",C622,""),""))</f>
        <v/>
      </c>
    </row>
    <row r="623" spans="5:15">
      <c r="E623" s="224">
        <f t="shared" si="105"/>
        <v>0</v>
      </c>
      <c r="G623" s="224">
        <f>IFERROR(ROUNDUP(F623*'Customer Base'!$J$5,2),0)</f>
        <v>0</v>
      </c>
      <c r="I623" s="224">
        <f>IFERROR(ROUNDUP(H623*'Customer Base'!$J$5,2),0)</f>
        <v>0</v>
      </c>
      <c r="L623" s="103" t="str">
        <f t="shared" si="106"/>
        <v/>
      </c>
      <c r="N623" s="103">
        <v>622</v>
      </c>
      <c r="O623" s="103" t="str">
        <f>IF('Customer Base'!$I$15="MANUAL",IF(B623&lt;&gt;"",C623,""),IF('Customer Base'!$I$15="AUTOMATE",IF(A623&lt;&gt;"",C623,""),""))</f>
        <v/>
      </c>
    </row>
    <row r="624" spans="5:15">
      <c r="E624" s="224">
        <f t="shared" si="105"/>
        <v>0</v>
      </c>
      <c r="G624" s="224">
        <f>IFERROR(ROUNDUP(F624*'Customer Base'!$J$5,2),0)</f>
        <v>0</v>
      </c>
      <c r="I624" s="224">
        <f>IFERROR(ROUNDUP(H624*'Customer Base'!$J$5,2),0)</f>
        <v>0</v>
      </c>
      <c r="L624" s="103" t="str">
        <f t="shared" si="106"/>
        <v/>
      </c>
      <c r="N624" s="103">
        <v>623</v>
      </c>
      <c r="O624" s="103" t="str">
        <f>IF('Customer Base'!$I$15="MANUAL",IF(B624&lt;&gt;"",C624,""),IF('Customer Base'!$I$15="AUTOMATE",IF(A624&lt;&gt;"",C624,""),""))</f>
        <v/>
      </c>
    </row>
    <row r="625" spans="5:15">
      <c r="E625" s="224">
        <f t="shared" si="105"/>
        <v>0</v>
      </c>
      <c r="G625" s="224">
        <f>IFERROR(ROUNDUP(F625*'Customer Base'!$J$5,2),0)</f>
        <v>0</v>
      </c>
      <c r="I625" s="224">
        <f>IFERROR(ROUNDUP(H625*'Customer Base'!$J$5,2),0)</f>
        <v>0</v>
      </c>
      <c r="L625" s="103" t="str">
        <f t="shared" si="106"/>
        <v/>
      </c>
      <c r="N625" s="103">
        <v>624</v>
      </c>
      <c r="O625" s="103" t="str">
        <f>IF('Customer Base'!$I$15="MANUAL",IF(B625&lt;&gt;"",C625,""),IF('Customer Base'!$I$15="AUTOMATE",IF(A625&lt;&gt;"",C625,""),""))</f>
        <v/>
      </c>
    </row>
    <row r="626" spans="5:15">
      <c r="E626" s="224">
        <f t="shared" ref="E626:E685" si="107">H626/1.219</f>
        <v>0</v>
      </c>
      <c r="G626" s="224">
        <f>IFERROR(ROUNDUP(F626*'Customer Base'!$J$5,2),0)</f>
        <v>0</v>
      </c>
      <c r="I626" s="224">
        <f>IFERROR(ROUNDUP(H626*'Customer Base'!$J$5,2),0)</f>
        <v>0</v>
      </c>
      <c r="L626" s="103" t="str">
        <f t="shared" si="106"/>
        <v/>
      </c>
      <c r="N626" s="103">
        <v>625</v>
      </c>
      <c r="O626" s="103" t="str">
        <f>IF('Customer Base'!$I$15="MANUAL",IF(B626&lt;&gt;"",C626,""),IF('Customer Base'!$I$15="AUTOMATE",IF(A626&lt;&gt;"",C626,""),""))</f>
        <v/>
      </c>
    </row>
    <row r="627" spans="5:15">
      <c r="E627" s="224">
        <f t="shared" si="107"/>
        <v>0</v>
      </c>
      <c r="G627" s="224">
        <f>IFERROR(ROUNDUP(F627*'Customer Base'!$J$5,2),0)</f>
        <v>0</v>
      </c>
      <c r="I627" s="224">
        <f>IFERROR(ROUNDUP(H627*'Customer Base'!$J$5,2),0)</f>
        <v>0</v>
      </c>
      <c r="L627" s="103" t="str">
        <f t="shared" si="106"/>
        <v/>
      </c>
      <c r="N627" s="103">
        <v>626</v>
      </c>
      <c r="O627" s="103" t="str">
        <f>IF('Customer Base'!$I$15="MANUAL",IF(B627&lt;&gt;"",C627,""),IF('Customer Base'!$I$15="AUTOMATE",IF(A627&lt;&gt;"",C627,""),""))</f>
        <v/>
      </c>
    </row>
    <row r="628" spans="5:15">
      <c r="E628" s="224">
        <f t="shared" si="107"/>
        <v>0</v>
      </c>
      <c r="G628" s="224">
        <f>IFERROR(ROUNDUP(F628*'Customer Base'!$J$5,2),0)</f>
        <v>0</v>
      </c>
      <c r="I628" s="224">
        <f>IFERROR(ROUNDUP(H628*'Customer Base'!$J$5,2),0)</f>
        <v>0</v>
      </c>
      <c r="L628" s="103" t="str">
        <f t="shared" si="106"/>
        <v/>
      </c>
      <c r="N628" s="103">
        <v>627</v>
      </c>
      <c r="O628" s="103" t="str">
        <f>IF('Customer Base'!$I$15="MANUAL",IF(B628&lt;&gt;"",C628,""),IF('Customer Base'!$I$15="AUTOMATE",IF(A628&lt;&gt;"",C628,""),""))</f>
        <v/>
      </c>
    </row>
    <row r="629" spans="5:15">
      <c r="E629" s="224">
        <f t="shared" si="107"/>
        <v>0</v>
      </c>
      <c r="G629" s="224">
        <f>IFERROR(ROUNDUP(F629*'Customer Base'!$J$5,2),0)</f>
        <v>0</v>
      </c>
      <c r="I629" s="224">
        <f>IFERROR(ROUNDUP(H629*'Customer Base'!$J$5,2),0)</f>
        <v>0</v>
      </c>
      <c r="L629" s="103" t="str">
        <f t="shared" si="106"/>
        <v/>
      </c>
      <c r="N629" s="103">
        <v>628</v>
      </c>
      <c r="O629" s="103" t="str">
        <f>IF('Customer Base'!$I$15="MANUAL",IF(B629&lt;&gt;"",C629,""),IF('Customer Base'!$I$15="AUTOMATE",IF(A629&lt;&gt;"",C629,""),""))</f>
        <v/>
      </c>
    </row>
    <row r="630" spans="5:15">
      <c r="E630" s="224">
        <f t="shared" si="107"/>
        <v>0</v>
      </c>
      <c r="G630" s="224">
        <f>IFERROR(ROUNDUP(F630*'Customer Base'!$J$5,2),0)</f>
        <v>0</v>
      </c>
      <c r="I630" s="224">
        <f>IFERROR(ROUNDUP(H630*'Customer Base'!$J$5,2),0)</f>
        <v>0</v>
      </c>
      <c r="L630" s="103" t="str">
        <f t="shared" si="106"/>
        <v/>
      </c>
      <c r="N630" s="103">
        <v>629</v>
      </c>
      <c r="O630" s="103" t="str">
        <f>IF('Customer Base'!$I$15="MANUAL",IF(B630&lt;&gt;"",C630,""),IF('Customer Base'!$I$15="AUTOMATE",IF(A630&lt;&gt;"",C630,""),""))</f>
        <v/>
      </c>
    </row>
    <row r="631" spans="5:15">
      <c r="E631" s="224">
        <f t="shared" si="107"/>
        <v>0</v>
      </c>
      <c r="G631" s="224">
        <f>IFERROR(ROUNDUP(F631*'Customer Base'!$J$5,2),0)</f>
        <v>0</v>
      </c>
      <c r="I631" s="224">
        <f>IFERROR(ROUNDUP(H631*'Customer Base'!$J$5,2),0)</f>
        <v>0</v>
      </c>
      <c r="L631" s="103" t="str">
        <f t="shared" si="106"/>
        <v/>
      </c>
      <c r="N631" s="103">
        <v>630</v>
      </c>
      <c r="O631" s="103" t="str">
        <f>IF('Customer Base'!$I$15="MANUAL",IF(B631&lt;&gt;"",C631,""),IF('Customer Base'!$I$15="AUTOMATE",IF(A631&lt;&gt;"",C631,""),""))</f>
        <v/>
      </c>
    </row>
    <row r="632" spans="5:15">
      <c r="E632" s="224">
        <f t="shared" si="107"/>
        <v>0</v>
      </c>
      <c r="G632" s="224">
        <f>IFERROR(ROUNDUP(F632*'Customer Base'!$J$5,2),0)</f>
        <v>0</v>
      </c>
      <c r="I632" s="224">
        <f>IFERROR(ROUNDUP(H632*'Customer Base'!$J$5,2),0)</f>
        <v>0</v>
      </c>
      <c r="L632" s="103" t="str">
        <f t="shared" si="106"/>
        <v/>
      </c>
      <c r="N632" s="103">
        <v>631</v>
      </c>
      <c r="O632" s="103" t="str">
        <f>IF('Customer Base'!$I$15="MANUAL",IF(B632&lt;&gt;"",C632,""),IF('Customer Base'!$I$15="AUTOMATE",IF(A632&lt;&gt;"",C632,""),""))</f>
        <v/>
      </c>
    </row>
    <row r="633" spans="5:15">
      <c r="E633" s="224">
        <f t="shared" si="107"/>
        <v>0</v>
      </c>
      <c r="G633" s="224">
        <f>IFERROR(ROUNDUP(F633*'Customer Base'!$J$5,2),0)</f>
        <v>0</v>
      </c>
      <c r="I633" s="224">
        <f>IFERROR(ROUNDUP(H633*'Customer Base'!$J$5,2),0)</f>
        <v>0</v>
      </c>
      <c r="L633" s="103" t="str">
        <f t="shared" si="106"/>
        <v/>
      </c>
      <c r="N633" s="103">
        <v>632</v>
      </c>
      <c r="O633" s="103" t="str">
        <f>IF('Customer Base'!$I$15="MANUAL",IF(B633&lt;&gt;"",C633,""),IF('Customer Base'!$I$15="AUTOMATE",IF(A633&lt;&gt;"",C633,""),""))</f>
        <v/>
      </c>
    </row>
    <row r="634" spans="5:15">
      <c r="E634" s="224">
        <f t="shared" si="107"/>
        <v>0</v>
      </c>
      <c r="G634" s="224">
        <f>IFERROR(ROUNDUP(F634*'Customer Base'!$J$5,2),0)</f>
        <v>0</v>
      </c>
      <c r="I634" s="224"/>
      <c r="L634" s="103" t="str">
        <f t="shared" si="106"/>
        <v/>
      </c>
      <c r="N634" s="103">
        <v>633</v>
      </c>
      <c r="O634" s="103" t="str">
        <f>IF('Customer Base'!$I$15="MANUAL",IF(B634&lt;&gt;"",C634,""),IF('Customer Base'!$I$15="AUTOMATE",IF(A634&lt;&gt;"",C634,""),""))</f>
        <v/>
      </c>
    </row>
    <row r="635" spans="5:15">
      <c r="E635" s="224">
        <f t="shared" si="107"/>
        <v>0</v>
      </c>
      <c r="G635" s="224">
        <f>IFERROR(ROUNDUP(F635*'Customer Base'!$J$5,2),0)</f>
        <v>0</v>
      </c>
      <c r="L635" s="103" t="str">
        <f t="shared" si="106"/>
        <v/>
      </c>
      <c r="N635" s="103">
        <v>634</v>
      </c>
      <c r="O635" s="103" t="str">
        <f>IF('Customer Base'!$I$15="MANUAL",IF(B635&lt;&gt;"",C635,""),IF('Customer Base'!$I$15="AUTOMATE",IF(A635&lt;&gt;"",C635,""),""))</f>
        <v/>
      </c>
    </row>
    <row r="636" spans="5:15">
      <c r="E636" s="224">
        <f t="shared" si="107"/>
        <v>0</v>
      </c>
      <c r="G636" s="224">
        <f>IFERROR(ROUNDUP(F636*'Customer Base'!$J$5,2),0)</f>
        <v>0</v>
      </c>
      <c r="L636" s="103" t="str">
        <f t="shared" si="106"/>
        <v/>
      </c>
      <c r="N636" s="103">
        <v>635</v>
      </c>
      <c r="O636" s="103" t="str">
        <f>IF('Customer Base'!$I$15="MANUAL",IF(B636&lt;&gt;"",C636,""),IF('Customer Base'!$I$15="AUTOMATE",IF(A636&lt;&gt;"",C636,""),""))</f>
        <v/>
      </c>
    </row>
    <row r="637" spans="5:15">
      <c r="E637" s="224">
        <f t="shared" si="107"/>
        <v>0</v>
      </c>
      <c r="G637" s="224">
        <f>IFERROR(ROUNDUP(F637*'Customer Base'!$J$5,2),0)</f>
        <v>0</v>
      </c>
      <c r="L637" s="103" t="str">
        <f t="shared" si="106"/>
        <v/>
      </c>
      <c r="N637" s="103">
        <v>636</v>
      </c>
      <c r="O637" s="103" t="str">
        <f>IF('Customer Base'!$I$15="MANUAL",IF(B637&lt;&gt;"",C637,""),IF('Customer Base'!$I$15="AUTOMATE",IF(A637&lt;&gt;"",C637,""),""))</f>
        <v/>
      </c>
    </row>
    <row r="638" spans="5:15">
      <c r="E638" s="224">
        <f t="shared" si="107"/>
        <v>0</v>
      </c>
      <c r="G638" s="224">
        <f>IFERROR(ROUNDUP(F638*'Customer Base'!$J$5,2),0)</f>
        <v>0</v>
      </c>
      <c r="L638" s="103" t="str">
        <f t="shared" si="106"/>
        <v/>
      </c>
      <c r="N638" s="103">
        <v>637</v>
      </c>
      <c r="O638" s="103" t="str">
        <f>IF('Customer Base'!$I$15="MANUAL",IF(B638&lt;&gt;"",C638,""),IF('Customer Base'!$I$15="AUTOMATE",IF(A638&lt;&gt;"",C638,""),""))</f>
        <v/>
      </c>
    </row>
    <row r="639" spans="5:15">
      <c r="E639" s="224">
        <f t="shared" si="107"/>
        <v>0</v>
      </c>
      <c r="G639" s="224">
        <f>IFERROR(ROUNDUP(F639*'Customer Base'!$J$5,2),0)</f>
        <v>0</v>
      </c>
      <c r="L639" s="103" t="str">
        <f t="shared" si="106"/>
        <v/>
      </c>
      <c r="N639" s="103">
        <v>638</v>
      </c>
      <c r="O639" s="103" t="str">
        <f>IF('Customer Base'!$I$15="MANUAL",IF(B639&lt;&gt;"",C639,""),IF('Customer Base'!$I$15="AUTOMATE",IF(A639&lt;&gt;"",C639,""),""))</f>
        <v/>
      </c>
    </row>
    <row r="640" spans="5:15">
      <c r="E640" s="224">
        <f t="shared" si="107"/>
        <v>0</v>
      </c>
      <c r="G640" s="224">
        <f>IFERROR(ROUNDUP(F640*'Customer Base'!$J$5,2),0)</f>
        <v>0</v>
      </c>
      <c r="L640" s="103" t="str">
        <f t="shared" si="106"/>
        <v/>
      </c>
      <c r="N640" s="103">
        <v>639</v>
      </c>
      <c r="O640" s="103" t="str">
        <f>IF('Customer Base'!$I$15="MANUAL",IF(B640&lt;&gt;"",C640,""),IF('Customer Base'!$I$15="AUTOMATE",IF(A640&lt;&gt;"",C640,""),""))</f>
        <v/>
      </c>
    </row>
    <row r="641" spans="5:15">
      <c r="E641" s="224">
        <f t="shared" si="107"/>
        <v>0</v>
      </c>
      <c r="G641" s="224">
        <f>IFERROR(ROUNDUP(F641*'Customer Base'!$J$5,2),0)</f>
        <v>0</v>
      </c>
      <c r="L641" s="103" t="str">
        <f t="shared" si="106"/>
        <v/>
      </c>
      <c r="N641" s="103">
        <v>640</v>
      </c>
      <c r="O641" s="103" t="str">
        <f>IF('Customer Base'!$I$15="MANUAL",IF(B641&lt;&gt;"",C641,""),IF('Customer Base'!$I$15="AUTOMATE",IF(A641&lt;&gt;"",C641,""),""))</f>
        <v/>
      </c>
    </row>
    <row r="642" spans="5:15">
      <c r="E642" s="224">
        <f t="shared" si="107"/>
        <v>0</v>
      </c>
      <c r="G642" s="224">
        <f>IFERROR(ROUNDUP(F642*'Customer Base'!$J$5,2),0)</f>
        <v>0</v>
      </c>
      <c r="L642" s="103" t="str">
        <f t="shared" si="106"/>
        <v/>
      </c>
      <c r="N642" s="103">
        <v>641</v>
      </c>
      <c r="O642" s="103" t="str">
        <f>IF('Customer Base'!$I$15="MANUAL",IF(B642&lt;&gt;"",C642,""),IF('Customer Base'!$I$15="AUTOMATE",IF(A642&lt;&gt;"",C642,""),""))</f>
        <v/>
      </c>
    </row>
    <row r="643" spans="5:15">
      <c r="E643" s="224">
        <f t="shared" si="107"/>
        <v>0</v>
      </c>
      <c r="G643" s="224">
        <f>IFERROR(ROUNDUP(F643*'Customer Base'!$J$5,2),0)</f>
        <v>0</v>
      </c>
      <c r="L643" s="103" t="str">
        <f t="shared" si="106"/>
        <v/>
      </c>
      <c r="N643" s="103">
        <v>642</v>
      </c>
      <c r="O643" s="103" t="str">
        <f>IF('Customer Base'!$I$15="MANUAL",IF(B643&lt;&gt;"",C643,""),IF('Customer Base'!$I$15="AUTOMATE",IF(A643&lt;&gt;"",C643,""),""))</f>
        <v/>
      </c>
    </row>
    <row r="644" spans="5:15">
      <c r="E644" s="224">
        <f t="shared" si="107"/>
        <v>0</v>
      </c>
      <c r="G644" s="224">
        <f>IFERROR(ROUNDUP(F644*'Customer Base'!$J$5,2),0)</f>
        <v>0</v>
      </c>
      <c r="L644" s="103" t="str">
        <f t="shared" si="106"/>
        <v/>
      </c>
      <c r="N644" s="103">
        <v>643</v>
      </c>
      <c r="O644" s="103" t="str">
        <f>IF('Customer Base'!$I$15="MANUAL",IF(B644&lt;&gt;"",C644,""),IF('Customer Base'!$I$15="AUTOMATE",IF(A644&lt;&gt;"",C644,""),""))</f>
        <v/>
      </c>
    </row>
    <row r="645" spans="5:15">
      <c r="E645" s="224">
        <f t="shared" si="107"/>
        <v>0</v>
      </c>
      <c r="G645" s="224">
        <f>IFERROR(ROUNDUP(F645*'Customer Base'!$J$5,2),0)</f>
        <v>0</v>
      </c>
      <c r="L645" s="103" t="str">
        <f t="shared" si="106"/>
        <v/>
      </c>
      <c r="N645" s="103">
        <v>644</v>
      </c>
      <c r="O645" s="103" t="str">
        <f>IF('Customer Base'!$I$15="MANUAL",IF(B645&lt;&gt;"",C645,""),IF('Customer Base'!$I$15="AUTOMATE",IF(A645&lt;&gt;"",C645,""),""))</f>
        <v/>
      </c>
    </row>
    <row r="646" spans="5:15">
      <c r="E646" s="224">
        <f t="shared" si="107"/>
        <v>0</v>
      </c>
      <c r="G646" s="224">
        <f>IFERROR(ROUNDUP(F646*'Customer Base'!$J$5,2),0)</f>
        <v>0</v>
      </c>
      <c r="L646" s="103" t="str">
        <f t="shared" si="106"/>
        <v/>
      </c>
      <c r="N646" s="103">
        <v>645</v>
      </c>
      <c r="O646" s="103" t="str">
        <f>IF('Customer Base'!$I$15="MANUAL",IF(B646&lt;&gt;"",C646,""),IF('Customer Base'!$I$15="AUTOMATE",IF(A646&lt;&gt;"",C646,""),""))</f>
        <v/>
      </c>
    </row>
    <row r="647" spans="5:15">
      <c r="E647" s="224">
        <f t="shared" si="107"/>
        <v>0</v>
      </c>
      <c r="G647" s="224">
        <f>IFERROR(ROUNDUP(F647*'Customer Base'!$J$5,2),0)</f>
        <v>0</v>
      </c>
      <c r="L647" s="103" t="str">
        <f t="shared" si="106"/>
        <v/>
      </c>
      <c r="N647" s="103">
        <v>646</v>
      </c>
      <c r="O647" s="103" t="str">
        <f>IF('Customer Base'!$I$15="MANUAL",IF(B647&lt;&gt;"",C647,""),IF('Customer Base'!$I$15="AUTOMATE",IF(A647&lt;&gt;"",C647,""),""))</f>
        <v/>
      </c>
    </row>
    <row r="648" spans="5:15">
      <c r="E648" s="224">
        <f t="shared" si="107"/>
        <v>0</v>
      </c>
      <c r="G648" s="224">
        <f>IFERROR(ROUNDUP(F648*'Customer Base'!$J$5,2),0)</f>
        <v>0</v>
      </c>
      <c r="L648" s="103" t="str">
        <f t="shared" si="106"/>
        <v/>
      </c>
      <c r="N648" s="103">
        <v>647</v>
      </c>
      <c r="O648" s="103" t="str">
        <f>IF('Customer Base'!$I$15="MANUAL",IF(B648&lt;&gt;"",C648,""),IF('Customer Base'!$I$15="AUTOMATE",IF(A648&lt;&gt;"",C648,""),""))</f>
        <v/>
      </c>
    </row>
    <row r="649" spans="5:15">
      <c r="E649" s="224">
        <f t="shared" si="107"/>
        <v>0</v>
      </c>
      <c r="G649" s="224">
        <f>IFERROR(ROUNDUP(F649*'Customer Base'!$J$5,2),0)</f>
        <v>0</v>
      </c>
      <c r="L649" s="103" t="str">
        <f t="shared" si="106"/>
        <v/>
      </c>
      <c r="N649" s="103">
        <v>648</v>
      </c>
      <c r="O649" s="103" t="str">
        <f>IF('Customer Base'!$I$15="MANUAL",IF(B649&lt;&gt;"",C649,""),IF('Customer Base'!$I$15="AUTOMATE",IF(A649&lt;&gt;"",C649,""),""))</f>
        <v/>
      </c>
    </row>
    <row r="650" spans="5:15">
      <c r="E650" s="224">
        <f t="shared" si="107"/>
        <v>0</v>
      </c>
      <c r="G650" s="224">
        <f>IFERROR(ROUNDUP(F650*'Customer Base'!$J$5,2),0)</f>
        <v>0</v>
      </c>
      <c r="L650" s="103" t="str">
        <f t="shared" si="106"/>
        <v/>
      </c>
      <c r="N650" s="103">
        <v>649</v>
      </c>
      <c r="O650" s="103" t="str">
        <f>IF('Customer Base'!$I$15="MANUAL",IF(B650&lt;&gt;"",C650,""),IF('Customer Base'!$I$15="AUTOMATE",IF(A650&lt;&gt;"",C650,""),""))</f>
        <v/>
      </c>
    </row>
    <row r="651" spans="5:15">
      <c r="E651" s="224">
        <f t="shared" si="107"/>
        <v>0</v>
      </c>
      <c r="G651" s="224">
        <f>IFERROR(ROUNDUP(F651*'Customer Base'!$J$5,2),0)</f>
        <v>0</v>
      </c>
      <c r="L651" s="103" t="str">
        <f t="shared" si="106"/>
        <v/>
      </c>
      <c r="N651" s="103">
        <v>650</v>
      </c>
      <c r="O651" s="103" t="str">
        <f>IF('Customer Base'!$I$15="MANUAL",IF(B651&lt;&gt;"",C651,""),IF('Customer Base'!$I$15="AUTOMATE",IF(A651&lt;&gt;"",C651,""),""))</f>
        <v/>
      </c>
    </row>
    <row r="652" spans="5:15">
      <c r="E652" s="224">
        <f t="shared" si="107"/>
        <v>0</v>
      </c>
      <c r="G652" s="224">
        <f>IFERROR(ROUNDUP(F652*'Customer Base'!$J$5,2),0)</f>
        <v>0</v>
      </c>
      <c r="L652" s="103" t="str">
        <f t="shared" si="106"/>
        <v/>
      </c>
      <c r="N652" s="103">
        <v>651</v>
      </c>
      <c r="O652" s="103" t="str">
        <f>IF('Customer Base'!$I$15="MANUAL",IF(B652&lt;&gt;"",C652,""),IF('Customer Base'!$I$15="AUTOMATE",IF(A652&lt;&gt;"",C652,""),""))</f>
        <v/>
      </c>
    </row>
    <row r="653" spans="5:15">
      <c r="E653" s="224">
        <f t="shared" si="107"/>
        <v>0</v>
      </c>
      <c r="G653" s="224">
        <f>IFERROR(ROUNDUP(F653*'Customer Base'!$J$5,2),0)</f>
        <v>0</v>
      </c>
      <c r="L653" s="103" t="str">
        <f t="shared" si="106"/>
        <v/>
      </c>
      <c r="N653" s="103">
        <v>652</v>
      </c>
      <c r="O653" s="103" t="str">
        <f>IF('Customer Base'!$I$15="MANUAL",IF(B653&lt;&gt;"",C653,""),IF('Customer Base'!$I$15="AUTOMATE",IF(A653&lt;&gt;"",C653,""),""))</f>
        <v/>
      </c>
    </row>
    <row r="654" spans="5:15">
      <c r="E654" s="224">
        <f t="shared" si="107"/>
        <v>0</v>
      </c>
      <c r="G654" s="224">
        <f>IFERROR(ROUNDUP(F654*'Customer Base'!$J$5,2),0)</f>
        <v>0</v>
      </c>
      <c r="L654" s="103" t="str">
        <f t="shared" si="106"/>
        <v/>
      </c>
      <c r="N654" s="103">
        <v>653</v>
      </c>
      <c r="O654" s="103" t="str">
        <f>IF('Customer Base'!$I$15="MANUAL",IF(B654&lt;&gt;"",C654,""),IF('Customer Base'!$I$15="AUTOMATE",IF(A654&lt;&gt;"",C654,""),""))</f>
        <v/>
      </c>
    </row>
    <row r="655" spans="5:15">
      <c r="E655" s="224">
        <f t="shared" si="107"/>
        <v>0</v>
      </c>
      <c r="G655" s="224">
        <f>IFERROR(ROUNDUP(F655*'Customer Base'!$J$5,2),0)</f>
        <v>0</v>
      </c>
      <c r="L655" s="103" t="str">
        <f t="shared" si="106"/>
        <v/>
      </c>
      <c r="N655" s="103">
        <v>654</v>
      </c>
      <c r="O655" s="103" t="str">
        <f>IF('Customer Base'!$I$15="MANUAL",IF(B655&lt;&gt;"",C655,""),IF('Customer Base'!$I$15="AUTOMATE",IF(A655&lt;&gt;"",C655,""),""))</f>
        <v/>
      </c>
    </row>
    <row r="656" spans="5:15">
      <c r="E656" s="224">
        <f t="shared" si="107"/>
        <v>0</v>
      </c>
      <c r="G656" s="224">
        <f>IFERROR(ROUNDUP(F656*'Customer Base'!$J$5,2),0)</f>
        <v>0</v>
      </c>
      <c r="L656" s="103" t="str">
        <f t="shared" si="106"/>
        <v/>
      </c>
      <c r="N656" s="103">
        <v>655</v>
      </c>
      <c r="O656" s="103" t="str">
        <f>IF('Customer Base'!$I$15="MANUAL",IF(B656&lt;&gt;"",C656,""),IF('Customer Base'!$I$15="AUTOMATE",IF(A656&lt;&gt;"",C656,""),""))</f>
        <v/>
      </c>
    </row>
    <row r="657" spans="5:15">
      <c r="E657" s="224">
        <f t="shared" si="107"/>
        <v>0</v>
      </c>
      <c r="G657" s="224">
        <f>IFERROR(ROUNDUP(F657*'Customer Base'!$J$5,2),0)</f>
        <v>0</v>
      </c>
      <c r="L657" s="103" t="str">
        <f t="shared" si="106"/>
        <v/>
      </c>
      <c r="N657" s="103">
        <v>656</v>
      </c>
      <c r="O657" s="103" t="str">
        <f>IF('Customer Base'!$I$15="MANUAL",IF(B657&lt;&gt;"",C657,""),IF('Customer Base'!$I$15="AUTOMATE",IF(A657&lt;&gt;"",C657,""),""))</f>
        <v/>
      </c>
    </row>
    <row r="658" spans="5:15">
      <c r="E658" s="224">
        <f t="shared" si="107"/>
        <v>0</v>
      </c>
      <c r="G658" s="224">
        <f>IFERROR(ROUNDUP(F658*'Customer Base'!$J$5,2),0)</f>
        <v>0</v>
      </c>
      <c r="L658" s="103" t="str">
        <f t="shared" ref="L658:L687" si="108">IF(H658&gt;F658,"lkkajdfkj","")</f>
        <v/>
      </c>
      <c r="N658" s="103">
        <v>657</v>
      </c>
      <c r="O658" s="103" t="str">
        <f>IF('Customer Base'!$I$15="MANUAL",IF(B658&lt;&gt;"",C658,""),IF('Customer Base'!$I$15="AUTOMATE",IF(A658&lt;&gt;"",C658,""),""))</f>
        <v/>
      </c>
    </row>
    <row r="659" spans="5:15">
      <c r="E659" s="224">
        <f t="shared" si="107"/>
        <v>0</v>
      </c>
      <c r="G659" s="224">
        <f>IFERROR(ROUNDUP(F659*'Customer Base'!$J$5,2),0)</f>
        <v>0</v>
      </c>
      <c r="L659" s="103" t="str">
        <f t="shared" si="108"/>
        <v/>
      </c>
      <c r="N659" s="103">
        <v>658</v>
      </c>
      <c r="O659" s="103" t="str">
        <f>IF('Customer Base'!$I$15="MANUAL",IF(B659&lt;&gt;"",C659,""),IF('Customer Base'!$I$15="AUTOMATE",IF(A659&lt;&gt;"",C659,""),""))</f>
        <v/>
      </c>
    </row>
    <row r="660" spans="5:15">
      <c r="E660" s="224">
        <f t="shared" si="107"/>
        <v>0</v>
      </c>
      <c r="G660" s="224">
        <f>IFERROR(ROUNDUP(F660*'Customer Base'!$J$5,2),0)</f>
        <v>0</v>
      </c>
      <c r="L660" s="103" t="str">
        <f t="shared" si="108"/>
        <v/>
      </c>
      <c r="N660" s="103">
        <v>659</v>
      </c>
      <c r="O660" s="103" t="str">
        <f>IF('Customer Base'!$I$15="MANUAL",IF(B660&lt;&gt;"",C660,""),IF('Customer Base'!$I$15="AUTOMATE",IF(A660&lt;&gt;"",C660,""),""))</f>
        <v/>
      </c>
    </row>
    <row r="661" spans="5:15">
      <c r="E661" s="224">
        <f t="shared" si="107"/>
        <v>0</v>
      </c>
      <c r="G661" s="224">
        <f>IFERROR(ROUNDUP(F661*'Customer Base'!$J$5,2),0)</f>
        <v>0</v>
      </c>
      <c r="L661" s="103" t="str">
        <f t="shared" si="108"/>
        <v/>
      </c>
      <c r="N661" s="103">
        <v>660</v>
      </c>
      <c r="O661" s="103" t="str">
        <f>IF('Customer Base'!$I$15="MANUAL",IF(B661&lt;&gt;"",C661,""),IF('Customer Base'!$I$15="AUTOMATE",IF(A661&lt;&gt;"",C661,""),""))</f>
        <v/>
      </c>
    </row>
    <row r="662" spans="5:15">
      <c r="E662" s="224">
        <f t="shared" si="107"/>
        <v>0</v>
      </c>
      <c r="G662" s="224">
        <f>IFERROR(ROUNDUP(F662*'Customer Base'!$J$5,2),0)</f>
        <v>0</v>
      </c>
      <c r="L662" s="103" t="str">
        <f t="shared" si="108"/>
        <v/>
      </c>
      <c r="N662" s="103">
        <v>661</v>
      </c>
      <c r="O662" s="103" t="str">
        <f>IF('Customer Base'!$I$15="MANUAL",IF(B662&lt;&gt;"",C662,""),IF('Customer Base'!$I$15="AUTOMATE",IF(A662&lt;&gt;"",C662,""),""))</f>
        <v/>
      </c>
    </row>
    <row r="663" spans="5:15">
      <c r="E663" s="224">
        <f t="shared" si="107"/>
        <v>0</v>
      </c>
      <c r="G663" s="224">
        <f>IFERROR(ROUNDUP(F663*'Customer Base'!$J$5,2),0)</f>
        <v>0</v>
      </c>
      <c r="L663" s="103" t="str">
        <f t="shared" si="108"/>
        <v/>
      </c>
      <c r="N663" s="103">
        <v>662</v>
      </c>
      <c r="O663" s="103" t="str">
        <f>IF('Customer Base'!$I$15="MANUAL",IF(B663&lt;&gt;"",C663,""),IF('Customer Base'!$I$15="AUTOMATE",IF(A663&lt;&gt;"",C663,""),""))</f>
        <v/>
      </c>
    </row>
    <row r="664" spans="5:15">
      <c r="E664" s="224">
        <f t="shared" si="107"/>
        <v>0</v>
      </c>
      <c r="G664" s="224">
        <f>IFERROR(ROUNDUP(F664*'Customer Base'!$J$5,2),0)</f>
        <v>0</v>
      </c>
      <c r="L664" s="103" t="str">
        <f t="shared" si="108"/>
        <v/>
      </c>
      <c r="N664" s="103">
        <v>663</v>
      </c>
      <c r="O664" s="103" t="str">
        <f>IF('Customer Base'!$I$15="MANUAL",IF(B664&lt;&gt;"",C664,""),IF('Customer Base'!$I$15="AUTOMATE",IF(A664&lt;&gt;"",C664,""),""))</f>
        <v/>
      </c>
    </row>
    <row r="665" spans="5:15">
      <c r="E665" s="224">
        <f t="shared" si="107"/>
        <v>0</v>
      </c>
      <c r="G665" s="224">
        <f>IFERROR(ROUNDUP(F665*'Customer Base'!$J$5,2),0)</f>
        <v>0</v>
      </c>
      <c r="L665" s="103" t="str">
        <f t="shared" si="108"/>
        <v/>
      </c>
      <c r="N665" s="103">
        <v>664</v>
      </c>
      <c r="O665" s="103" t="str">
        <f>IF('Customer Base'!$I$15="MANUAL",IF(B665&lt;&gt;"",C665,""),IF('Customer Base'!$I$15="AUTOMATE",IF(A665&lt;&gt;"",C665,""),""))</f>
        <v/>
      </c>
    </row>
    <row r="666" spans="5:15">
      <c r="E666" s="224">
        <f t="shared" si="107"/>
        <v>0</v>
      </c>
      <c r="G666" s="224">
        <f>IFERROR(ROUNDUP(F666*'Customer Base'!$J$5,2),0)</f>
        <v>0</v>
      </c>
      <c r="L666" s="103" t="str">
        <f t="shared" si="108"/>
        <v/>
      </c>
      <c r="N666" s="103">
        <v>665</v>
      </c>
      <c r="O666" s="103" t="str">
        <f>IF('Customer Base'!$I$15="MANUAL",IF(B666&lt;&gt;"",C666,""),IF('Customer Base'!$I$15="AUTOMATE",IF(A666&lt;&gt;"",C666,""),""))</f>
        <v/>
      </c>
    </row>
    <row r="667" spans="5:15">
      <c r="E667" s="224">
        <f t="shared" si="107"/>
        <v>0</v>
      </c>
      <c r="G667" s="224">
        <f>IFERROR(ROUNDUP(F667*'Customer Base'!$J$5,2),0)</f>
        <v>0</v>
      </c>
      <c r="L667" s="103" t="str">
        <f t="shared" si="108"/>
        <v/>
      </c>
      <c r="N667" s="103">
        <v>666</v>
      </c>
      <c r="O667" s="103" t="str">
        <f>IF('Customer Base'!$I$15="MANUAL",IF(B667&lt;&gt;"",C667,""),IF('Customer Base'!$I$15="AUTOMATE",IF(A667&lt;&gt;"",C667,""),""))</f>
        <v/>
      </c>
    </row>
    <row r="668" spans="5:15">
      <c r="E668" s="224">
        <f t="shared" si="107"/>
        <v>0</v>
      </c>
      <c r="G668" s="224">
        <f>IFERROR(ROUNDUP(F668*'Customer Base'!$J$5,2),0)</f>
        <v>0</v>
      </c>
      <c r="L668" s="103" t="str">
        <f t="shared" si="108"/>
        <v/>
      </c>
      <c r="N668" s="103">
        <v>667</v>
      </c>
      <c r="O668" s="103" t="str">
        <f>IF('Customer Base'!$I$15="MANUAL",IF(B668&lt;&gt;"",C668,""),IF('Customer Base'!$I$15="AUTOMATE",IF(A668&lt;&gt;"",C668,""),""))</f>
        <v/>
      </c>
    </row>
    <row r="669" spans="5:15">
      <c r="E669" s="224">
        <f t="shared" si="107"/>
        <v>0</v>
      </c>
      <c r="G669" s="224">
        <f>IFERROR(ROUNDUP(F669*'Customer Base'!$J$5,2),0)</f>
        <v>0</v>
      </c>
      <c r="L669" s="103" t="str">
        <f t="shared" si="108"/>
        <v/>
      </c>
      <c r="N669" s="103">
        <v>668</v>
      </c>
      <c r="O669" s="103" t="str">
        <f>IF('Customer Base'!$I$15="MANUAL",IF(B669&lt;&gt;"",C669,""),IF('Customer Base'!$I$15="AUTOMATE",IF(A669&lt;&gt;"",C669,""),""))</f>
        <v/>
      </c>
    </row>
    <row r="670" spans="5:15">
      <c r="E670" s="224">
        <f t="shared" si="107"/>
        <v>0</v>
      </c>
      <c r="G670" s="224">
        <f>IFERROR(ROUNDUP(F670*'Customer Base'!$J$5,2),0)</f>
        <v>0</v>
      </c>
      <c r="L670" s="103" t="str">
        <f t="shared" si="108"/>
        <v/>
      </c>
      <c r="N670" s="103">
        <v>669</v>
      </c>
      <c r="O670" s="103" t="str">
        <f>IF('Customer Base'!$I$15="MANUAL",IF(B670&lt;&gt;"",C670,""),IF('Customer Base'!$I$15="AUTOMATE",IF(A670&lt;&gt;"",C670,""),""))</f>
        <v/>
      </c>
    </row>
    <row r="671" spans="5:15">
      <c r="E671" s="224">
        <f t="shared" si="107"/>
        <v>0</v>
      </c>
      <c r="G671" s="224">
        <f>IFERROR(ROUNDUP(F671*'Customer Base'!$J$5,2),0)</f>
        <v>0</v>
      </c>
      <c r="L671" s="103" t="str">
        <f t="shared" si="108"/>
        <v/>
      </c>
      <c r="N671" s="103">
        <v>670</v>
      </c>
      <c r="O671" s="103" t="str">
        <f>IF('Customer Base'!$I$15="MANUAL",IF(B671&lt;&gt;"",C671,""),IF('Customer Base'!$I$15="AUTOMATE",IF(A671&lt;&gt;"",C671,""),""))</f>
        <v/>
      </c>
    </row>
    <row r="672" spans="5:15">
      <c r="E672" s="224">
        <f t="shared" si="107"/>
        <v>0</v>
      </c>
      <c r="G672" s="224">
        <f>IFERROR(ROUNDUP(F672*'Customer Base'!$J$5,2),0)</f>
        <v>0</v>
      </c>
      <c r="L672" s="103" t="str">
        <f t="shared" si="108"/>
        <v/>
      </c>
      <c r="N672" s="103">
        <v>671</v>
      </c>
      <c r="O672" s="103" t="str">
        <f>IF('Customer Base'!$I$15="MANUAL",IF(B672&lt;&gt;"",C672,""),IF('Customer Base'!$I$15="AUTOMATE",IF(A672&lt;&gt;"",C672,""),""))</f>
        <v/>
      </c>
    </row>
    <row r="673" spans="5:15">
      <c r="E673" s="224">
        <f t="shared" si="107"/>
        <v>0</v>
      </c>
      <c r="G673" s="224">
        <f>IFERROR(ROUNDUP(F673*'Customer Base'!$J$5,2),0)</f>
        <v>0</v>
      </c>
      <c r="L673" s="103" t="str">
        <f t="shared" si="108"/>
        <v/>
      </c>
      <c r="N673" s="103">
        <v>672</v>
      </c>
      <c r="O673" s="103" t="str">
        <f>IF('Customer Base'!$I$15="MANUAL",IF(B673&lt;&gt;"",C673,""),IF('Customer Base'!$I$15="AUTOMATE",IF(A673&lt;&gt;"",C673,""),""))</f>
        <v/>
      </c>
    </row>
    <row r="674" spans="5:15">
      <c r="E674" s="224">
        <f t="shared" si="107"/>
        <v>0</v>
      </c>
      <c r="G674" s="224">
        <f>IFERROR(ROUNDUP(F674*'Customer Base'!$J$5,2),0)</f>
        <v>0</v>
      </c>
      <c r="L674" s="103" t="str">
        <f t="shared" si="108"/>
        <v/>
      </c>
      <c r="N674" s="103">
        <v>673</v>
      </c>
      <c r="O674" s="103" t="str">
        <f>IF('Customer Base'!$I$15="MANUAL",IF(B674&lt;&gt;"",C674,""),IF('Customer Base'!$I$15="AUTOMATE",IF(A674&lt;&gt;"",C674,""),""))</f>
        <v/>
      </c>
    </row>
    <row r="675" spans="5:15">
      <c r="E675" s="224">
        <f t="shared" si="107"/>
        <v>0</v>
      </c>
      <c r="G675" s="224">
        <f>IFERROR(ROUNDUP(F675*'Customer Base'!$J$5,2),0)</f>
        <v>0</v>
      </c>
      <c r="L675" s="103" t="str">
        <f t="shared" si="108"/>
        <v/>
      </c>
      <c r="N675" s="103">
        <v>674</v>
      </c>
      <c r="O675" s="103" t="str">
        <f>IF('Customer Base'!$I$15="MANUAL",IF(B675&lt;&gt;"",C675,""),IF('Customer Base'!$I$15="AUTOMATE",IF(A675&lt;&gt;"",C675,""),""))</f>
        <v/>
      </c>
    </row>
    <row r="676" spans="5:15">
      <c r="E676" s="224">
        <f t="shared" si="107"/>
        <v>0</v>
      </c>
      <c r="G676" s="224">
        <f>IFERROR(ROUNDUP(F676*'Customer Base'!$J$5,2),0)</f>
        <v>0</v>
      </c>
      <c r="L676" s="103" t="str">
        <f t="shared" si="108"/>
        <v/>
      </c>
      <c r="N676" s="103">
        <v>675</v>
      </c>
      <c r="O676" s="103" t="str">
        <f>IF('Customer Base'!$I$15="MANUAL",IF(B676&lt;&gt;"",C676,""),IF('Customer Base'!$I$15="AUTOMATE",IF(A676&lt;&gt;"",C676,""),""))</f>
        <v/>
      </c>
    </row>
    <row r="677" spans="5:15">
      <c r="E677" s="224">
        <f t="shared" si="107"/>
        <v>0</v>
      </c>
      <c r="G677" s="224">
        <f>IFERROR(ROUNDUP(F677*'Customer Base'!$J$5,2),0)</f>
        <v>0</v>
      </c>
      <c r="L677" s="103" t="str">
        <f t="shared" si="108"/>
        <v/>
      </c>
      <c r="N677" s="103">
        <v>676</v>
      </c>
      <c r="O677" s="103" t="str">
        <f>IF('Customer Base'!$I$15="MANUAL",IF(B677&lt;&gt;"",C677,""),IF('Customer Base'!$I$15="AUTOMATE",IF(A677&lt;&gt;"",C677,""),""))</f>
        <v/>
      </c>
    </row>
    <row r="678" spans="5:15">
      <c r="E678" s="224">
        <f t="shared" si="107"/>
        <v>0</v>
      </c>
      <c r="G678" s="224">
        <f>IFERROR(ROUNDUP(F678*'Customer Base'!$J$5,2),0)</f>
        <v>0</v>
      </c>
      <c r="L678" s="103" t="str">
        <f t="shared" si="108"/>
        <v/>
      </c>
      <c r="N678" s="103">
        <v>677</v>
      </c>
      <c r="O678" s="103" t="str">
        <f>IF('Customer Base'!$I$15="MANUAL",IF(B678&lt;&gt;"",C678,""),IF('Customer Base'!$I$15="AUTOMATE",IF(A678&lt;&gt;"",C678,""),""))</f>
        <v/>
      </c>
    </row>
    <row r="679" spans="5:15">
      <c r="E679" s="224">
        <f t="shared" si="107"/>
        <v>0</v>
      </c>
      <c r="G679" s="224">
        <f>IFERROR(ROUNDUP(F679*'Customer Base'!$J$5,2),0)</f>
        <v>0</v>
      </c>
      <c r="L679" s="103" t="str">
        <f t="shared" si="108"/>
        <v/>
      </c>
      <c r="N679" s="103">
        <v>678</v>
      </c>
      <c r="O679" s="103" t="str">
        <f>IF('Customer Base'!$I$15="MANUAL",IF(B679&lt;&gt;"",C679,""),IF('Customer Base'!$I$15="AUTOMATE",IF(A679&lt;&gt;"",C679,""),""))</f>
        <v/>
      </c>
    </row>
    <row r="680" spans="5:15">
      <c r="E680" s="224">
        <f t="shared" si="107"/>
        <v>0</v>
      </c>
      <c r="G680" s="224">
        <f>IFERROR(ROUNDUP(F680*'Customer Base'!$J$5,2),0)</f>
        <v>0</v>
      </c>
      <c r="L680" s="103" t="str">
        <f t="shared" si="108"/>
        <v/>
      </c>
      <c r="N680" s="103">
        <v>679</v>
      </c>
      <c r="O680" s="103" t="str">
        <f>IF('Customer Base'!$I$15="MANUAL",IF(B680&lt;&gt;"",C680,""),IF('Customer Base'!$I$15="AUTOMATE",IF(A680&lt;&gt;"",C680,""),""))</f>
        <v/>
      </c>
    </row>
    <row r="681" spans="5:15">
      <c r="E681" s="224">
        <f t="shared" si="107"/>
        <v>0</v>
      </c>
      <c r="G681" s="224">
        <f>IFERROR(ROUNDUP(F681*'Customer Base'!$J$5,2),0)</f>
        <v>0</v>
      </c>
      <c r="L681" s="103" t="str">
        <f t="shared" si="108"/>
        <v/>
      </c>
      <c r="N681" s="103">
        <v>680</v>
      </c>
      <c r="O681" s="103" t="str">
        <f>IF('Customer Base'!$I$15="MANUAL",IF(B681&lt;&gt;"",C681,""),IF('Customer Base'!$I$15="AUTOMATE",IF(A681&lt;&gt;"",C681,""),""))</f>
        <v/>
      </c>
    </row>
    <row r="682" spans="5:15">
      <c r="E682" s="224">
        <f t="shared" si="107"/>
        <v>0</v>
      </c>
      <c r="G682" s="224">
        <f>IFERROR(ROUNDUP(F682*'Customer Base'!$J$5,2),0)</f>
        <v>0</v>
      </c>
      <c r="L682" s="103" t="str">
        <f t="shared" si="108"/>
        <v/>
      </c>
      <c r="N682" s="103">
        <v>681</v>
      </c>
      <c r="O682" s="103" t="str">
        <f>IF('Customer Base'!$I$15="MANUAL",IF(B682&lt;&gt;"",C682,""),IF('Customer Base'!$I$15="AUTOMATE",IF(A682&lt;&gt;"",C682,""),""))</f>
        <v/>
      </c>
    </row>
    <row r="683" spans="5:15">
      <c r="E683" s="224">
        <f t="shared" si="107"/>
        <v>0</v>
      </c>
      <c r="G683" s="224">
        <f>IFERROR(ROUNDUP(F683*'Customer Base'!$J$5,2),0)</f>
        <v>0</v>
      </c>
      <c r="L683" s="103" t="str">
        <f t="shared" si="108"/>
        <v/>
      </c>
      <c r="N683" s="103">
        <v>682</v>
      </c>
      <c r="O683" s="103" t="str">
        <f>IF('Customer Base'!$I$15="MANUAL",IF(B683&lt;&gt;"",C683,""),IF('Customer Base'!$I$15="AUTOMATE",IF(A683&lt;&gt;"",C683,""),""))</f>
        <v/>
      </c>
    </row>
    <row r="684" spans="5:15">
      <c r="E684" s="224">
        <f t="shared" si="107"/>
        <v>0</v>
      </c>
      <c r="G684" s="224">
        <f>IFERROR(ROUNDUP(F684*'Customer Base'!$J$5,2),0)</f>
        <v>0</v>
      </c>
      <c r="L684" s="103" t="str">
        <f t="shared" si="108"/>
        <v/>
      </c>
      <c r="N684" s="103">
        <v>683</v>
      </c>
      <c r="O684" s="103" t="str">
        <f>IF('Customer Base'!$I$15="MANUAL",IF(B684&lt;&gt;"",C684,""),IF('Customer Base'!$I$15="AUTOMATE",IF(A684&lt;&gt;"",C684,""),""))</f>
        <v/>
      </c>
    </row>
    <row r="685" spans="5:15">
      <c r="E685" s="224">
        <f t="shared" si="107"/>
        <v>0</v>
      </c>
      <c r="G685" s="224">
        <f>IFERROR(ROUNDUP(F685*'Customer Base'!$J$5,2),0)</f>
        <v>0</v>
      </c>
      <c r="L685" s="103" t="str">
        <f t="shared" si="108"/>
        <v/>
      </c>
      <c r="N685" s="103">
        <v>684</v>
      </c>
      <c r="O685" s="103" t="str">
        <f>IF('Customer Base'!$I$15="MANUAL",IF(B685&lt;&gt;"",C685,""),IF('Customer Base'!$I$15="AUTOMATE",IF(A685&lt;&gt;"",C685,""),""))</f>
        <v/>
      </c>
    </row>
    <row r="686" spans="5:15">
      <c r="L686" s="103" t="str">
        <f t="shared" si="108"/>
        <v/>
      </c>
      <c r="N686" s="103">
        <v>685</v>
      </c>
      <c r="O686" s="103" t="str">
        <f>IF('Customer Base'!$I$15="MANUAL",IF(B686&lt;&gt;"",C686,""),IF('Customer Base'!$I$15="AUTOMATE",IF(A686&lt;&gt;"",C686,""),""))</f>
        <v/>
      </c>
    </row>
    <row r="687" spans="5:15">
      <c r="L687" s="103" t="str">
        <f t="shared" si="108"/>
        <v/>
      </c>
      <c r="N687" s="103">
        <v>686</v>
      </c>
      <c r="O687" s="103" t="str">
        <f>IF('Customer Base'!$I$15="MANUAL",IF(B687&lt;&gt;"",C687,""),IF('Customer Base'!$I$15="AUTOMATE",IF(A687&lt;&gt;"",C687,""),""))</f>
        <v/>
      </c>
    </row>
    <row r="688" spans="5:15">
      <c r="O688" s="103" t="str">
        <f>IF('Customer Base'!$I$15="MANUAL",IF(B688&lt;&gt;"",C688,""),IF('Customer Base'!$I$15="AUTOMATE",IF(A688&lt;&gt;"",C688,""),""))</f>
        <v/>
      </c>
    </row>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8" xr:uid="{00000000-0001-0000-0500-000000000000}"/>
  <phoneticPr fontId="24" type="noConversion"/>
  <conditionalFormatting sqref="B1:B1048576">
    <cfRule type="cellIs" dxfId="62" priority="8" stopIfTrue="1" operator="equal">
      <formula>0</formula>
    </cfRule>
    <cfRule type="cellIs" dxfId="61" priority="12" operator="greaterThan">
      <formula>0</formula>
    </cfRule>
  </conditionalFormatting>
  <conditionalFormatting sqref="G1 N1:O4 Q15:AL20 H562:J1048576">
    <cfRule type="cellIs" dxfId="60" priority="21" operator="equal">
      <formula>0</formula>
    </cfRule>
  </conditionalFormatting>
  <conditionalFormatting sqref="H556:I561">
    <cfRule type="cellIs" dxfId="59" priority="3" operator="equal">
      <formula>0</formula>
    </cfRule>
  </conditionalFormatting>
  <conditionalFormatting sqref="P6:V7 AC6:AL14 N6:N687 Q8:V14 P8:P22 Q15:AK23 P24:AK35 AC26:AL34 P28:P42 Q35:AL43">
    <cfRule type="cellIs" dxfId="58" priority="2" operator="equal">
      <formula>0</formula>
    </cfRule>
  </conditionalFormatting>
  <conditionalFormatting sqref="R1:AZ1 BB1:XFD1 C1:F5 H1:I36 R2:AX2 AZ2:XFD2 K2:M4 BB3:XFD3 R3:AZ4 G3:G36 BB4:BK4 BM4:BO11 BQ4:XFD12 L5:BK5 AO6:AY6 BF6:BK10 BP6:BP35 F6:F36 BE6:BE53 J6:M248 O6:O248 C6:C539 AW7:AY20 AP7:AS30 AU7:AV36 BD7:BD53 AT7:AT161 AO7:AO248 BF11:BL11 BF12:BK12 BM12:BN12 BF13:XFD14 BM15:XFD20 BF15:BJ21 BM15:BO21 AW21:AZ23 P21:AN25 BE21:XFD25 BF22:BO35 AW24:BC25 AW26:AY36 AM26:AN53 BP26:XFD53 AZ27:AZ34 AQ31:AS45 AP31:AP111 AZ35:BC35 BF35:BJ41 BM35:BO41 AZ36:BP41 AU37:AY45 F37:I248 BF42:BO53 P44:AL53 AQ46:AY46 AU47:AZ53 AQ47:AS111 P54:AN114 AU54:AU161 AV54:XFD248 AP103:AS114 P115:AS130 AQ131:AS161 P131:AP165 AQ162:AU204 AP166:AP206 P166:AN248 AQ205:AS206 AT205:AU240 AP207:AS207 AQ208:AS214 AP208:AP246 AS215:AS240 AQ215:AR246 AS241:AU248 AP247:AT247 AP248:AR248 F249:M249 O249:XFD249 AP250:XFD276 P250:AN534 F250:I539 J250:J561 AO250:AO561 K250:M687 O250:O688 AP277:AP533 AQ277:XFD534 AO534:AP534 P535:XFD688 C540:I555 C556:G1048576 K688:N688 K689:XFD1048576">
    <cfRule type="cellIs" dxfId="57" priority="11" operator="equal">
      <formula>0</formula>
    </cfRule>
  </conditionalFormatting>
  <conditionalFormatting sqref="BA6:BC53">
    <cfRule type="cellIs" dxfId="56"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785" activePane="bottomRight" state="frozen"/>
      <selection activeCell="O51" sqref="O51"/>
      <selection pane="topRight" activeCell="O51" sqref="O51"/>
      <selection pane="bottomLeft" activeCell="O51" sqref="O51"/>
      <selection pane="bottomRight" activeCell="E802" sqref="E802"/>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2500</v>
      </c>
      <c r="C1" s="207" t="s">
        <v>2501</v>
      </c>
      <c r="D1" s="207" t="s">
        <v>2502</v>
      </c>
      <c r="E1" s="207" t="s">
        <v>2503</v>
      </c>
      <c r="F1" s="205" t="s">
        <v>2504</v>
      </c>
      <c r="G1" s="208" t="s">
        <v>2505</v>
      </c>
      <c r="H1" s="207" t="s">
        <v>2506</v>
      </c>
      <c r="N1" s="209">
        <f>IF('Customer Base'!D7&lt;&gt;"Mini-Grid",SUM(Items!A242:A255),ROUND(SUM(Items!A242:A255)-('Customer Base'!K11*('Customer Base'!F14*'Customer Base'!F15)/('Customer Base'!D26/1000)),0))</f>
        <v>40</v>
      </c>
      <c r="O1" s="209">
        <f>IF(MOD($N$1,ROW())=0,ROW(),"")</f>
        <v>1</v>
      </c>
      <c r="P1" s="209">
        <f>IFERROR(LARGE(O$1:O$200, ROW()), "")</f>
        <v>40</v>
      </c>
      <c r="Q1" s="209" t="str" cm="1">
        <f t="array" ref="Q1">SUBSTITUTE(TRIM(_xlfn.CONCAT(P1:P100 &amp; " ")), " ", ", ")</f>
        <v>40, 20, 10, 8, 5, 4, 2, 1</v>
      </c>
    </row>
    <row r="2" spans="2:21" ht="17">
      <c r="B2" s="206" t="s">
        <v>847</v>
      </c>
      <c r="C2" s="207" t="s">
        <v>2650</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20</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10</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8</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t="str">
        <f t="shared" si="0"/>
        <v/>
      </c>
      <c r="P6" s="209">
        <f t="shared" si="1"/>
        <v>4</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f t="shared" si="0"/>
        <v>8</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1543</v>
      </c>
      <c r="F11" s="102" t="str">
        <f t="shared" si="3"/>
        <v>IC</v>
      </c>
      <c r="G11" s="208" t="s">
        <v>1542</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f t="shared" si="0"/>
        <v>20</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1616</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f t="shared" si="0"/>
        <v>40</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1770</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1865</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2405</v>
      </c>
      <c r="C115" s="207" t="s">
        <v>1872</v>
      </c>
      <c r="D115" s="207" t="s">
        <v>35</v>
      </c>
      <c r="E115" s="210" t="s">
        <v>2352</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1508</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2401</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1566</v>
      </c>
      <c r="C182" s="207" t="s">
        <v>1559</v>
      </c>
      <c r="D182" s="207" t="s">
        <v>216</v>
      </c>
      <c r="E182" s="210" t="s">
        <v>1560</v>
      </c>
      <c r="F182" s="102" t="str">
        <f t="shared" si="13"/>
        <v>TPGL</v>
      </c>
      <c r="G182" s="208" t="s">
        <v>1194</v>
      </c>
      <c r="O182" s="209" t="str">
        <f t="shared" si="11"/>
        <v/>
      </c>
      <c r="P182" s="209" t="str">
        <f t="shared" si="14"/>
        <v/>
      </c>
      <c r="U182" s="209">
        <f t="shared" si="12"/>
        <v>182</v>
      </c>
    </row>
    <row r="183" spans="2:21" ht="17">
      <c r="B183" s="206" t="s">
        <v>1565</v>
      </c>
      <c r="C183" s="207" t="s">
        <v>1561</v>
      </c>
      <c r="D183" s="207" t="s">
        <v>1092</v>
      </c>
      <c r="E183" s="210" t="s">
        <v>1560</v>
      </c>
      <c r="F183" s="102" t="str">
        <f t="shared" si="13"/>
        <v>TPGL</v>
      </c>
      <c r="G183" s="208" t="s">
        <v>1194</v>
      </c>
      <c r="O183" s="209" t="str">
        <f t="shared" si="11"/>
        <v/>
      </c>
      <c r="P183" s="209" t="str">
        <f t="shared" si="14"/>
        <v/>
      </c>
      <c r="U183" s="209">
        <f t="shared" si="12"/>
        <v>183</v>
      </c>
    </row>
    <row r="184" spans="2:21" ht="17">
      <c r="B184" s="206" t="s">
        <v>1564</v>
      </c>
      <c r="C184" s="207" t="s">
        <v>1563</v>
      </c>
      <c r="D184" s="207" t="s">
        <v>1092</v>
      </c>
      <c r="E184" s="210" t="s">
        <v>1562</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1271</v>
      </c>
      <c r="F186" s="102" t="str">
        <f t="shared" si="13"/>
        <v>TPGL</v>
      </c>
      <c r="G186" s="208" t="s">
        <v>1272</v>
      </c>
      <c r="O186" s="209" t="str">
        <f t="shared" si="11"/>
        <v/>
      </c>
      <c r="P186" s="209" t="str">
        <f t="shared" si="14"/>
        <v/>
      </c>
      <c r="U186" s="209">
        <f t="shared" si="12"/>
        <v>186</v>
      </c>
    </row>
    <row r="187" spans="2:21" ht="17">
      <c r="B187" s="206" t="s">
        <v>795</v>
      </c>
      <c r="C187" s="207" t="s">
        <v>796</v>
      </c>
      <c r="D187" s="207" t="s">
        <v>35</v>
      </c>
      <c r="E187" s="210" t="s">
        <v>1271</v>
      </c>
      <c r="F187" s="102" t="str">
        <f t="shared" si="13"/>
        <v>TPGL</v>
      </c>
      <c r="G187" s="208" t="s">
        <v>1272</v>
      </c>
      <c r="O187" s="209" t="str">
        <f t="shared" si="11"/>
        <v/>
      </c>
      <c r="P187" s="209" t="str">
        <f t="shared" si="14"/>
        <v/>
      </c>
      <c r="U187" s="209">
        <f t="shared" si="12"/>
        <v>187</v>
      </c>
    </row>
    <row r="188" spans="2:21" ht="17">
      <c r="B188" s="206" t="s">
        <v>1259</v>
      </c>
      <c r="C188" s="207" t="s">
        <v>1260</v>
      </c>
      <c r="D188" s="207" t="s">
        <v>51</v>
      </c>
      <c r="E188" s="210" t="s">
        <v>1271</v>
      </c>
      <c r="F188" s="102" t="str">
        <f t="shared" si="13"/>
        <v>TPGL</v>
      </c>
      <c r="G188" s="208" t="s">
        <v>1272</v>
      </c>
      <c r="O188" s="209" t="str">
        <f t="shared" si="11"/>
        <v/>
      </c>
      <c r="P188" s="209" t="str">
        <f t="shared" si="14"/>
        <v/>
      </c>
      <c r="U188" s="209">
        <f t="shared" si="12"/>
        <v>188</v>
      </c>
    </row>
    <row r="189" spans="2:21" ht="17">
      <c r="B189" s="206" t="s">
        <v>1261</v>
      </c>
      <c r="C189" s="207" t="s">
        <v>1262</v>
      </c>
      <c r="D189" s="207" t="s">
        <v>51</v>
      </c>
      <c r="E189" s="210" t="s">
        <v>1271</v>
      </c>
      <c r="F189" s="102" t="str">
        <f t="shared" si="13"/>
        <v>TPGL</v>
      </c>
      <c r="G189" s="208" t="s">
        <v>1272</v>
      </c>
      <c r="O189" s="209" t="str">
        <f t="shared" si="11"/>
        <v/>
      </c>
      <c r="P189" s="209" t="str">
        <f t="shared" si="14"/>
        <v/>
      </c>
      <c r="U189" s="209">
        <f t="shared" si="12"/>
        <v>189</v>
      </c>
    </row>
    <row r="190" spans="2:21" ht="17">
      <c r="B190" s="206" t="s">
        <v>1263</v>
      </c>
      <c r="C190" s="207" t="s">
        <v>1264</v>
      </c>
      <c r="D190" s="207" t="s">
        <v>216</v>
      </c>
      <c r="E190" s="210" t="s">
        <v>1271</v>
      </c>
      <c r="F190" s="102" t="str">
        <f t="shared" si="13"/>
        <v>TPGL</v>
      </c>
      <c r="G190" s="208" t="s">
        <v>1272</v>
      </c>
      <c r="O190" s="209" t="str">
        <f t="shared" si="11"/>
        <v/>
      </c>
      <c r="P190" s="209" t="str">
        <f t="shared" si="14"/>
        <v/>
      </c>
      <c r="U190" s="209">
        <f t="shared" si="12"/>
        <v>190</v>
      </c>
    </row>
    <row r="191" spans="2:21" ht="17">
      <c r="B191" s="206" t="s">
        <v>1278</v>
      </c>
      <c r="C191" s="207" t="s">
        <v>564</v>
      </c>
      <c r="D191" s="207" t="s">
        <v>216</v>
      </c>
      <c r="E191" s="210" t="s">
        <v>1271</v>
      </c>
      <c r="F191" s="102" t="str">
        <f t="shared" si="13"/>
        <v>TPGL</v>
      </c>
      <c r="G191" s="208" t="s">
        <v>1272</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1768</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1324</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1299</v>
      </c>
      <c r="C217" s="207" t="s">
        <v>466</v>
      </c>
      <c r="D217" s="207" t="s">
        <v>216</v>
      </c>
      <c r="E217" s="210" t="s">
        <v>467</v>
      </c>
      <c r="F217" s="102" t="str">
        <f t="shared" si="17"/>
        <v>SO-A</v>
      </c>
    </row>
    <row r="218" spans="2:6" ht="17">
      <c r="B218" s="206" t="s">
        <v>1298</v>
      </c>
      <c r="C218" s="207" t="s">
        <v>1300</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2687</v>
      </c>
      <c r="F234" s="102" t="str">
        <f t="shared" si="17"/>
        <v>DPGL</v>
      </c>
      <c r="G234" s="208" t="s">
        <v>2688</v>
      </c>
    </row>
    <row r="235" spans="2:7" ht="34">
      <c r="B235" s="206" t="s">
        <v>964</v>
      </c>
      <c r="C235" s="207" t="s">
        <v>965</v>
      </c>
      <c r="D235" s="207" t="s">
        <v>216</v>
      </c>
      <c r="E235" s="210" t="s">
        <v>503</v>
      </c>
      <c r="F235" s="102" t="str">
        <f t="shared" si="17"/>
        <v>DPGL</v>
      </c>
      <c r="G235" s="208" t="s">
        <v>1556</v>
      </c>
    </row>
    <row r="236" spans="2:7" ht="34">
      <c r="B236" s="206" t="s">
        <v>964</v>
      </c>
      <c r="C236" s="207" t="s">
        <v>965</v>
      </c>
      <c r="D236" s="207" t="s">
        <v>216</v>
      </c>
      <c r="E236" s="210" t="s">
        <v>1586</v>
      </c>
      <c r="F236" s="102" t="str">
        <f t="shared" si="17"/>
        <v>DPGL</v>
      </c>
      <c r="G236" s="208" t="s">
        <v>1585</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1366</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1536</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1282</v>
      </c>
      <c r="C361" s="207" t="s">
        <v>216</v>
      </c>
      <c r="D361" s="207" t="s">
        <v>216</v>
      </c>
      <c r="E361" s="210" t="s">
        <v>309</v>
      </c>
      <c r="F361" s="102" t="str">
        <f t="shared" si="19"/>
        <v>SSE</v>
      </c>
      <c r="G361" s="208" t="s">
        <v>1352</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1545</v>
      </c>
      <c r="F368" s="102" t="str">
        <f t="shared" si="19"/>
        <v>BS</v>
      </c>
      <c r="G368" s="208" t="s">
        <v>1550</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1687</v>
      </c>
      <c r="F402" s="102" t="str">
        <f t="shared" si="20"/>
        <v>SF</v>
      </c>
      <c r="G402" s="208" t="s">
        <v>1686</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1695</v>
      </c>
      <c r="C412" s="207" t="s">
        <v>409</v>
      </c>
      <c r="D412" s="207" t="s">
        <v>216</v>
      </c>
      <c r="E412" s="210" t="s">
        <v>949</v>
      </c>
      <c r="F412" s="102" t="str">
        <f t="shared" si="20"/>
        <v>IA</v>
      </c>
      <c r="G412" s="208" t="s">
        <v>1696</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1337</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1692</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1213</v>
      </c>
      <c r="C447" s="207" t="s">
        <v>809</v>
      </c>
      <c r="D447" s="207" t="s">
        <v>216</v>
      </c>
      <c r="E447" s="207" t="s">
        <v>216</v>
      </c>
      <c r="F447" s="102" t="str">
        <f t="shared" si="20"/>
        <v>CH2</v>
      </c>
    </row>
    <row r="448" spans="2:7" ht="34">
      <c r="B448" s="206" t="s">
        <v>1217</v>
      </c>
      <c r="C448" s="207" t="s">
        <v>1218</v>
      </c>
      <c r="D448" s="207" t="s">
        <v>1499</v>
      </c>
      <c r="E448" s="210" t="s">
        <v>1219</v>
      </c>
      <c r="F448" s="102" t="str">
        <f t="shared" si="20"/>
        <v>EEFT</v>
      </c>
    </row>
    <row r="449" spans="2:7" ht="17">
      <c r="B449" s="206" t="s">
        <v>1222</v>
      </c>
      <c r="C449" s="207" t="s">
        <v>120</v>
      </c>
      <c r="D449" s="207" t="s">
        <v>216</v>
      </c>
      <c r="E449" s="210" t="s">
        <v>1223</v>
      </c>
      <c r="F449" s="102" t="str">
        <f t="shared" si="20"/>
        <v>CCBC</v>
      </c>
    </row>
    <row r="450" spans="2:7" ht="17">
      <c r="B450" s="206" t="s">
        <v>1226</v>
      </c>
      <c r="C450" s="207" t="s">
        <v>32</v>
      </c>
      <c r="D450" s="207" t="s">
        <v>216</v>
      </c>
      <c r="E450" s="210" t="s">
        <v>1227</v>
      </c>
      <c r="F450" s="102" t="str">
        <f t="shared" si="20"/>
        <v>DMCL</v>
      </c>
    </row>
    <row r="451" spans="2:7" ht="17">
      <c r="B451" s="206" t="s">
        <v>1231</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2416</v>
      </c>
      <c r="C452" s="207" t="s">
        <v>72</v>
      </c>
      <c r="D452" s="207" t="s">
        <v>216</v>
      </c>
      <c r="F452" s="102" t="str">
        <f t="shared" si="21"/>
        <v>AS-A</v>
      </c>
    </row>
    <row r="453" spans="2:7" ht="17">
      <c r="B453" s="206" t="s">
        <v>2417</v>
      </c>
      <c r="C453" s="207" t="s">
        <v>72</v>
      </c>
      <c r="D453" s="207" t="s">
        <v>216</v>
      </c>
      <c r="F453" s="102" t="str">
        <f t="shared" si="21"/>
        <v>AS-R</v>
      </c>
    </row>
    <row r="454" spans="2:7" ht="17">
      <c r="B454" s="206" t="s">
        <v>1234</v>
      </c>
      <c r="C454" s="207" t="s">
        <v>57</v>
      </c>
      <c r="D454" s="207" t="s">
        <v>954</v>
      </c>
      <c r="E454" s="210" t="s">
        <v>1235</v>
      </c>
      <c r="F454" s="102" t="str">
        <f t="shared" si="21"/>
        <v>MMG</v>
      </c>
    </row>
    <row r="455" spans="2:7" ht="17">
      <c r="B455" s="206" t="s">
        <v>1236</v>
      </c>
      <c r="C455" s="207" t="s">
        <v>1237</v>
      </c>
      <c r="D455" s="207" t="s">
        <v>216</v>
      </c>
      <c r="E455" s="210" t="s">
        <v>1238</v>
      </c>
      <c r="F455" s="102" t="str">
        <f t="shared" si="21"/>
        <v>DA</v>
      </c>
    </row>
    <row r="456" spans="2:7" ht="17">
      <c r="B456" s="206" t="s">
        <v>1240</v>
      </c>
      <c r="C456" s="207" t="s">
        <v>823</v>
      </c>
      <c r="D456" s="207" t="s">
        <v>216</v>
      </c>
      <c r="E456" s="210" t="s">
        <v>1241</v>
      </c>
      <c r="F456" s="102" t="str">
        <f t="shared" si="21"/>
        <v>HCL</v>
      </c>
    </row>
    <row r="457" spans="2:7" ht="17">
      <c r="B457" s="206" t="s">
        <v>1244</v>
      </c>
      <c r="C457" s="207" t="s">
        <v>216</v>
      </c>
      <c r="D457" s="207" t="s">
        <v>216</v>
      </c>
      <c r="E457" s="210" t="s">
        <v>1245</v>
      </c>
      <c r="F457" s="102" t="str">
        <f t="shared" si="21"/>
        <v>SI</v>
      </c>
      <c r="G457" s="208" t="s">
        <v>1246</v>
      </c>
    </row>
    <row r="458" spans="2:7" ht="34">
      <c r="B458" s="206" t="s">
        <v>1253</v>
      </c>
      <c r="C458" s="207" t="s">
        <v>1254</v>
      </c>
      <c r="D458" s="207" t="s">
        <v>1254</v>
      </c>
      <c r="E458" s="210" t="s">
        <v>1256</v>
      </c>
      <c r="F458" s="102" t="str">
        <f t="shared" si="21"/>
        <v>AAP</v>
      </c>
    </row>
    <row r="459" spans="2:7" ht="17">
      <c r="B459" s="206" t="s">
        <v>1257</v>
      </c>
      <c r="C459" s="207" t="s">
        <v>746</v>
      </c>
      <c r="D459" s="207" t="s">
        <v>35</v>
      </c>
      <c r="E459" s="210" t="s">
        <v>1258</v>
      </c>
      <c r="F459" s="102" t="str">
        <f t="shared" si="21"/>
        <v>EM</v>
      </c>
    </row>
    <row r="460" spans="2:7" ht="17">
      <c r="B460" s="206" t="s">
        <v>1274</v>
      </c>
      <c r="C460" s="207" t="s">
        <v>51</v>
      </c>
      <c r="D460" s="207" t="s">
        <v>51</v>
      </c>
      <c r="E460" s="210" t="s">
        <v>1275</v>
      </c>
      <c r="F460" s="102" t="str">
        <f t="shared" si="21"/>
        <v>CGEC</v>
      </c>
    </row>
    <row r="461" spans="2:7" ht="17">
      <c r="B461" s="206" t="s">
        <v>1281</v>
      </c>
      <c r="C461" s="207" t="s">
        <v>216</v>
      </c>
      <c r="D461" s="207" t="s">
        <v>216</v>
      </c>
      <c r="F461" s="102" t="str">
        <f t="shared" si="21"/>
        <v>NAO</v>
      </c>
    </row>
    <row r="462" spans="2:7" ht="17">
      <c r="B462" s="206" t="s">
        <v>1283</v>
      </c>
      <c r="C462" s="207" t="s">
        <v>86</v>
      </c>
      <c r="D462" s="207" t="s">
        <v>216</v>
      </c>
      <c r="F462" s="102" t="str">
        <f t="shared" si="21"/>
        <v>KO</v>
      </c>
    </row>
    <row r="463" spans="2:7" ht="17">
      <c r="B463" s="206" t="s">
        <v>1284</v>
      </c>
      <c r="C463" s="207" t="s">
        <v>1285</v>
      </c>
      <c r="D463" s="207" t="s">
        <v>216</v>
      </c>
      <c r="E463" s="210" t="s">
        <v>1286</v>
      </c>
      <c r="F463" s="102" t="str">
        <f t="shared" si="21"/>
        <v>SA</v>
      </c>
    </row>
    <row r="464" spans="2:7" ht="17">
      <c r="B464" s="206" t="s">
        <v>1287</v>
      </c>
      <c r="C464" s="207" t="s">
        <v>1289</v>
      </c>
      <c r="D464" s="207" t="s">
        <v>960</v>
      </c>
      <c r="E464" s="210" t="s">
        <v>1288</v>
      </c>
      <c r="F464" s="102" t="str">
        <f t="shared" si="21"/>
        <v>AVTI</v>
      </c>
      <c r="G464" s="208" t="s">
        <v>629</v>
      </c>
    </row>
    <row r="465" spans="2:250" ht="34">
      <c r="B465" s="206" t="s">
        <v>1290</v>
      </c>
      <c r="C465" s="207" t="s">
        <v>352</v>
      </c>
      <c r="D465" s="207" t="s">
        <v>216</v>
      </c>
      <c r="E465" s="210" t="s">
        <v>1291</v>
      </c>
      <c r="F465" s="102" t="str">
        <f t="shared" si="21"/>
        <v>PK</v>
      </c>
    </row>
    <row r="466" spans="2:250" ht="17">
      <c r="B466" s="206" t="s">
        <v>1292</v>
      </c>
      <c r="C466" s="207" t="s">
        <v>216</v>
      </c>
      <c r="D466" s="207" t="s">
        <v>216</v>
      </c>
      <c r="F466" s="102" t="str">
        <f t="shared" si="21"/>
        <v>1SS</v>
      </c>
    </row>
    <row r="467" spans="2:250" ht="17">
      <c r="B467" s="206" t="s">
        <v>1294</v>
      </c>
      <c r="C467" s="207" t="s">
        <v>1295</v>
      </c>
      <c r="D467" s="207" t="s">
        <v>35</v>
      </c>
      <c r="E467" s="210" t="s">
        <v>731</v>
      </c>
      <c r="F467" s="102" t="str">
        <f t="shared" si="21"/>
        <v>E-IC</v>
      </c>
    </row>
    <row r="468" spans="2:250" ht="17">
      <c r="B468" s="206" t="s">
        <v>1587</v>
      </c>
      <c r="C468" s="207" t="s">
        <v>29</v>
      </c>
      <c r="D468" s="207" t="s">
        <v>216</v>
      </c>
      <c r="E468" s="210" t="s">
        <v>1302</v>
      </c>
      <c r="F468" s="102" t="str">
        <f t="shared" si="21"/>
        <v>ES-K</v>
      </c>
    </row>
    <row r="469" spans="2:250" ht="17">
      <c r="B469" s="206" t="s">
        <v>1588</v>
      </c>
      <c r="C469" s="207" t="s">
        <v>32</v>
      </c>
      <c r="D469" s="207" t="s">
        <v>216</v>
      </c>
      <c r="E469" s="210" t="s">
        <v>1302</v>
      </c>
      <c r="F469" s="102" t="str">
        <f t="shared" si="21"/>
        <v>ES-E</v>
      </c>
    </row>
    <row r="470" spans="2:250" ht="17">
      <c r="B470" s="206" t="s">
        <v>1303</v>
      </c>
      <c r="C470" s="207" t="s">
        <v>1304</v>
      </c>
      <c r="D470" s="207" t="s">
        <v>216</v>
      </c>
      <c r="E470" s="210" t="s">
        <v>1305</v>
      </c>
      <c r="F470" s="102" t="str">
        <f t="shared" si="21"/>
        <v>KA</v>
      </c>
    </row>
    <row r="471" spans="2:250" ht="17">
      <c r="B471" s="206" t="s">
        <v>1306</v>
      </c>
      <c r="C471" s="207" t="s">
        <v>69</v>
      </c>
      <c r="D471" s="207" t="s">
        <v>216</v>
      </c>
      <c r="E471" s="210" t="s">
        <v>1307</v>
      </c>
      <c r="F471" s="102" t="str">
        <f t="shared" si="21"/>
        <v>G-GH</v>
      </c>
    </row>
    <row r="472" spans="2:250" ht="17">
      <c r="B472" s="206" t="s">
        <v>1308</v>
      </c>
      <c r="C472" s="207" t="s">
        <v>446</v>
      </c>
      <c r="D472" s="207" t="s">
        <v>216</v>
      </c>
      <c r="E472" s="210" t="s">
        <v>1309</v>
      </c>
      <c r="F472" s="102" t="str">
        <f t="shared" si="21"/>
        <v>ELS</v>
      </c>
    </row>
    <row r="473" spans="2:250" ht="80">
      <c r="B473" s="206" t="s">
        <v>1311</v>
      </c>
      <c r="C473" s="207" t="s">
        <v>42</v>
      </c>
      <c r="D473" s="207" t="s">
        <v>956</v>
      </c>
      <c r="F473" s="102" t="str">
        <f t="shared" si="21"/>
        <v>AR</v>
      </c>
      <c r="EC473" s="312" t="s">
        <v>2692</v>
      </c>
      <c r="ED473" s="312" t="s">
        <v>2693</v>
      </c>
      <c r="EE473" s="312" t="s">
        <v>2694</v>
      </c>
      <c r="EF473" s="312" t="s">
        <v>2695</v>
      </c>
      <c r="EG473" s="312" t="s">
        <v>2776</v>
      </c>
      <c r="EH473" s="353" t="s">
        <v>2777</v>
      </c>
      <c r="IK473" s="312" t="s">
        <v>2692</v>
      </c>
      <c r="IL473" s="312" t="s">
        <v>2693</v>
      </c>
      <c r="IM473" s="312" t="s">
        <v>2694</v>
      </c>
      <c r="IN473" s="312" t="s">
        <v>2695</v>
      </c>
      <c r="IO473" s="312" t="s">
        <v>2776</v>
      </c>
      <c r="IP473" s="312" t="s">
        <v>2777</v>
      </c>
    </row>
    <row r="474" spans="2:250" ht="17">
      <c r="B474" s="206" t="s">
        <v>1320</v>
      </c>
      <c r="C474" s="207" t="s">
        <v>1321</v>
      </c>
      <c r="D474" s="207" t="s">
        <v>216</v>
      </c>
      <c r="E474" s="210" t="s">
        <v>1322</v>
      </c>
      <c r="F474" s="102" t="str">
        <f t="shared" si="21"/>
        <v>ET</v>
      </c>
      <c r="EC474" s="209">
        <f ca="1">MIN(EC475:EC491)+IF(SUM(EC477:EC491)=0,1,0)</f>
        <v>4</v>
      </c>
      <c r="ED474" s="209">
        <f ca="1">MIN(ED475:ED491)</f>
        <v>4</v>
      </c>
      <c r="EE474" s="311">
        <f ca="1">IF(AND('Customer Base'!D13="Victron",'Customer Base'!D14=6),ROUNDUP(SUMPRODUCT(Items!A242:A255,Items!AQ242:AQ255)/450,0),IF(EE489=1,2,IF(EE483=1,2,IF(EE477=1,2,IF(EE490=1,3,IF(EE484=1,3,IF(EE478=1,3,IF(EE491=1,4,IF(EE485=1,4,IF(EE479=1,4,0))))))))))</f>
        <v>3</v>
      </c>
      <c r="EF474" s="311">
        <f ca="1">IF(EE474=0,1,EE474)*IF(EG474=250,MIN(AA501,AE498),IF(EG474=150,MIN(AA501,AE497),IF(EG474=100,MIN(AA501,AE496),SUM(Items!A242:A255))))*'Customer Base'!$D26*0.8</f>
        <v>4356</v>
      </c>
      <c r="EG474" s="209">
        <f ca="1">IF(EE489=1,250,IF(EE483=1,150,IF(EE477=1,100,IF(EE490=1,250,IF(EE484=1,150,IF(EE478=1,100,IF(EE491=1,250,IF(EE485=1,150,IF(EE479=1,100,IF(AA501&lt;=AE496,AA496,IF(AA501&lt;=AE497,AA497,IF(AA501&lt;=AE498,AA498,""))))))))))))</f>
        <v>150</v>
      </c>
      <c r="EH474" s="209">
        <f ca="1">IF(AND(EG474=100,'Customer Base'!D8=12,'Client List'!EF474&gt;Items!AQ263),150,IF(AND(EG474=100,'Customer Base'!D8=24,EF474&gt;Items!AR263),150,IF(AND(EG474=100,'Customer Base'!D8=48,'Client List'!EF474&gt;Items!AS261),150,EG474)))</f>
        <v>150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1936</v>
      </c>
      <c r="IO474" s="209">
        <f ca="1">IF(IM489=1,250,IF(IM483=1,150,IF(IM477=1,100,IF(IM490=1,250,IF(IM484=1,150,IF(IM478=1,100,IF(IM491=1,250,IF(IM485=1,150,IF(IM479=1,100,IF(AND(IK474=0,ED474&lt;&gt;0),100,0))))))))))</f>
        <v>100</v>
      </c>
      <c r="IP474" s="209">
        <f ca="1">IF(AND(IO474=100,'Customer Base'!D8=12,'Client List'!IN474&gt;Items!AQ263),150,IF(AND(IO474=100,'Customer Base'!D8=24,IN474&gt;Items!AR263),150,IF(AND(IO474=100,'Customer Base'!D8=48,IN474&gt;Items!AS261),150,IO474)))</f>
        <v>150</v>
      </c>
    </row>
    <row r="475" spans="2:250" ht="17">
      <c r="B475" s="206" t="s">
        <v>1323</v>
      </c>
      <c r="C475" s="207" t="s">
        <v>216</v>
      </c>
      <c r="D475" s="207" t="s">
        <v>216</v>
      </c>
      <c r="F475" s="102" t="str">
        <f t="shared" si="21"/>
        <v>JT</v>
      </c>
    </row>
    <row r="476" spans="2:250" ht="17">
      <c r="B476" s="206" t="s">
        <v>1326</v>
      </c>
      <c r="C476" s="207" t="s">
        <v>51</v>
      </c>
      <c r="D476" s="207" t="s">
        <v>51</v>
      </c>
      <c r="E476" s="210" t="s">
        <v>1325</v>
      </c>
      <c r="F476" s="102" t="str">
        <f t="shared" si="21"/>
        <v>T-I</v>
      </c>
      <c r="Z476" s="209" t="s">
        <v>2696</v>
      </c>
      <c r="AB476" s="209" t="s">
        <v>2686</v>
      </c>
      <c r="AC476" s="209" t="s">
        <v>2689</v>
      </c>
      <c r="AD476" s="209" t="s">
        <v>2685</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2686</v>
      </c>
      <c r="EK476" s="209" t="s">
        <v>2689</v>
      </c>
      <c r="EL476" s="209" t="s">
        <v>2685</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1327</v>
      </c>
      <c r="C477" s="207" t="s">
        <v>339</v>
      </c>
      <c r="D477" s="207" t="s">
        <v>216</v>
      </c>
      <c r="F477" s="102" t="str">
        <f t="shared" si="21"/>
        <v>D</v>
      </c>
      <c r="AA477" s="209">
        <v>2</v>
      </c>
      <c r="AB477" s="310" t="s">
        <v>2682</v>
      </c>
      <c r="AC477" s="209">
        <f ca="1">IFERROR(MOD(AD$493,AA477),"")</f>
        <v>1.3333333333333339</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0</v>
      </c>
      <c r="AG477" s="209">
        <f ca="1">IF($AE496*$AA477*'Customer Base'!$D$26*0.8&gt;5800,"",IF($AE496*$AA477&gt;$AA501,"",IF(($AA$477*AG$476*$AE$496)&lt;=$AA$501,((MOD($AA$501,($AA$477*AG$476*$AE$496)))),"")))</f>
        <v>0</v>
      </c>
      <c r="AH477" s="209">
        <f ca="1">IF($AE496*$AA477*'Customer Base'!$D$26*0.8&gt;5800,"",IF($AE496*$AA477&gt;$AA501,"",IF(($AA$477*AH$476*$AE$496)&lt;=$AA$501,((MOD($AA$501,($AA$477*AH$476*$AE$496)))),"")))</f>
        <v>4</v>
      </c>
      <c r="AI477" s="209">
        <f ca="1">IF($AE496*$AA477*'Customer Base'!$D$26*0.8&gt;5800,"",IF($AE496*$AA477&gt;$AA501,"",IF(($AA$477*AI$476*$AE$496)&lt;=$AA$501,((MOD($AA$501,($AA$477*AI$476*$AE$496)))),"")))</f>
        <v>8</v>
      </c>
      <c r="AJ477" s="209">
        <f ca="1">IF($AE496*$AA477*'Customer Base'!$D$26*0.8&gt;5800,"",IF($AE496*$AA477&gt;$AA501,"",IF(($AA$477*AJ$476*$AE$496)&lt;=$AA$501,((MOD($AA$501,($AA$477*AJ$476*$AE$496)))),"")))</f>
        <v>0</v>
      </c>
      <c r="AK477" s="209">
        <f ca="1">IF($AE496*$AA477*'Customer Base'!$D$26*0.8&gt;5800,"",IF($AE496*$AA477&gt;$AA501,"",IF(($AA$477*AK$476*$AE$496)&lt;=$AA$501,((MOD($AA$501,($AA$477*AK$476*$AE$496)))),"")))</f>
        <v>16</v>
      </c>
      <c r="AL477" s="209">
        <f ca="1">IF($AE496*$AA477*'Customer Base'!$D$26*0.8&gt;5800,"",IF($AE496*$AA477&gt;$AA501,"",IF(($AA$477*AL$476*$AE$496)&lt;=$AA$501,((MOD($AA$501,($AA$477*AL$476*$AE$496)))),"")))</f>
        <v>12</v>
      </c>
      <c r="AM477" s="209">
        <f ca="1">IF($AE496*$AA477*'Customer Base'!$D$26*0.8&gt;5800,"",IF($AE496*$AA477&gt;$AA501,"",IF(($AA$477*AM$476*$AE$496)&lt;=$AA$501,((MOD($AA$501,($AA$477*AM$476*$AE$496)))),"")))</f>
        <v>8</v>
      </c>
      <c r="AN477" s="209">
        <f ca="1">IF($AE496*$AA477*'Customer Base'!$D$26*0.8&gt;5800,"",IF($AE496*$AA477&gt;$AA501,"",IF(($AA$477*AN$476*$AE$496)&lt;=$AA$501,((MOD($AA$501,($AA$477*AN$476*$AE$496)))),"")))</f>
        <v>4</v>
      </c>
      <c r="AO477" s="209">
        <f ca="1">IF($AE496*$AA477*'Customer Base'!$D$26*0.8&gt;5800,"",IF($AE496*$AA477&gt;$AA501,"",IF(($AA$477*AO$476*$AE$496)&lt;=$AA$501,((MOD($AA$501,($AA$477*AO$476*$AE$496)))),"")))</f>
        <v>0</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10</v>
      </c>
      <c r="ED477" s="311" t="str" cm="1">
        <f t="array" aca="1" ref="ED477" ca="1">IF(EC$474=EC477,LOOKUP(2,1/(AF477:EA477&lt;&gt;""),AF477:EA477),"")</f>
        <v/>
      </c>
      <c r="EE477" s="311" t="str">
        <f ca="1">IF(ED477=ED$474,1,"")</f>
        <v/>
      </c>
      <c r="EF477" s="311"/>
      <c r="EG477" s="311"/>
      <c r="EH477" s="311"/>
      <c r="EI477" s="209">
        <v>2</v>
      </c>
      <c r="EJ477" s="310" t="s">
        <v>2682</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0</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1</v>
      </c>
      <c r="IL477" s="311" cm="1">
        <f t="array" aca="1" ref="IL477" ca="1">IF(IK$474=IK477,LOOKUP(2,1/(EN477:II477&lt;&gt;""),EN477:II477),"")</f>
        <v>0</v>
      </c>
      <c r="IM477" s="311">
        <f ca="1">IF(IL477=IL$474,1,"")</f>
        <v>1</v>
      </c>
    </row>
    <row r="478" spans="2:250" ht="17">
      <c r="B478" s="206" t="s">
        <v>1328</v>
      </c>
      <c r="C478" s="207" t="s">
        <v>80</v>
      </c>
      <c r="D478" s="207" t="s">
        <v>216</v>
      </c>
      <c r="E478" s="210" t="s">
        <v>1329</v>
      </c>
      <c r="F478" s="102" t="str">
        <f t="shared" si="21"/>
        <v>E</v>
      </c>
      <c r="AA478" s="209">
        <v>3</v>
      </c>
      <c r="AB478" s="311" t="s">
        <v>2683</v>
      </c>
      <c r="AC478" s="209">
        <f ca="1">IFERROR(MOD(AD$493,AA478),"")</f>
        <v>1.3333333333333339</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4</v>
      </c>
      <c r="AG478" s="209">
        <f ca="1">IF($AE496*$AA478*'Customer Base'!$D$26*0.8&gt;5800,"",IF($AE496*$AA478&gt;$AA501,"",IF(($AA$478*AG$476*$AE$496)&lt;=$AA$501,((MOD($AA$501,($AA$478*AG$476*$AE$496)))),"")))</f>
        <v>4</v>
      </c>
      <c r="AH478" s="209">
        <f ca="1">IF($AE496*$AA478*'Customer Base'!$D$26*0.8&gt;5800,"",IF($AE496*$AA478&gt;$AA501,"",IF(($AA$478*AH$476*$AE$496)&lt;=$AA$501,((MOD($AA$501,($AA$478*AH$476*$AE$496)))),"")))</f>
        <v>4</v>
      </c>
      <c r="AI478" s="209">
        <f ca="1">IF($AE496*$AA478*'Customer Base'!$D$26*0.8&gt;5800,"",IF($AE496*$AA478&gt;$AA501,"",IF(($AA$478*AI$476*$AE$496)&lt;=$AA$501,((MOD($AA$501,($AA$478*AI$476*$AE$496)))),"")))</f>
        <v>16</v>
      </c>
      <c r="AJ478" s="209">
        <f ca="1">IF($AE496*$AA478*'Customer Base'!$D$26*0.8&gt;5800,"",IF($AE496*$AA478&gt;$AA501,"",IF(($AA$478*AJ$476*$AE$496)&lt;=$AA$501,((MOD($AA$501,($AA$478*AJ$476*$AE$496)))),"")))</f>
        <v>10</v>
      </c>
      <c r="AK478" s="209">
        <f ca="1">IF($AE496*$AA478*'Customer Base'!$D$26*0.8&gt;5800,"",IF($AE496*$AA478&gt;$AA501,"",IF(($AA$478*AK$476*$AE$496)&lt;=$AA$501,((MOD($AA$501,($AA$478*AK$476*$AE$496)))),"")))</f>
        <v>4</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6</v>
      </c>
      <c r="ED478" s="311" t="str" cm="1">
        <f t="array" aca="1" ref="ED478" ca="1">IF(EC$474=EC478,LOOKUP(2,1/(AF478:EA478&lt;&gt;""),AF478:EA478),"")</f>
        <v/>
      </c>
      <c r="EE478" s="311" t="str">
        <f ca="1">IF(ED478=ED$474,1,"")</f>
        <v/>
      </c>
      <c r="EF478" s="311"/>
      <c r="EG478" s="311"/>
      <c r="EH478" s="311"/>
      <c r="EI478" s="209">
        <v>3</v>
      </c>
      <c r="EJ478" s="311" t="s">
        <v>2683</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1330</v>
      </c>
      <c r="C479" s="207" t="s">
        <v>1331</v>
      </c>
      <c r="D479" s="207" t="s">
        <v>216</v>
      </c>
      <c r="E479" s="210" t="s">
        <v>1332</v>
      </c>
      <c r="F479" s="102" t="str">
        <f t="shared" si="21"/>
        <v>R</v>
      </c>
      <c r="AA479" s="209">
        <v>4</v>
      </c>
      <c r="AB479" s="311" t="s">
        <v>2684</v>
      </c>
      <c r="AC479" s="209">
        <f ca="1">IFERROR(MOD(AD$493,AA479),"")</f>
        <v>1.3333333333333339</v>
      </c>
      <c r="AD479" s="209">
        <f ca="1">IF(OR(AD483=1,AD483=""),"",IF(AC479=0,AA479,IF(AND(AC479&lt;&gt;0,AC478&lt;&gt;0,AC477&lt;&gt;0),AA479,IF(AND(AC479&lt;&gt;0,AC478&lt;&gt;0,AC477=0),AA479,""))))</f>
        <v>4</v>
      </c>
      <c r="AE479" s="209">
        <f ca="1">IFERROR(ROUNDDOWN(AD$493/AD479,0),"")</f>
        <v>3</v>
      </c>
      <c r="AF479" s="209">
        <f ca="1">IF($AE496*$AA479*'Customer Base'!$D$26*0.8&gt;5800,"",IF($AE496*$AA479&gt;$AA501,"",IF(($AA$479*AF$476*$AE$496)&lt;=$AA$501,((MOD($AA$501,($AA$479*AF$476*$AE$496)))),"")))</f>
        <v>0</v>
      </c>
      <c r="AG479" s="209">
        <f ca="1">IF($AE496*$AA479*'Customer Base'!$D$26*0.8&gt;5800,"",IF($AE496*$AA479&gt;$AA501,"",IF(($AA$479*AG$476*$AE$496)&lt;=$AA$501,((MOD($AA$501,($AA$479*AG$476*$AE$496)))),"")))</f>
        <v>8</v>
      </c>
      <c r="AH479" s="209">
        <f ca="1">IF($AE496*$AA479*'Customer Base'!$D$26*0.8&gt;5800,"",IF($AE496*$AA479&gt;$AA501,"",IF(($AA$479*AH$476*$AE$496)&lt;=$AA$501,((MOD($AA$501,($AA$479*AH$476*$AE$496)))),"")))</f>
        <v>16</v>
      </c>
      <c r="AI479" s="209">
        <f ca="1">IF($AE496*$AA479*'Customer Base'!$D$26*0.8&gt;5800,"",IF($AE496*$AA479&gt;$AA501,"",IF(($AA$479*AI$476*$AE$496)&lt;=$AA$501,((MOD($AA$501,($AA$479*AI$476*$AE$496)))),"")))</f>
        <v>8</v>
      </c>
      <c r="AJ479" s="209">
        <f ca="1">IF($AE496*$AA479*'Customer Base'!$D$26*0.8&gt;5800,"",IF($AE496*$AA479&gt;$AA501,"",IF(($AA$479*AJ$476*$AE$496)&lt;=$AA$501,((MOD($AA$501,($AA$479*AJ$476*$AE$496)))),"")))</f>
        <v>0</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5</v>
      </c>
      <c r="ED479" s="311" t="str" cm="1">
        <f t="array" aca="1" ref="ED479" ca="1">IF(EC$474=EC479,LOOKUP(2,1/(AF479:EA479&lt;&gt;""),AF479:EA479),"")</f>
        <v/>
      </c>
      <c r="EE479" s="311" t="str">
        <f ca="1">IF(ED479=ED$474,1,"")</f>
        <v/>
      </c>
      <c r="EF479" s="311"/>
      <c r="EG479" s="311"/>
      <c r="EH479" s="311"/>
      <c r="EI479" s="209">
        <v>4</v>
      </c>
      <c r="EJ479" s="311" t="s">
        <v>2684</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1333</v>
      </c>
      <c r="C480" s="207" t="s">
        <v>80</v>
      </c>
      <c r="D480" s="207" t="s">
        <v>216</v>
      </c>
      <c r="E480" s="210" t="s">
        <v>1334</v>
      </c>
      <c r="F480" s="102" t="str">
        <f t="shared" si="21"/>
        <v>G</v>
      </c>
      <c r="G480" s="208" t="s">
        <v>1335</v>
      </c>
    </row>
    <row r="481" spans="2:248" ht="17">
      <c r="B481" s="206" t="s">
        <v>19</v>
      </c>
      <c r="C481" s="207" t="s">
        <v>57</v>
      </c>
      <c r="D481" s="207" t="s">
        <v>954</v>
      </c>
      <c r="E481" s="210" t="s">
        <v>1336</v>
      </c>
      <c r="F481" s="102" t="str">
        <f t="shared" si="21"/>
        <v>E</v>
      </c>
    </row>
    <row r="482" spans="2:248" ht="17">
      <c r="B482" s="206" t="s">
        <v>1338</v>
      </c>
      <c r="C482" s="207" t="s">
        <v>60</v>
      </c>
      <c r="D482" s="207" t="s">
        <v>954</v>
      </c>
      <c r="E482" s="210" t="s">
        <v>1339</v>
      </c>
      <c r="F482" s="102" t="str">
        <f t="shared" si="21"/>
        <v>E</v>
      </c>
      <c r="Z482" s="209" t="s">
        <v>2690</v>
      </c>
      <c r="AB482" s="209" t="s">
        <v>2686</v>
      </c>
      <c r="AC482" s="209" t="s">
        <v>2689</v>
      </c>
      <c r="AD482" s="209" t="s">
        <v>2685</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2686</v>
      </c>
      <c r="EK482" s="209" t="s">
        <v>2689</v>
      </c>
      <c r="EL482" s="209" t="s">
        <v>2685</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1340</v>
      </c>
      <c r="C483" s="207" t="s">
        <v>960</v>
      </c>
      <c r="D483" s="207" t="s">
        <v>960</v>
      </c>
      <c r="E483" s="210" t="s">
        <v>1341</v>
      </c>
      <c r="F483" s="102" t="str">
        <f t="shared" si="21"/>
        <v>M</v>
      </c>
      <c r="AA483" s="209">
        <v>2</v>
      </c>
      <c r="AB483" s="310" t="s">
        <v>2682</v>
      </c>
      <c r="AC483" s="209">
        <f ca="1">IFERROR(MOD(AD$493,AA483),"")</f>
        <v>1.3333333333333339</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4</v>
      </c>
      <c r="AG483" s="209">
        <f ca="1">IF($AE497*$AA483*'Customer Base'!$D$26*0.8&gt;5800,"",IF($AE497*$AA483&gt;$AA501,"",IF(($AA$483*AG$482*$AE$497)&lt;=$AA$501,((MOD($AA$501,($AA$483*AG$482*$AE$497)))),"")))</f>
        <v>4</v>
      </c>
      <c r="AH483" s="209">
        <f ca="1">IF($AE497*$AA483*'Customer Base'!$D$26*0.8&gt;5800,"",IF($AE497*$AA483&gt;$AA501,"",IF(($AA$483*AH$482*$AE$497)&lt;=$AA$501,((MOD($AA$501,($AA$483*AH$482*$AE$497)))),"")))</f>
        <v>4</v>
      </c>
      <c r="AI483" s="209">
        <f ca="1">IF($AE497*$AA483*'Customer Base'!$D$26*0.8&gt;5800,"",IF($AE497*$AA483&gt;$AA501,"",IF(($AA$483*AI$482*$AE$497)&lt;=$AA$501,((MOD($AA$501,($AA$483*AI$482*$AE$497)))),"")))</f>
        <v>16</v>
      </c>
      <c r="AJ483" s="209">
        <f ca="1">IF($AE497*$AA483*'Customer Base'!$D$26*0.8&gt;5800,"",IF($AE497*$AA483&gt;$AA501,"",IF(($AA$483*AJ$482*$AE$497)&lt;=$AA$501,((MOD($AA$501,($AA$483*AJ$482*$AE$497)))),"")))</f>
        <v>10</v>
      </c>
      <c r="AK483" s="209">
        <f ca="1">IF($AE497*$AA483*'Customer Base'!$D$26*0.8&gt;5800,"",IF($AE497*$AA483&gt;$AA501,"",IF(($AA$483*AK$482*$AE$497)&lt;=$AA$501,((MOD($AA$501,($AA$483*AK$482*$AE$497)))),"")))</f>
        <v>4</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6</v>
      </c>
      <c r="ED483" s="311" t="str" cm="1">
        <f t="array" aca="1" ref="ED483" ca="1">IF(EC$474=EC483,LOOKUP(2,1/(AF483:EA483&lt;&gt;""),AF483:EA483),"")</f>
        <v/>
      </c>
      <c r="EE483" s="311" t="str">
        <f ca="1">IF(ED483=ED$474,1,"")</f>
        <v/>
      </c>
      <c r="EF483" s="311"/>
      <c r="EG483" s="311"/>
      <c r="EH483" s="311"/>
      <c r="EI483" s="209">
        <v>2</v>
      </c>
      <c r="EJ483" s="310" t="s">
        <v>2682</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1342</v>
      </c>
      <c r="C484" s="207" t="s">
        <v>1343</v>
      </c>
      <c r="D484" s="207" t="s">
        <v>954</v>
      </c>
      <c r="F484" s="102" t="str">
        <f t="shared" si="21"/>
        <v>E</v>
      </c>
      <c r="AA484" s="209">
        <v>3</v>
      </c>
      <c r="AB484" s="311" t="s">
        <v>2683</v>
      </c>
      <c r="AC484" s="209">
        <f ca="1">IFERROR(MOD(AD$493,AA484),"")</f>
        <v>1.3333333333333339</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4</v>
      </c>
      <c r="AG484" s="209">
        <f ca="1">IF($AE497*$AA484*'Customer Base'!$D$26*0.8&gt;5800,"",IF($AE497*$AA484&gt;$AA501,"",IF(($AA$484*AG$482*$AE$497)&lt;=$AA$501,((MOD($AA$501,($AA$484*AG$482*$AE$497)))),"")))</f>
        <v>4</v>
      </c>
      <c r="AH484" s="209">
        <f ca="1">IF($AE497*$AA484*'Customer Base'!$D$26*0.8&gt;5800,"",IF($AE497*$AA484&gt;$AA501,"",IF(($AA$484*AH$482*$AE$497)&lt;=$AA$501,((MOD($AA$501,($AA$484*AH$482*$AE$497)))),"")))</f>
        <v>13</v>
      </c>
      <c r="AI484" s="209">
        <f ca="1">IF($AE497*$AA484*'Customer Base'!$D$26*0.8&gt;5800,"",IF($AE497*$AA484&gt;$AA501,"",IF(($AA$484*AI$482*$AE$497)&lt;=$AA$501,((MOD($AA$501,($AA$484*AI$482*$AE$497)))),"")))</f>
        <v>4</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4</v>
      </c>
      <c r="ED484" s="311" cm="1">
        <f t="array" aca="1" ref="ED484" ca="1">IF(EC$474=EC484,LOOKUP(2,1/(AF484:EA484&lt;&gt;""),AF484:EA484),"")</f>
        <v>4</v>
      </c>
      <c r="EE484" s="311">
        <f ca="1">IF(ED484=ED$474,1,"")</f>
        <v>1</v>
      </c>
      <c r="EF484" s="311"/>
      <c r="EG484" s="311"/>
      <c r="EH484" s="311"/>
      <c r="EI484" s="209">
        <v>3</v>
      </c>
      <c r="EJ484" s="311" t="s">
        <v>2683</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1344</v>
      </c>
      <c r="D485" s="207" t="s">
        <v>1345</v>
      </c>
      <c r="F485" s="102" t="str">
        <f t="shared" si="21"/>
        <v>P</v>
      </c>
      <c r="AA485" s="209">
        <v>4</v>
      </c>
      <c r="AB485" s="311" t="s">
        <v>2684</v>
      </c>
      <c r="AC485" s="209">
        <f ca="1">IFERROR(MOD(AD$493,AA485),"")</f>
        <v>1.3333333333333339</v>
      </c>
      <c r="AD485" s="209">
        <f ca="1">IF(OR(AD489=1,AD489=""),"",IF(AC485=0,AA485,IF(AND(AC485&lt;&gt;0,AC484&lt;&gt;0,AC483&lt;&gt;0),AA485,IF(AND(AC485&lt;&gt;0,AC484&lt;&gt;0,AC483=0),AA485,""))))</f>
        <v>4</v>
      </c>
      <c r="AE485" s="209">
        <f ca="1">IFERROR(ROUNDDOWN(AD$493/AD485,0),"")</f>
        <v>3</v>
      </c>
      <c r="AF485" s="209" t="str">
        <f ca="1">IF($AE497*$AA485*'Customer Base'!$D$26*0.8&gt;5800,"",IF($AE497*$AA485&gt;$AA501,"",IF(($AA$485*AF$482*$AE$497)&lt;=$AA$501,((MOD($AA$501,($AA$485*AF$482*$AE$497)))),"")))</f>
        <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t="str" cm="1">
        <f t="array" aca="1" ref="EC485" ca="1">IFERROR(LOOKUP(2,1/(AF485:EA485&lt;&gt;""),AF$482:EA$482),"")</f>
        <v/>
      </c>
      <c r="ED485" s="311" t="str" cm="1">
        <f t="array" aca="1" ref="ED485" ca="1">IF(EC$474=EC485,LOOKUP(2,1/(AF485:EA485&lt;&gt;""),AF485:EA485),"")</f>
        <v/>
      </c>
      <c r="EE485" s="311" t="str">
        <f ca="1">IF(ED485=ED$474,1,"")</f>
        <v/>
      </c>
      <c r="EF485" s="311"/>
      <c r="EG485" s="311"/>
      <c r="EH485" s="311"/>
      <c r="EI485" s="209">
        <v>4</v>
      </c>
      <c r="EJ485" s="311" t="s">
        <v>2684</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1346</v>
      </c>
      <c r="C486" s="207" t="s">
        <v>389</v>
      </c>
      <c r="D486" s="207" t="s">
        <v>954</v>
      </c>
      <c r="E486" s="210" t="s">
        <v>1347</v>
      </c>
      <c r="F486" s="102" t="str">
        <f t="shared" si="21"/>
        <v>E</v>
      </c>
      <c r="EE486" s="311"/>
      <c r="EF486" s="311"/>
      <c r="EG486" s="311"/>
      <c r="EH486" s="311"/>
      <c r="IM486" s="311"/>
      <c r="IN486" s="311"/>
    </row>
    <row r="487" spans="2:248" ht="17">
      <c r="B487" s="206" t="s">
        <v>1348</v>
      </c>
      <c r="C487" s="207" t="s">
        <v>51</v>
      </c>
      <c r="D487" s="207" t="s">
        <v>51</v>
      </c>
      <c r="E487" s="210" t="s">
        <v>1325</v>
      </c>
      <c r="F487" s="102" t="str">
        <f t="shared" si="21"/>
        <v>T-FH</v>
      </c>
      <c r="EE487" s="311"/>
      <c r="EF487" s="311"/>
      <c r="EG487" s="311"/>
      <c r="EH487" s="311"/>
      <c r="IM487" s="311"/>
      <c r="IN487" s="311"/>
    </row>
    <row r="488" spans="2:248" ht="17">
      <c r="B488" s="206" t="s">
        <v>1349</v>
      </c>
      <c r="C488" s="207" t="s">
        <v>51</v>
      </c>
      <c r="D488" s="207" t="s">
        <v>51</v>
      </c>
      <c r="E488" s="210" t="s">
        <v>1325</v>
      </c>
      <c r="F488" s="102" t="str">
        <f t="shared" si="21"/>
        <v>T-FH</v>
      </c>
      <c r="Z488" s="209" t="s">
        <v>2691</v>
      </c>
      <c r="AB488" s="209" t="s">
        <v>2686</v>
      </c>
      <c r="AC488" s="209" t="s">
        <v>2689</v>
      </c>
      <c r="AD488" s="209" t="s">
        <v>2685</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2686</v>
      </c>
      <c r="EK488" s="209" t="s">
        <v>2689</v>
      </c>
      <c r="EL488" s="209" t="s">
        <v>2685</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1350</v>
      </c>
      <c r="C489" s="207" t="s">
        <v>51</v>
      </c>
      <c r="D489" s="207" t="s">
        <v>51</v>
      </c>
      <c r="E489" s="210" t="s">
        <v>1325</v>
      </c>
      <c r="F489" s="102" t="str">
        <f t="shared" si="21"/>
        <v>T-FH</v>
      </c>
      <c r="AA489" s="209">
        <v>2</v>
      </c>
      <c r="AB489" s="310" t="s">
        <v>2682</v>
      </c>
      <c r="AC489" s="209">
        <f ca="1">IFERROR(MOD(AD$493,AA489),"")</f>
        <v>1.3333333333333339</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0</v>
      </c>
      <c r="AG489" s="209">
        <f ca="1">IF($AE498*$AA489*'Customer Base'!$D$26*0.8&gt;5800,"",IF($AE498*$AA489&gt;$AA501,"",IF(($AA$489*AG$488*$AE$498)&lt;=$AA$501,((MOD($AA$501,($AA$489*AG$488*$AE$498)))),"")))</f>
        <v>8</v>
      </c>
      <c r="AH489" s="209">
        <f ca="1">IF($AE498*$AA489*'Customer Base'!$D$26*0.8&gt;5800,"",IF($AE498*$AA489&gt;$AA501,"",IF(($AA$489*AH$488*$AE$498)&lt;=$AA$501,((MOD($AA$501,($AA$489*AH$488*$AE$498)))),"")))</f>
        <v>16</v>
      </c>
      <c r="AI489" s="209">
        <f ca="1">IF($AE498*$AA489*'Customer Base'!$D$26*0.8&gt;5800,"",IF($AE498*$AA489&gt;$AA501,"",IF(($AA$489*AI$488*$AE$498)&lt;=$AA$501,((MOD($AA$501,($AA$489*AI$488*$AE$498)))),"")))</f>
        <v>8</v>
      </c>
      <c r="AJ489" s="209">
        <f ca="1">IF($AE498*$AA489*'Customer Base'!$D$26*0.8&gt;5800,"",IF($AE498*$AA489&gt;$AA501,"",IF(($AA$489*AJ$488*$AE$498)&lt;=$AA$501,((MOD($AA$501,($AA$489*AJ$488*$AE$498)))),"")))</f>
        <v>0</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2682</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1351</v>
      </c>
      <c r="C490" s="207" t="s">
        <v>51</v>
      </c>
      <c r="D490" s="207" t="s">
        <v>51</v>
      </c>
      <c r="E490" s="210" t="s">
        <v>1325</v>
      </c>
      <c r="F490" s="102" t="str">
        <f t="shared" si="21"/>
        <v>T-FH</v>
      </c>
      <c r="AA490" s="209">
        <v>3</v>
      </c>
      <c r="AB490" s="311" t="s">
        <v>2683</v>
      </c>
      <c r="AC490" s="209">
        <f ca="1">IFERROR(MOD(AD$493,AA490),"")</f>
        <v>1.3333333333333339</v>
      </c>
      <c r="AD490" s="209" t="str">
        <f ca="1">IF(OR(AD493=1,AD493=""),"",IF(AND(AC491&lt;&gt;0,AC490=0),IF(AC490=0,AA490,""),IF(AND(MAX(AC489:AC491)=AA490,SUMPRODUCT(AD491,AE491)&lt;&gt;AD493),AA490,"")))</f>
        <v/>
      </c>
      <c r="AE490" s="209" t="str">
        <f ca="1">IFERROR(IF(COUNT(AD490:AD491)&gt;1,1,(ROUNDDOWN(AD$493/AD490,0))),"")</f>
        <v/>
      </c>
      <c r="AF490" s="209" t="str">
        <f ca="1">IF($AE498*$AA490*'Customer Base'!$D$26*0.8&gt;5800,"",IF($AE498*$AA490&gt;$AA501,"",IF(($AA$490*AF$488*$AE$498)&lt;=$AA$501,((MOD($AA$501,($AA$490*AF$488*$AE$498)))),"")))</f>
        <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t="str" cm="1">
        <f t="array" aca="1" ref="EC490" ca="1">IFERROR(LOOKUP(2,1/(AF490:EA490&lt;&gt;""),AF$488:EA$488),"")</f>
        <v/>
      </c>
      <c r="ED490" s="311" t="str" cm="1">
        <f t="array" aca="1" ref="ED490" ca="1">IF(EC$474=EC490,LOOKUP(2,1/(AF490:EA490&lt;&gt;""),AF490:EA490),"")</f>
        <v/>
      </c>
      <c r="EE490" s="311" t="str">
        <f ca="1">IF(ED490=ED$474,1,"")</f>
        <v/>
      </c>
      <c r="EF490" s="311"/>
      <c r="EG490" s="311"/>
      <c r="EH490" s="311"/>
      <c r="EI490" s="209">
        <v>3</v>
      </c>
      <c r="EJ490" s="311" t="s">
        <v>2683</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1353</v>
      </c>
      <c r="C491" s="207" t="s">
        <v>295</v>
      </c>
      <c r="D491" s="207" t="s">
        <v>295</v>
      </c>
      <c r="E491" s="210" t="s">
        <v>1354</v>
      </c>
      <c r="F491" s="102" t="str">
        <f t="shared" si="21"/>
        <v>NC</v>
      </c>
      <c r="AA491" s="209">
        <v>4</v>
      </c>
      <c r="AB491" s="311" t="s">
        <v>2684</v>
      </c>
      <c r="AC491" s="209">
        <f ca="1">IFERROR(MOD(AD$493,AA491),"")</f>
        <v>1.3333333333333339</v>
      </c>
      <c r="AD491" s="209">
        <f ca="1">IF(OR(AD493=1,AD493=""),"",IF(AC491=0,AA491,IF(AND(AC491&lt;&gt;0,AC490&lt;&gt;0,AC489&lt;&gt;0),AA491,IF(AND(AC491&lt;&gt;0,AC490&lt;&gt;0,AC489=0),AA491,""))))</f>
        <v>4</v>
      </c>
      <c r="AE491" s="209">
        <f ca="1">IFERROR(ROUNDDOWN(AD$493/AD491,0),"")</f>
        <v>3</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2684</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1359</v>
      </c>
      <c r="C492" s="207" t="s">
        <v>1357</v>
      </c>
      <c r="D492" s="207" t="s">
        <v>957</v>
      </c>
      <c r="F492" s="102" t="str">
        <f t="shared" si="21"/>
        <v>N</v>
      </c>
      <c r="G492" s="208" t="s">
        <v>1358</v>
      </c>
      <c r="AC492" s="209" t="s">
        <v>2677</v>
      </c>
      <c r="AD492" s="209" t="s">
        <v>2678</v>
      </c>
    </row>
    <row r="493" spans="2:248" ht="17" customHeight="1">
      <c r="B493" s="206" t="s">
        <v>1804</v>
      </c>
      <c r="C493" s="207" t="s">
        <v>1805</v>
      </c>
      <c r="D493" s="207" t="s">
        <v>957</v>
      </c>
      <c r="F493" s="102" t="str">
        <f t="shared" si="21"/>
        <v>NI</v>
      </c>
      <c r="G493" s="208" t="s">
        <v>1806</v>
      </c>
      <c r="AC493" s="209">
        <f ca="1">IF(AA501=0,0/0,ROUNDDOWN(EH474/AB500,0))</f>
        <v>3</v>
      </c>
      <c r="AD493" s="209">
        <f ca="1">IFERROR(SUM(Items!A242:A255)/AC493,"")</f>
        <v>13.333333333333334</v>
      </c>
    </row>
    <row r="494" spans="2:248" ht="17" customHeight="1">
      <c r="B494" s="206" t="s">
        <v>2402</v>
      </c>
      <c r="C494" s="207" t="s">
        <v>2404</v>
      </c>
      <c r="D494" s="207" t="s">
        <v>216</v>
      </c>
      <c r="F494" s="102" t="str">
        <f t="shared" si="21"/>
        <v>NI-F</v>
      </c>
    </row>
    <row r="495" spans="2:248" ht="17" customHeight="1">
      <c r="B495" s="206" t="s">
        <v>2403</v>
      </c>
      <c r="C495" s="207" t="s">
        <v>2404</v>
      </c>
      <c r="D495" s="207" t="s">
        <v>216</v>
      </c>
      <c r="F495" s="102" t="str">
        <f t="shared" si="21"/>
        <v>NI-K</v>
      </c>
      <c r="AA495" s="209">
        <v>75</v>
      </c>
      <c r="AB495" s="209" t="s">
        <v>2681</v>
      </c>
      <c r="AC495" s="209" t="str">
        <f ca="1">IFERROR(VLOOKUP(X500,W$501:AB$516,5,FALSE),"")</f>
        <v/>
      </c>
      <c r="AE495" s="209">
        <f ca="1">ROUNDDOWN(AA495/AB$500,0)</f>
        <v>1</v>
      </c>
    </row>
    <row r="496" spans="2:248" ht="17" customHeight="1">
      <c r="B496" s="206" t="s">
        <v>1360</v>
      </c>
      <c r="C496" s="207" t="s">
        <v>1361</v>
      </c>
      <c r="D496" s="207" t="s">
        <v>958</v>
      </c>
      <c r="E496" s="210" t="s">
        <v>1362</v>
      </c>
      <c r="F496" s="102" t="str">
        <f t="shared" si="21"/>
        <v>BEK</v>
      </c>
      <c r="AA496" s="209">
        <v>100</v>
      </c>
      <c r="AB496" s="209" t="s">
        <v>2681</v>
      </c>
      <c r="AC496" s="209" t="str">
        <f ca="1">IFERROR(VLOOKUP(X501,W$501:AB$516,5,FALSE),"")</f>
        <v/>
      </c>
      <c r="AE496" s="209">
        <f ca="1">ROUNDDOWN(AA496/AB$500,0)</f>
        <v>2</v>
      </c>
    </row>
    <row r="497" spans="2:34" ht="17">
      <c r="B497" s="206" t="s">
        <v>1363</v>
      </c>
      <c r="C497" s="207" t="s">
        <v>1364</v>
      </c>
      <c r="D497" s="207" t="s">
        <v>216</v>
      </c>
      <c r="E497" s="210" t="s">
        <v>1365</v>
      </c>
      <c r="F497" s="102" t="str">
        <f t="shared" si="21"/>
        <v>AT</v>
      </c>
      <c r="AA497" s="209">
        <v>150</v>
      </c>
      <c r="AB497" s="209" t="s">
        <v>2681</v>
      </c>
      <c r="AC497" s="209">
        <f ca="1">IFERROR(VLOOKUP(X502,W$501:AB$516,5,FALSE),"")</f>
        <v>2</v>
      </c>
      <c r="AE497" s="209">
        <f ca="1">ROUNDDOWN(AA497/AB$500,0)</f>
        <v>3</v>
      </c>
    </row>
    <row r="498" spans="2:34" ht="17">
      <c r="B498" s="206" t="s">
        <v>1367</v>
      </c>
      <c r="C498" s="207" t="s">
        <v>1368</v>
      </c>
      <c r="D498" s="207" t="s">
        <v>216</v>
      </c>
      <c r="E498" s="210" t="s">
        <v>1369</v>
      </c>
      <c r="F498" s="102" t="str">
        <f t="shared" si="21"/>
        <v>IQ</v>
      </c>
      <c r="AA498" s="209">
        <v>250</v>
      </c>
      <c r="AB498" s="209" t="s">
        <v>2679</v>
      </c>
      <c r="AC498" s="209">
        <f ca="1">IFERROR(VLOOKUP(X503,W$501:AB$516,5,FALSE),"")</f>
        <v>5</v>
      </c>
      <c r="AE498" s="209">
        <f ca="1">IF(AND(MOD(AA501,AG498)&lt;&gt;0,AG498-AE497&gt;1),AG498-1,IF(AND(N1*'Customer Base'!D26*0.8&gt;5800,AG498-AE497&gt;1),AG498-1,AG498))</f>
        <v>4</v>
      </c>
      <c r="AG498" s="209">
        <f ca="1">ROUNDDOWN(AA498/AB$500,0)</f>
        <v>5</v>
      </c>
    </row>
    <row r="499" spans="2:34" ht="17">
      <c r="B499" s="206" t="s">
        <v>1370</v>
      </c>
      <c r="C499" s="207" t="s">
        <v>216</v>
      </c>
      <c r="D499" s="207" t="s">
        <v>216</v>
      </c>
      <c r="E499" s="210" t="s">
        <v>1371</v>
      </c>
      <c r="F499" s="102" t="str">
        <f t="shared" si="21"/>
        <v>GK</v>
      </c>
      <c r="Z499" s="309"/>
      <c r="AA499" s="309">
        <v>450</v>
      </c>
      <c r="AB499" s="209" t="s">
        <v>2680</v>
      </c>
      <c r="AC499" s="209">
        <f ca="1">IFERROR(VLOOKUP(X504,W$501:AB$516,5,FALSE),"")</f>
        <v>8</v>
      </c>
      <c r="AE499" s="209">
        <f ca="1">ROUNDDOWN(AA499/AB$500,0)</f>
        <v>9</v>
      </c>
    </row>
    <row r="500" spans="2:34" ht="17">
      <c r="B500" s="206" t="s">
        <v>1372</v>
      </c>
      <c r="C500" s="207" t="s">
        <v>1150</v>
      </c>
      <c r="D500" s="207" t="s">
        <v>216</v>
      </c>
      <c r="E500" s="210" t="s">
        <v>1373</v>
      </c>
      <c r="F500" s="102" t="str">
        <f t="shared" si="21"/>
        <v>AM</v>
      </c>
      <c r="AB500" s="209" cm="1">
        <f t="array" aca="1" ref="AB500" ca="1">IFERROR(LOOKUP(2,1/(AB502:AB601&lt;&gt;""),AB502:AB601),IF('Customer Base'!D7&lt;&gt;"Backup",SUMPRODUCT(Items!A242:A255,Items!AQ242:AQ255)/SUM(Items!A242:A255),""))</f>
        <v>47.9</v>
      </c>
    </row>
    <row r="501" spans="2:34" ht="17">
      <c r="B501" s="206" t="s">
        <v>1374</v>
      </c>
      <c r="C501" s="207" t="s">
        <v>1375</v>
      </c>
      <c r="D501" s="207" t="s">
        <v>1375</v>
      </c>
      <c r="E501" s="210" t="s">
        <v>1572</v>
      </c>
      <c r="F501" s="102" t="str">
        <f t="shared" si="21"/>
        <v>NATC</v>
      </c>
      <c r="W501" s="209" t="str">
        <f ca="1">IF(AND($AB501&gt;=AB500,$AB501&lt;150),1,IF(AND($AB501&gt;=150,$AB501&lt;250),2,IF(AND($AB501&gt;=250,$AB501&lt;450),3,"")))</f>
        <v/>
      </c>
      <c r="X501" s="209" t="s">
        <v>2670</v>
      </c>
      <c r="Y501" s="209" t="str" cm="1">
        <f t="array" ref="Y501">SUBSTITUTE(TRIM(_xlfn.CONCAT(P1:P100 &amp; " ")), " ", ", ")</f>
        <v>40, 20, 10, 8, 5, 4, 2, 1</v>
      </c>
      <c r="Z501" s="309" t="str" cm="1">
        <f t="array" aca="1" ref="Z501" ca="1">IFERROR(LEFT(Y501, MATCH(FALSE, ISNUMBER(MID(Y501, ROW(INDIRECT("1:"&amp;LEN(Y501)+1)), 1) *1), 0) -1),"")</f>
        <v>40</v>
      </c>
      <c r="AA501" s="209">
        <f ca="1">IFERROR(VALUE(Z501),"")</f>
        <v>40</v>
      </c>
      <c r="AB501" s="209">
        <f ca="1">IFERROR(AA501*SUMPRODUCT(Items!A$242:A$255,Items!AQ$242:AQ$255)/SUM(Items!A$242:A$255),"")</f>
        <v>1916</v>
      </c>
      <c r="AH501" s="309"/>
    </row>
    <row r="502" spans="2:34" ht="17">
      <c r="B502" s="206" t="s">
        <v>1390</v>
      </c>
      <c r="C502" s="207" t="s">
        <v>855</v>
      </c>
      <c r="D502" s="207" t="s">
        <v>955</v>
      </c>
      <c r="E502" s="210" t="s">
        <v>1391</v>
      </c>
      <c r="F502" s="102" t="str">
        <f t="shared" si="21"/>
        <v>LC</v>
      </c>
      <c r="W502" s="209" t="str">
        <f ca="1">IF(AND($AB502&gt;=AB500,$AB502&lt;150),1,IF(AND($AB502&gt;=150,$AB502&lt;250),2,IF(AND($AB502&gt;=250,$AB502&lt;450),3,"")))</f>
        <v/>
      </c>
      <c r="X502" s="209">
        <v>1</v>
      </c>
      <c r="Y502" s="209" t="str" cm="1">
        <f t="array" ref="Y502">SUBSTITUTE(TRIM(_xlfn.CONCAT(P2:P101 &amp; " ")), " ", ", ")</f>
        <v>20, 10, 8, 5, 4, 2, 1</v>
      </c>
      <c r="Z502" s="309" t="str" cm="1">
        <f t="array" aca="1" ref="Z502" ca="1">IFERROR(LEFT(Y502, MATCH(FALSE, ISNUMBER(MID(Y502, ROW(INDIRECT("1:"&amp;LEN(Y502)+1)), 1) *1), 0) -1),"")</f>
        <v>20</v>
      </c>
      <c r="AA502" s="209">
        <f ca="1">IFERROR(VALUE(Z502),"")</f>
        <v>20</v>
      </c>
      <c r="AB502" s="209">
        <f ca="1">IFERROR(AA502*SUMPRODUCT(Items!A$242:A$255,Items!AQ$242:AQ$255)/SUM(Items!A$242:A$255),"")</f>
        <v>958</v>
      </c>
      <c r="AH502" s="309"/>
    </row>
    <row r="503" spans="2:34" ht="17">
      <c r="B503" s="206" t="s">
        <v>1392</v>
      </c>
      <c r="C503" s="207" t="s">
        <v>1393</v>
      </c>
      <c r="D503" s="207" t="s">
        <v>216</v>
      </c>
      <c r="E503" s="210" t="s">
        <v>1394</v>
      </c>
      <c r="F503" s="102" t="str">
        <f t="shared" si="21"/>
        <v>DGW</v>
      </c>
      <c r="W503" s="209" t="str">
        <f ca="1">IF(AND($AB503&gt;=AB500,$AB503&lt;150),1,IF(AND($AB503&gt;=150,$AB503&lt;250),2,IF(AND($AB503&gt;=250,$AB503&lt;450),3,"")))</f>
        <v/>
      </c>
      <c r="X503" s="209">
        <v>2</v>
      </c>
      <c r="Y503" s="209" t="str" cm="1">
        <f t="array" ref="Y503">SUBSTITUTE(TRIM(_xlfn.CONCAT(P3:P102 &amp; " ")), " ", ", ")</f>
        <v>10, 8, 5, 4, 2, 1</v>
      </c>
      <c r="Z503" s="309" t="str" cm="1">
        <f t="array" aca="1" ref="Z503" ca="1">IFERROR(LEFT(Y503, MATCH(FALSE, ISNUMBER(MID(Y503, ROW(INDIRECT("1:"&amp;LEN(Y503)+1)), 1) *1), 0) -1),"")</f>
        <v>10</v>
      </c>
      <c r="AA503" s="209">
        <f t="shared" ref="AA503:AA516" ca="1" si="22">IFERROR(VALUE(Z503),"")</f>
        <v>10</v>
      </c>
      <c r="AB503" s="209">
        <f ca="1">IFERROR(AA503*SUMPRODUCT(Items!A$242:A$255,Items!AQ$242:AQ$255)/SUM(Items!A$242:A$255),"")</f>
        <v>479</v>
      </c>
      <c r="AH503" s="309"/>
    </row>
    <row r="504" spans="2:34" ht="17">
      <c r="B504" s="206" t="s">
        <v>1395</v>
      </c>
      <c r="C504" s="207" t="s">
        <v>1396</v>
      </c>
      <c r="D504" s="207" t="s">
        <v>216</v>
      </c>
      <c r="E504" s="210" t="s">
        <v>1397</v>
      </c>
      <c r="F504" s="102" t="str">
        <f t="shared" si="21"/>
        <v>N</v>
      </c>
      <c r="W504" s="209">
        <f ca="1">IF(AND($AB504&gt;=AB500,$AB504&lt;150),1,IF(AND($AB504&gt;=150,$AB504&lt;250),2,IF(AND($AB504&gt;=250,$AB504&lt;450),3,"")))</f>
        <v>3</v>
      </c>
      <c r="X504" s="209">
        <v>3</v>
      </c>
      <c r="Y504" s="209" t="str" cm="1">
        <f t="array" ref="Y504">SUBSTITUTE(TRIM(_xlfn.CONCAT(P4:P103 &amp; " ")), " ", ", ")</f>
        <v>8, 5, 4, 2, 1</v>
      </c>
      <c r="Z504" s="309" t="str" cm="1">
        <f t="array" aca="1" ref="Z504" ca="1">IFERROR(LEFT(Y504, MATCH(FALSE, ISNUMBER(MID(Y504, ROW(INDIRECT("1:"&amp;LEN(Y504)+1)), 1) *1), 0) -1),"")</f>
        <v>8</v>
      </c>
      <c r="AA504" s="209">
        <f t="shared" ca="1" si="22"/>
        <v>8</v>
      </c>
      <c r="AB504" s="209">
        <f ca="1">IFERROR(AA504*SUMPRODUCT(Items!A$242:A$255,Items!AQ$242:AQ$255)/SUM(Items!A$242:A$255),"")</f>
        <v>383.2</v>
      </c>
      <c r="AH504" s="309"/>
    </row>
    <row r="505" spans="2:34" ht="17">
      <c r="B505" s="206" t="s">
        <v>1398</v>
      </c>
      <c r="C505" s="207" t="s">
        <v>216</v>
      </c>
      <c r="D505" s="207" t="s">
        <v>216</v>
      </c>
      <c r="E505" s="210" t="s">
        <v>1399</v>
      </c>
      <c r="F505" s="102" t="str">
        <f t="shared" si="21"/>
        <v>M</v>
      </c>
      <c r="W505" s="209">
        <f ca="1">IF(AND($AB505&gt;=AB500,$AB505&lt;150),1,IF(AND($AB505&gt;=150,$AB505&lt;250),2,IF(AND($AB505&gt;=250,$AB505&lt;450),3,"")))</f>
        <v>2</v>
      </c>
      <c r="X505" s="209">
        <v>4</v>
      </c>
      <c r="Y505" s="209" t="str" cm="1">
        <f t="array" ref="Y505">SUBSTITUTE(TRIM(_xlfn.CONCAT(P5:P104 &amp; " ")), " ", ", ")</f>
        <v>5, 4, 2, 1</v>
      </c>
      <c r="Z505" s="309" t="str" cm="1">
        <f t="array" aca="1" ref="Z505" ca="1">IFERROR(LEFT(Y505, MATCH(FALSE, ISNUMBER(MID(Y505, ROW(INDIRECT("1:"&amp;LEN(Y505)+1)), 1) *1), 0) -1),"")</f>
        <v>5</v>
      </c>
      <c r="AA505" s="209">
        <f t="shared" ca="1" si="22"/>
        <v>5</v>
      </c>
      <c r="AB505" s="209">
        <f ca="1">IFERROR(AA505*SUMPRODUCT(Items!A$242:A$255,Items!AQ$242:AQ$255)/SUM(Items!A$242:A$255),"")</f>
        <v>239.5</v>
      </c>
      <c r="AH505" s="309"/>
    </row>
    <row r="506" spans="2:34" ht="17">
      <c r="B506" s="206" t="s">
        <v>1400</v>
      </c>
      <c r="C506" s="207" t="s">
        <v>38</v>
      </c>
      <c r="D506" s="207" t="s">
        <v>216</v>
      </c>
      <c r="E506" s="210" t="s">
        <v>1401</v>
      </c>
      <c r="F506" s="102" t="str">
        <f t="shared" si="21"/>
        <v>F</v>
      </c>
      <c r="W506" s="209">
        <f ca="1">IF(AND($AB506&gt;=AB500,$AB506&lt;150),1,IF(AND($AB506&gt;=150,$AB506&lt;250),2,IF(AND($AB506&gt;=250,$AB506&lt;450),3,"")))</f>
        <v>2</v>
      </c>
      <c r="X506" s="209">
        <v>5</v>
      </c>
      <c r="Y506" s="209" t="str" cm="1">
        <f t="array" ref="Y506">SUBSTITUTE(TRIM(_xlfn.CONCAT(P6:P105 &amp; " ")), " ", ", ")</f>
        <v>4, 2, 1</v>
      </c>
      <c r="Z506" s="309" t="str" cm="1">
        <f t="array" aca="1" ref="Z506" ca="1">IFERROR(LEFT(Y506, MATCH(FALSE, ISNUMBER(MID(Y506, ROW(INDIRECT("1:"&amp;LEN(Y506)+1)), 1) *1), 0) -1),"")</f>
        <v>4</v>
      </c>
      <c r="AA506" s="209">
        <f t="shared" ca="1" si="22"/>
        <v>4</v>
      </c>
      <c r="AB506" s="209">
        <f ca="1">IFERROR(AA506*SUMPRODUCT(Items!A$242:A$255,Items!AQ$242:AQ$255)/SUM(Items!A$242:A$255),"")</f>
        <v>191.6</v>
      </c>
      <c r="AH506" s="309"/>
    </row>
    <row r="507" spans="2:34" ht="17">
      <c r="B507" s="206" t="s">
        <v>1402</v>
      </c>
      <c r="C507" s="207" t="s">
        <v>216</v>
      </c>
      <c r="D507" s="207" t="s">
        <v>216</v>
      </c>
      <c r="E507" s="210" t="s">
        <v>1403</v>
      </c>
      <c r="F507" s="102" t="str">
        <f t="shared" si="21"/>
        <v>GE</v>
      </c>
      <c r="W507" s="209">
        <f ca="1">IF(AND($AB507&gt;=AB500,$AB507&lt;150),1,IF(AND($AB507&gt;=150,$AB507&lt;250),2,IF(AND($AB507&gt;=250,$AB507&lt;450),3,"")))</f>
        <v>1</v>
      </c>
      <c r="X507" s="209">
        <v>6</v>
      </c>
      <c r="Y507" s="209" t="str" cm="1">
        <f t="array" ref="Y507">SUBSTITUTE(TRIM(_xlfn.CONCAT(P7:P106 &amp; " ")), " ", ", ")</f>
        <v>2, 1</v>
      </c>
      <c r="Z507" s="309" t="str" cm="1">
        <f t="array" aca="1" ref="Z507" ca="1">IFERROR(LEFT(Y507, MATCH(FALSE, ISNUMBER(MID(Y507, ROW(INDIRECT("1:"&amp;LEN(Y507)+1)), 1) *1), 0) -1),"")</f>
        <v>2</v>
      </c>
      <c r="AA507" s="209">
        <f t="shared" ca="1" si="22"/>
        <v>2</v>
      </c>
      <c r="AB507" s="209">
        <f ca="1">IFERROR(AA507*SUMPRODUCT(Items!A$242:A$255,Items!AQ$242:AQ$255)/SUM(Items!A$242:A$255),"")</f>
        <v>95.8</v>
      </c>
      <c r="AH507" s="309"/>
    </row>
    <row r="508" spans="2:34" ht="17">
      <c r="B508" s="206" t="s">
        <v>1404</v>
      </c>
      <c r="C508" s="207" t="s">
        <v>856</v>
      </c>
      <c r="D508" s="207" t="s">
        <v>1345</v>
      </c>
      <c r="E508" s="210" t="s">
        <v>1405</v>
      </c>
      <c r="F508" s="102" t="str">
        <f t="shared" si="21"/>
        <v>RS-S</v>
      </c>
      <c r="W508" s="209">
        <f ca="1">IF(AND($AB508&gt;=AB500,$AB508&lt;150),1,IF(AND($AB508&gt;=150,$AB508&lt;250),2,IF(AND($AB508&gt;=250,$AB508&lt;450),3,"")))</f>
        <v>1</v>
      </c>
      <c r="X508" s="209">
        <v>7</v>
      </c>
      <c r="Y508" s="209" t="str" cm="1">
        <f t="array" ref="Y508">SUBSTITUTE(TRIM(_xlfn.CONCAT(P8:P107 &amp; " ")), " ", ", ")</f>
        <v>1</v>
      </c>
      <c r="Z508" s="309" t="str" cm="1">
        <f t="array" aca="1" ref="Z508" ca="1">IFERROR(LEFT(Y508, MATCH(FALSE, ISNUMBER(MID(Y508, ROW(INDIRECT("1:"&amp;LEN(Y508)+1)), 1) *1), 0) -1),"")</f>
        <v>1</v>
      </c>
      <c r="AA508" s="209">
        <f t="shared" ca="1" si="22"/>
        <v>1</v>
      </c>
      <c r="AB508" s="209">
        <f ca="1">IFERROR(AA508*SUMPRODUCT(Items!A$242:A$255,Items!AQ$242:AQ$255)/SUM(Items!A$242:A$255),"")</f>
        <v>47.9</v>
      </c>
      <c r="AH508" s="309"/>
    </row>
    <row r="509" spans="2:34" ht="17">
      <c r="B509" s="206" t="s">
        <v>1464</v>
      </c>
      <c r="C509" s="207" t="s">
        <v>352</v>
      </c>
      <c r="D509" s="207" t="s">
        <v>216</v>
      </c>
      <c r="E509" s="210" t="s">
        <v>1406</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IFERROR(AA509*SUMPRODUCT(Items!A$242:A$255,Items!AQ$242:AQ$255)/SUM(Items!A$242:A$255),"")</f>
        <v/>
      </c>
      <c r="AH509" s="309"/>
    </row>
    <row r="510" spans="2:34" ht="17">
      <c r="B510" s="206" t="s">
        <v>1407</v>
      </c>
      <c r="C510" s="207" t="s">
        <v>69</v>
      </c>
      <c r="D510" s="207" t="s">
        <v>216</v>
      </c>
      <c r="E510" s="210" t="s">
        <v>1406</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IFERROR(AA510*SUMPRODUCT(Items!A$242:A$255,Items!AQ$242:AQ$255)/SUM(Items!A$242:A$255),"")</f>
        <v/>
      </c>
      <c r="AH510" s="309"/>
    </row>
    <row r="511" spans="2:34" ht="17">
      <c r="B511" s="206" t="s">
        <v>1408</v>
      </c>
      <c r="C511" s="207" t="s">
        <v>69</v>
      </c>
      <c r="D511" s="207" t="s">
        <v>216</v>
      </c>
      <c r="E511" s="210" t="s">
        <v>1406</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IFERROR(AA511*SUMPRODUCT(Items!A$242:A$255,Items!AQ$242:AQ$255)/SUM(Items!A$242:A$255),"")</f>
        <v/>
      </c>
      <c r="AH511" s="309"/>
    </row>
    <row r="512" spans="2:34" ht="17">
      <c r="B512" s="206" t="s">
        <v>1409</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IFERROR(AA512*SUMPRODUCT(Items!A$242:A$255,Items!AQ$242:AQ$255)/SUM(Items!A$242:A$255),"")</f>
        <v/>
      </c>
      <c r="AH512" s="309"/>
    </row>
    <row r="513" spans="1:34" ht="17">
      <c r="B513" s="206" t="s">
        <v>1410</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IFERROR(AA513*SUMPRODUCT(Items!A$242:A$255,Items!AQ$242:AQ$255)/SUM(Items!A$242:A$255),"")</f>
        <v/>
      </c>
      <c r="AH513" s="309"/>
    </row>
    <row r="514" spans="1:34" ht="17">
      <c r="B514" s="206" t="s">
        <v>1411</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IFERROR(AA514*SUMPRODUCT(Items!A$242:A$255,Items!AQ$242:AQ$255)/SUM(Items!A$242:A$255),"")</f>
        <v/>
      </c>
      <c r="AH514" s="309"/>
    </row>
    <row r="515" spans="1:34" ht="17">
      <c r="B515" s="206" t="s">
        <v>1412</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IFERROR(AA515*SUMPRODUCT(Items!A$242:A$255,Items!AQ$242:AQ$255)/SUM(Items!A$242:A$255),"")</f>
        <v/>
      </c>
      <c r="AH515" s="309"/>
    </row>
    <row r="516" spans="1:34" ht="17">
      <c r="B516" s="206" t="s">
        <v>1413</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IFERROR(AA516*SUMPRODUCT(Items!A$242:A$255,Items!AQ$242:AQ$255)/SUM(Items!A$242:A$255),"")</f>
        <v/>
      </c>
      <c r="AH516" s="309"/>
    </row>
    <row r="517" spans="1:34" ht="17">
      <c r="B517" s="206" t="s">
        <v>1414</v>
      </c>
      <c r="C517" s="207" t="s">
        <v>1086</v>
      </c>
      <c r="D517" s="207" t="s">
        <v>1086</v>
      </c>
      <c r="E517" s="210" t="s">
        <v>1415</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IFERROR(AA517*SUMPRODUCT(Items!A$242:A$255,Items!AQ$242:AQ$255)/SUM(Items!A$242:A$255),"")</f>
        <v/>
      </c>
    </row>
    <row r="518" spans="1:34" ht="17">
      <c r="B518" s="206" t="s">
        <v>1461</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IFERROR(AA518*SUMPRODUCT(Items!A$242:A$255,Items!AQ$242:AQ$255)/SUM(Items!A$242:A$255),"")</f>
        <v/>
      </c>
    </row>
    <row r="519" spans="1:34" ht="17">
      <c r="B519" s="206" t="s">
        <v>1469</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IFERROR(AA519*SUMPRODUCT(Items!A$242:A$255,Items!AQ$242:AQ$255)/SUM(Items!A$242:A$255),"")</f>
        <v/>
      </c>
    </row>
    <row r="520" spans="1:34" ht="17">
      <c r="B520" s="206" t="s">
        <v>1466</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IFERROR(AA520*SUMPRODUCT(Items!A$242:A$255,Items!AQ$242:AQ$255)/SUM(Items!A$242:A$255),"")</f>
        <v/>
      </c>
    </row>
    <row r="521" spans="1:34" ht="17">
      <c r="A521" s="213"/>
      <c r="B521" s="214" t="s">
        <v>1465</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IFERROR(AA521*SUMPRODUCT(Items!A$242:A$255,Items!AQ$242:AQ$255)/SUM(Items!A$242:A$255),"")</f>
        <v/>
      </c>
    </row>
    <row r="522" spans="1:34" ht="17">
      <c r="A522" s="213"/>
      <c r="B522" s="214" t="s">
        <v>1467</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IFERROR(AA522*SUMPRODUCT(Items!A$242:A$255,Items!AQ$242:AQ$255)/SUM(Items!A$242:A$255),"")</f>
        <v/>
      </c>
    </row>
    <row r="523" spans="1:34" ht="17">
      <c r="A523" s="213"/>
      <c r="B523" s="214" t="s">
        <v>1468</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IFERROR(AA523*SUMPRODUCT(Items!A$242:A$255,Items!AQ$242:AQ$255)/SUM(Items!A$242:A$255),"")</f>
        <v/>
      </c>
    </row>
    <row r="524" spans="1:34" ht="17">
      <c r="B524" s="206" t="s">
        <v>1471</v>
      </c>
      <c r="C524" s="207" t="s">
        <v>1237</v>
      </c>
      <c r="D524" s="207" t="s">
        <v>216</v>
      </c>
      <c r="E524" s="207" t="s">
        <v>1472</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IFERROR(AA524*SUMPRODUCT(Items!A$242:A$255,Items!AQ$242:AQ$255)/SUM(Items!A$242:A$255),"")</f>
        <v/>
      </c>
    </row>
    <row r="525" spans="1:34" ht="17">
      <c r="B525" s="206" t="s">
        <v>1473</v>
      </c>
      <c r="C525" s="207" t="s">
        <v>216</v>
      </c>
      <c r="D525" s="207" t="s">
        <v>216</v>
      </c>
      <c r="E525" s="210" t="s">
        <v>1474</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IFERROR(AA525*SUMPRODUCT(Items!A$242:A$255,Items!AQ$242:AQ$255)/SUM(Items!A$242:A$255),"")</f>
        <v/>
      </c>
    </row>
    <row r="526" spans="1:34" ht="17">
      <c r="B526" s="206" t="s">
        <v>1475</v>
      </c>
      <c r="C526" s="207" t="s">
        <v>342</v>
      </c>
      <c r="D526" s="207" t="s">
        <v>342</v>
      </c>
      <c r="E526" s="210" t="s">
        <v>1476</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IFERROR(AA526*SUMPRODUCT(Items!A$242:A$255,Items!AQ$242:AQ$255)/SUM(Items!A$242:A$255),"")</f>
        <v/>
      </c>
    </row>
    <row r="527" spans="1:34" ht="17">
      <c r="B527" s="206" t="s">
        <v>1477</v>
      </c>
      <c r="C527" s="207" t="s">
        <v>1375</v>
      </c>
      <c r="D527" s="207" t="s">
        <v>1375</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IFERROR(AA527*SUMPRODUCT(Items!A$242:A$255,Items!AQ$242:AQ$255)/SUM(Items!A$242:A$255),"")</f>
        <v/>
      </c>
    </row>
    <row r="528" spans="1:34" ht="17">
      <c r="B528" s="206" t="s">
        <v>1478</v>
      </c>
      <c r="C528" s="207" t="s">
        <v>355</v>
      </c>
      <c r="D528" s="207" t="s">
        <v>216</v>
      </c>
      <c r="E528" s="210" t="s">
        <v>1479</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IFERROR(AA528*SUMPRODUCT(Items!A$242:A$255,Items!AQ$242:AQ$255)/SUM(Items!A$242:A$255),"")</f>
        <v/>
      </c>
    </row>
    <row r="529" spans="2:28" ht="34">
      <c r="B529" s="206" t="s">
        <v>1482</v>
      </c>
      <c r="C529" s="207" t="s">
        <v>51</v>
      </c>
      <c r="D529" s="207" t="s">
        <v>51</v>
      </c>
      <c r="E529" s="210" t="s">
        <v>1480</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IFERROR(AA529*SUMPRODUCT(Items!A$242:A$255,Items!AQ$242:AQ$255)/SUM(Items!A$242:A$255),"")</f>
        <v/>
      </c>
    </row>
    <row r="530" spans="2:28" ht="17">
      <c r="B530" s="206" t="s">
        <v>1492</v>
      </c>
      <c r="C530" s="207" t="s">
        <v>1493</v>
      </c>
      <c r="D530" s="207" t="s">
        <v>1493</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IFERROR(AA530*SUMPRODUCT(Items!A$242:A$255,Items!AQ$242:AQ$255)/SUM(Items!A$242:A$255),"")</f>
        <v/>
      </c>
    </row>
    <row r="531" spans="2:28" ht="17">
      <c r="B531" s="206" t="s">
        <v>1497</v>
      </c>
      <c r="C531" s="207" t="s">
        <v>1498</v>
      </c>
      <c r="D531" s="207" t="s">
        <v>1499</v>
      </c>
      <c r="E531" s="210" t="s">
        <v>1500</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IFERROR(AA531*SUMPRODUCT(Items!A$242:A$255,Items!AQ$242:AQ$255)/SUM(Items!A$242:A$255),"")</f>
        <v/>
      </c>
    </row>
    <row r="532" spans="2:28" ht="17">
      <c r="B532" s="206" t="s">
        <v>1501</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IFERROR(AA532*SUMPRODUCT(Items!A$242:A$255,Items!AQ$242:AQ$255)/SUM(Items!A$242:A$255),"")</f>
        <v/>
      </c>
    </row>
    <row r="533" spans="2:28" ht="34">
      <c r="B533" s="206" t="s">
        <v>1502</v>
      </c>
      <c r="C533" s="207" t="s">
        <v>1503</v>
      </c>
      <c r="D533" s="207" t="s">
        <v>954</v>
      </c>
      <c r="E533" s="210" t="s">
        <v>1504</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IFERROR(AA533*SUMPRODUCT(Items!A$242:A$255,Items!AQ$242:AQ$255)/SUM(Items!A$242:A$255),"")</f>
        <v/>
      </c>
    </row>
    <row r="534" spans="2:28" ht="17">
      <c r="B534" s="206" t="s">
        <v>1505</v>
      </c>
      <c r="C534" s="207" t="s">
        <v>32</v>
      </c>
      <c r="D534" s="207" t="s">
        <v>216</v>
      </c>
      <c r="E534" s="210" t="s">
        <v>1506</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IFERROR(AA534*SUMPRODUCT(Items!A$242:A$255,Items!AQ$242:AQ$255)/SUM(Items!A$242:A$255),"")</f>
        <v/>
      </c>
    </row>
    <row r="535" spans="2:28" ht="17">
      <c r="B535" s="206" t="s">
        <v>1507</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IFERROR(AA535*SUMPRODUCT(Items!A$242:A$255,Items!AQ$242:AQ$255)/SUM(Items!A$242:A$255),"")</f>
        <v/>
      </c>
    </row>
    <row r="536" spans="2:28" ht="17">
      <c r="B536" s="206" t="s">
        <v>1509</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IFERROR(AA536*SUMPRODUCT(Items!A$242:A$255,Items!AQ$242:AQ$255)/SUM(Items!A$242:A$255),"")</f>
        <v/>
      </c>
    </row>
    <row r="537" spans="2:28" ht="17">
      <c r="B537" s="206" t="s">
        <v>1510</v>
      </c>
      <c r="C537" s="207" t="s">
        <v>216</v>
      </c>
      <c r="D537" s="207" t="s">
        <v>216</v>
      </c>
      <c r="E537" s="210" t="s">
        <v>1511</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IFERROR(AA537*SUMPRODUCT(Items!A$242:A$255,Items!AQ$242:AQ$255)/SUM(Items!A$242:A$255),"")</f>
        <v/>
      </c>
    </row>
    <row r="538" spans="2:28" ht="17">
      <c r="B538" s="206" t="s">
        <v>1512</v>
      </c>
      <c r="C538" s="207" t="s">
        <v>69</v>
      </c>
      <c r="D538" s="207" t="s">
        <v>216</v>
      </c>
      <c r="E538" s="210" t="s">
        <v>1513</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IFERROR(AA538*SUMPRODUCT(Items!A$242:A$255,Items!AQ$242:AQ$255)/SUM(Items!A$242:A$255),"")</f>
        <v/>
      </c>
    </row>
    <row r="539" spans="2:28" ht="17">
      <c r="B539" s="206" t="s">
        <v>1514</v>
      </c>
      <c r="C539" s="207" t="s">
        <v>216</v>
      </c>
      <c r="D539" s="207" t="s">
        <v>216</v>
      </c>
      <c r="F539" s="102" t="str">
        <f t="shared" si="23"/>
        <v>ML</v>
      </c>
      <c r="G539" s="208" t="s">
        <v>1515</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IFERROR(AA539*SUMPRODUCT(Items!A$242:A$255,Items!AQ$242:AQ$255)/SUM(Items!A$242:A$255),"")</f>
        <v/>
      </c>
    </row>
    <row r="540" spans="2:28" ht="17">
      <c r="B540" s="206" t="s">
        <v>1516</v>
      </c>
      <c r="C540" s="207" t="s">
        <v>216</v>
      </c>
      <c r="D540" s="207" t="s">
        <v>216</v>
      </c>
      <c r="E540" s="210" t="s">
        <v>1518</v>
      </c>
      <c r="F540" s="102" t="str">
        <f t="shared" si="23"/>
        <v>TP</v>
      </c>
      <c r="G540" s="217" t="s">
        <v>1517</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IFERROR(AA540*SUMPRODUCT(Items!A$242:A$255,Items!AQ$242:AQ$255)/SUM(Items!A$242:A$255),"")</f>
        <v/>
      </c>
    </row>
    <row r="541" spans="2:28" ht="17">
      <c r="B541" s="206" t="s">
        <v>629</v>
      </c>
      <c r="C541" s="207" t="s">
        <v>960</v>
      </c>
      <c r="D541" s="207" t="s">
        <v>960</v>
      </c>
      <c r="E541" s="210" t="s">
        <v>1519</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IFERROR(AA541*SUMPRODUCT(Items!A$242:A$255,Items!AQ$242:AQ$255)/SUM(Items!A$242:A$255),"")</f>
        <v/>
      </c>
    </row>
    <row r="542" spans="2:28" ht="17">
      <c r="B542" s="206" t="s">
        <v>1520</v>
      </c>
      <c r="C542" s="207" t="s">
        <v>1521</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IFERROR(AA542*SUMPRODUCT(Items!A$242:A$255,Items!AQ$242:AQ$255)/SUM(Items!A$242:A$255),"")</f>
        <v/>
      </c>
    </row>
    <row r="543" spans="2:28" ht="17">
      <c r="B543" s="206" t="s">
        <v>1527</v>
      </c>
      <c r="C543" s="207" t="s">
        <v>1528</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IFERROR(AA543*SUMPRODUCT(Items!A$242:A$255,Items!AQ$242:AQ$255)/SUM(Items!A$242:A$255),"")</f>
        <v/>
      </c>
    </row>
    <row r="544" spans="2:28" ht="17">
      <c r="B544" s="206" t="s">
        <v>1529</v>
      </c>
      <c r="C544" s="207" t="s">
        <v>219</v>
      </c>
      <c r="D544" s="207" t="s">
        <v>216</v>
      </c>
      <c r="E544" s="210" t="s">
        <v>1531</v>
      </c>
      <c r="F544" s="102" t="str">
        <f t="shared" si="23"/>
        <v>AE</v>
      </c>
      <c r="G544" s="208" t="s">
        <v>1530</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IFERROR(AA544*SUMPRODUCT(Items!A$242:A$255,Items!AQ$242:AQ$255)/SUM(Items!A$242:A$255),"")</f>
        <v/>
      </c>
    </row>
    <row r="545" spans="2:28" ht="17">
      <c r="B545" s="206" t="s">
        <v>1532</v>
      </c>
      <c r="C545" s="207" t="s">
        <v>1533</v>
      </c>
      <c r="D545" s="207" t="s">
        <v>216</v>
      </c>
      <c r="E545" s="210" t="s">
        <v>1534</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IFERROR(AA545*SUMPRODUCT(Items!A$242:A$255,Items!AQ$242:AQ$255)/SUM(Items!A$242:A$255),"")</f>
        <v/>
      </c>
    </row>
    <row r="546" spans="2:28" ht="17">
      <c r="B546" s="206" t="s">
        <v>1537</v>
      </c>
      <c r="C546" s="207" t="s">
        <v>216</v>
      </c>
      <c r="D546" s="207" t="s">
        <v>216</v>
      </c>
      <c r="E546" s="210" t="s">
        <v>1538</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IFERROR(AA546*SUMPRODUCT(Items!A$242:A$255,Items!AQ$242:AQ$255)/SUM(Items!A$242:A$255),"")</f>
        <v/>
      </c>
    </row>
    <row r="547" spans="2:28" ht="17">
      <c r="B547" s="206" t="s">
        <v>1539</v>
      </c>
      <c r="C547" s="207" t="s">
        <v>182</v>
      </c>
      <c r="D547" s="207" t="s">
        <v>216</v>
      </c>
      <c r="E547" s="210" t="s">
        <v>1540</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IFERROR(AA547*SUMPRODUCT(Items!A$242:A$255,Items!AQ$242:AQ$255)/SUM(Items!A$242:A$255),"")</f>
        <v/>
      </c>
    </row>
    <row r="548" spans="2:28" ht="17">
      <c r="B548" s="206" t="s">
        <v>1541</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IFERROR(AA548*SUMPRODUCT(Items!A$242:A$255,Items!AQ$242:AQ$255)/SUM(Items!A$242:A$255),"")</f>
        <v/>
      </c>
    </row>
    <row r="549" spans="2:28" ht="17">
      <c r="B549" s="206" t="s">
        <v>1544</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IFERROR(AA549*SUMPRODUCT(Items!A$242:A$255,Items!AQ$242:AQ$255)/SUM(Items!A$242:A$255),"")</f>
        <v/>
      </c>
    </row>
    <row r="550" spans="2:28" ht="17">
      <c r="B550" s="206" t="s">
        <v>1548</v>
      </c>
      <c r="C550" s="207" t="s">
        <v>216</v>
      </c>
      <c r="D550" s="207" t="s">
        <v>216</v>
      </c>
      <c r="E550" s="210" t="s">
        <v>1547</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IFERROR(AA550*SUMPRODUCT(Items!A$242:A$255,Items!AQ$242:AQ$255)/SUM(Items!A$242:A$255),"")</f>
        <v/>
      </c>
    </row>
    <row r="551" spans="2:28" ht="17">
      <c r="B551" s="206" t="s">
        <v>1549</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IFERROR(AA551*SUMPRODUCT(Items!A$242:A$255,Items!AQ$242:AQ$255)/SUM(Items!A$242:A$255),"")</f>
        <v/>
      </c>
    </row>
    <row r="552" spans="2:28" ht="17">
      <c r="B552" s="206" t="s">
        <v>1551</v>
      </c>
      <c r="C552" s="207" t="s">
        <v>51</v>
      </c>
      <c r="D552" s="207" t="s">
        <v>51</v>
      </c>
      <c r="E552" s="210" t="s">
        <v>1552</v>
      </c>
      <c r="F552" s="102" t="str">
        <f t="shared" si="23"/>
        <v>ASAL</v>
      </c>
      <c r="G552" s="208" t="s">
        <v>1553</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IFERROR(AA552*SUMPRODUCT(Items!A$242:A$255,Items!AQ$242:AQ$255)/SUM(Items!A$242:A$255),"")</f>
        <v/>
      </c>
    </row>
    <row r="553" spans="2:28" ht="17">
      <c r="B553" s="206" t="s">
        <v>1554</v>
      </c>
      <c r="C553" s="207" t="s">
        <v>216</v>
      </c>
      <c r="D553" s="207" t="s">
        <v>216</v>
      </c>
      <c r="E553" s="210" t="s">
        <v>1555</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IFERROR(AA553*SUMPRODUCT(Items!A$242:A$255,Items!AQ$242:AQ$255)/SUM(Items!A$242:A$255),"")</f>
        <v/>
      </c>
    </row>
    <row r="554" spans="2:28" ht="34">
      <c r="B554" s="206" t="s">
        <v>1557</v>
      </c>
      <c r="C554" s="207" t="s">
        <v>566</v>
      </c>
      <c r="D554" s="207" t="s">
        <v>216</v>
      </c>
      <c r="E554" s="210" t="s">
        <v>1558</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IFERROR(AA554*SUMPRODUCT(Items!A$242:A$255,Items!AQ$242:AQ$255)/SUM(Items!A$242:A$255),"")</f>
        <v/>
      </c>
    </row>
    <row r="555" spans="2:28" ht="17">
      <c r="B555" s="206" t="s">
        <v>1567</v>
      </c>
      <c r="C555" s="207" t="s">
        <v>352</v>
      </c>
      <c r="D555" s="207" t="s">
        <v>216</v>
      </c>
      <c r="E555" s="210" t="s">
        <v>1568</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IFERROR(AA555*SUMPRODUCT(Items!A$242:A$255,Items!AQ$242:AQ$255)/SUM(Items!A$242:A$255),"")</f>
        <v/>
      </c>
    </row>
    <row r="556" spans="2:28" ht="17">
      <c r="B556" s="206" t="s">
        <v>1569</v>
      </c>
      <c r="C556" s="207" t="s">
        <v>216</v>
      </c>
      <c r="D556" s="207" t="s">
        <v>216</v>
      </c>
      <c r="E556" s="210" t="s">
        <v>1570</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IFERROR(AA556*SUMPRODUCT(Items!A$242:A$255,Items!AQ$242:AQ$255)/SUM(Items!A$242:A$255),"")</f>
        <v/>
      </c>
    </row>
    <row r="557" spans="2:28" ht="17">
      <c r="B557" s="206" t="s">
        <v>1571</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IFERROR(AA557*SUMPRODUCT(Items!A$242:A$255,Items!AQ$242:AQ$255)/SUM(Items!A$242:A$255),"")</f>
        <v/>
      </c>
    </row>
    <row r="558" spans="2:28" ht="17">
      <c r="B558" s="206" t="s">
        <v>1352</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IFERROR(AA558*SUMPRODUCT(Items!A$242:A$255,Items!AQ$242:AQ$255)/SUM(Items!A$242:A$255),"")</f>
        <v/>
      </c>
    </row>
    <row r="559" spans="2:28" ht="17">
      <c r="B559" s="206" t="s">
        <v>1631</v>
      </c>
      <c r="C559" s="207" t="s">
        <v>192</v>
      </c>
      <c r="D559" s="207" t="s">
        <v>216</v>
      </c>
      <c r="E559" s="210" t="s">
        <v>1574</v>
      </c>
      <c r="F559" s="102" t="str">
        <f t="shared" si="23"/>
        <v>ODC</v>
      </c>
      <c r="G559" s="208" t="s">
        <v>1573</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IFERROR(AA559*SUMPRODUCT(Items!A$242:A$255,Items!AQ$242:AQ$255)/SUM(Items!A$242:A$255),"")</f>
        <v/>
      </c>
    </row>
    <row r="560" spans="2:28" ht="17">
      <c r="B560" s="206" t="s">
        <v>2426</v>
      </c>
      <c r="C560" s="207" t="s">
        <v>1576</v>
      </c>
      <c r="D560" s="207" t="s">
        <v>35</v>
      </c>
      <c r="E560" s="210" t="s">
        <v>1577</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IFERROR(AA560*SUMPRODUCT(Items!A$242:A$255,Items!AQ$242:AQ$255)/SUM(Items!A$242:A$255),"")</f>
        <v/>
      </c>
    </row>
    <row r="561" spans="2:28" ht="17">
      <c r="B561" s="206" t="s">
        <v>1581</v>
      </c>
      <c r="C561" s="207" t="s">
        <v>1579</v>
      </c>
      <c r="D561" s="207" t="s">
        <v>216</v>
      </c>
      <c r="E561" s="210" t="s">
        <v>1580</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IFERROR(AA561*SUMPRODUCT(Items!A$242:A$255,Items!AQ$242:AQ$255)/SUM(Items!A$242:A$255),"")</f>
        <v/>
      </c>
    </row>
    <row r="562" spans="2:28" ht="17">
      <c r="B562" s="206" t="s">
        <v>1582</v>
      </c>
      <c r="C562" s="207" t="s">
        <v>93</v>
      </c>
      <c r="D562" s="207" t="s">
        <v>216</v>
      </c>
      <c r="E562" s="210" t="s">
        <v>1583</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IFERROR(AA562*SUMPRODUCT(Items!A$242:A$255,Items!AQ$242:AQ$255)/SUM(Items!A$242:A$255),"")</f>
        <v/>
      </c>
    </row>
    <row r="563" spans="2:28" ht="17">
      <c r="B563" s="206" t="s">
        <v>1584</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IFERROR(AA563*SUMPRODUCT(Items!A$242:A$255,Items!AQ$242:AQ$255)/SUM(Items!A$242:A$255),"")</f>
        <v/>
      </c>
    </row>
    <row r="564" spans="2:28" ht="17">
      <c r="B564" s="206" t="s">
        <v>1708</v>
      </c>
      <c r="C564" s="207" t="s">
        <v>182</v>
      </c>
      <c r="D564" s="207" t="s">
        <v>216</v>
      </c>
      <c r="E564" s="210" t="s">
        <v>1705</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IFERROR(AA564*SUMPRODUCT(Items!A$242:A$255,Items!AQ$242:AQ$255)/SUM(Items!A$242:A$255),"")</f>
        <v/>
      </c>
    </row>
    <row r="565" spans="2:28" ht="34">
      <c r="B565" s="206" t="s">
        <v>1706</v>
      </c>
      <c r="C565" s="207" t="s">
        <v>1396</v>
      </c>
      <c r="D565" s="207" t="s">
        <v>216</v>
      </c>
      <c r="E565" s="210" t="s">
        <v>1589</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IFERROR(AA565*SUMPRODUCT(Items!A$242:A$255,Items!AQ$242:AQ$255)/SUM(Items!A$242:A$255),"")</f>
        <v/>
      </c>
    </row>
    <row r="566" spans="2:28" ht="17">
      <c r="B566" s="206" t="s">
        <v>1707</v>
      </c>
      <c r="C566" s="207" t="s">
        <v>396</v>
      </c>
      <c r="D566" s="207" t="s">
        <v>216</v>
      </c>
      <c r="E566" s="210" t="s">
        <v>1590</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IFERROR(AA566*SUMPRODUCT(Items!A$242:A$255,Items!AQ$242:AQ$255)/SUM(Items!A$242:A$255),"")</f>
        <v/>
      </c>
    </row>
    <row r="567" spans="2:28" ht="17">
      <c r="B567" s="206" t="s">
        <v>1593</v>
      </c>
      <c r="C567" s="207" t="s">
        <v>35</v>
      </c>
      <c r="D567" s="207" t="s">
        <v>35</v>
      </c>
      <c r="E567" s="210" t="s">
        <v>1591</v>
      </c>
      <c r="F567" s="102" t="str">
        <f t="shared" si="23"/>
        <v>SEL</v>
      </c>
      <c r="G567" s="208" t="s">
        <v>1592</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IFERROR(AA567*SUMPRODUCT(Items!A$242:A$255,Items!AQ$242:AQ$255)/SUM(Items!A$242:A$255),"")</f>
        <v/>
      </c>
    </row>
    <row r="568" spans="2:28" ht="17">
      <c r="B568" s="214" t="s">
        <v>1924</v>
      </c>
      <c r="C568" s="215" t="s">
        <v>1925</v>
      </c>
      <c r="D568" s="215" t="s">
        <v>216</v>
      </c>
      <c r="E568" s="216" t="s">
        <v>1591</v>
      </c>
      <c r="F568" s="102" t="str">
        <f t="shared" si="23"/>
        <v>SEL-</v>
      </c>
      <c r="G568" s="218" t="s">
        <v>1592</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IFERROR(AA568*SUMPRODUCT(Items!A$242:A$255,Items!AQ$242:AQ$255)/SUM(Items!A$242:A$255),"")</f>
        <v/>
      </c>
    </row>
    <row r="569" spans="2:28" ht="17">
      <c r="B569" s="206" t="s">
        <v>1595</v>
      </c>
      <c r="C569" s="207" t="s">
        <v>274</v>
      </c>
      <c r="D569" s="207" t="s">
        <v>35</v>
      </c>
      <c r="E569" s="210" t="s">
        <v>1596</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IFERROR(AA569*SUMPRODUCT(Items!A$242:A$255,Items!AQ$242:AQ$255)/SUM(Items!A$242:A$255),"")</f>
        <v/>
      </c>
    </row>
    <row r="570" spans="2:28" ht="17">
      <c r="B570" s="206" t="s">
        <v>1597</v>
      </c>
      <c r="C570" s="207" t="s">
        <v>29</v>
      </c>
      <c r="D570" s="207" t="s">
        <v>1499</v>
      </c>
      <c r="E570" s="210" t="s">
        <v>1598</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IFERROR(AA570*SUMPRODUCT(Items!A$242:A$255,Items!AQ$242:AQ$255)/SUM(Items!A$242:A$255),"")</f>
        <v/>
      </c>
    </row>
    <row r="571" spans="2:28" ht="17">
      <c r="B571" s="206" t="s">
        <v>1599</v>
      </c>
      <c r="C571" s="207" t="s">
        <v>414</v>
      </c>
      <c r="D571" s="207" t="s">
        <v>216</v>
      </c>
      <c r="E571" s="210" t="s">
        <v>1570</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IFERROR(AA571*SUMPRODUCT(Items!A$242:A$255,Items!AQ$242:AQ$255)/SUM(Items!A$242:A$255),"")</f>
        <v/>
      </c>
    </row>
    <row r="572" spans="2:28" ht="17">
      <c r="B572" s="206" t="s">
        <v>1600</v>
      </c>
      <c r="C572" s="207" t="s">
        <v>120</v>
      </c>
      <c r="D572" s="207" t="s">
        <v>216</v>
      </c>
      <c r="E572" s="210" t="s">
        <v>1570</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IFERROR(AA572*SUMPRODUCT(Items!A$242:A$255,Items!AQ$242:AQ$255)/SUM(Items!A$242:A$255),"")</f>
        <v/>
      </c>
    </row>
    <row r="573" spans="2:28" ht="17">
      <c r="B573" s="206" t="s">
        <v>1601</v>
      </c>
      <c r="C573" s="207" t="s">
        <v>120</v>
      </c>
      <c r="D573" s="207" t="s">
        <v>216</v>
      </c>
      <c r="E573" s="210" t="s">
        <v>1602</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IFERROR(AA573*SUMPRODUCT(Items!A$242:A$255,Items!AQ$242:AQ$255)/SUM(Items!A$242:A$255),"")</f>
        <v/>
      </c>
    </row>
    <row r="574" spans="2:28" ht="17">
      <c r="B574" s="206" t="s">
        <v>1603</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IFERROR(AA574*SUMPRODUCT(Items!A$242:A$255,Items!AQ$242:AQ$255)/SUM(Items!A$242:A$255),"")</f>
        <v/>
      </c>
    </row>
    <row r="575" spans="2:28" ht="34">
      <c r="B575" s="206" t="s">
        <v>1607</v>
      </c>
      <c r="C575" s="207" t="s">
        <v>1605</v>
      </c>
      <c r="D575" s="207" t="s">
        <v>216</v>
      </c>
      <c r="E575" s="210" t="s">
        <v>1608</v>
      </c>
      <c r="F575" s="102" t="str">
        <f t="shared" si="23"/>
        <v>GI-G</v>
      </c>
      <c r="G575" s="208" t="s">
        <v>1606</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IFERROR(AA575*SUMPRODUCT(Items!A$242:A$255,Items!AQ$242:AQ$255)/SUM(Items!A$242:A$255),"")</f>
        <v/>
      </c>
    </row>
    <row r="576" spans="2:28" ht="17">
      <c r="B576" s="206" t="s">
        <v>1609</v>
      </c>
      <c r="C576" s="207" t="s">
        <v>1610</v>
      </c>
      <c r="D576" s="207" t="s">
        <v>35</v>
      </c>
      <c r="E576" s="210" t="s">
        <v>1611</v>
      </c>
      <c r="F576" s="102" t="str">
        <f t="shared" si="23"/>
        <v>DTL</v>
      </c>
      <c r="G576" s="208" t="s">
        <v>1613</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IFERROR(AA576*SUMPRODUCT(Items!A$242:A$255,Items!AQ$242:AQ$255)/SUM(Items!A$242:A$255),"")</f>
        <v/>
      </c>
    </row>
    <row r="577" spans="2:28" ht="17">
      <c r="B577" s="206" t="s">
        <v>1575</v>
      </c>
      <c r="C577" s="207" t="s">
        <v>216</v>
      </c>
      <c r="D577" s="207" t="s">
        <v>216</v>
      </c>
      <c r="E577" s="210" t="s">
        <v>1614</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IFERROR(AA577*SUMPRODUCT(Items!A$242:A$255,Items!AQ$242:AQ$255)/SUM(Items!A$242:A$255),"")</f>
        <v/>
      </c>
    </row>
    <row r="578" spans="2:28" ht="17">
      <c r="B578" s="206" t="s">
        <v>1617</v>
      </c>
      <c r="C578" s="207" t="s">
        <v>1618</v>
      </c>
      <c r="D578" s="207" t="s">
        <v>1618</v>
      </c>
      <c r="E578" s="210" t="s">
        <v>1619</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IFERROR(AA578*SUMPRODUCT(Items!A$242:A$255,Items!AQ$242:AQ$255)/SUM(Items!A$242:A$255),"")</f>
        <v/>
      </c>
    </row>
    <row r="579" spans="2:28" ht="17">
      <c r="B579" s="206" t="s">
        <v>1620</v>
      </c>
      <c r="C579" s="207" t="s">
        <v>595</v>
      </c>
      <c r="D579" s="207" t="s">
        <v>216</v>
      </c>
      <c r="E579" s="210" t="s">
        <v>1621</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IFERROR(AA579*SUMPRODUCT(Items!A$242:A$255,Items!AQ$242:AQ$255)/SUM(Items!A$242:A$255),"")</f>
        <v/>
      </c>
    </row>
    <row r="580" spans="2:28" ht="17">
      <c r="B580" s="206" t="s">
        <v>1624</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IFERROR(AA580*SUMPRODUCT(Items!A$242:A$255,Items!AQ$242:AQ$255)/SUM(Items!A$242:A$255),"")</f>
        <v/>
      </c>
    </row>
    <row r="581" spans="2:28" ht="17">
      <c r="B581" s="206" t="s">
        <v>1625</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IFERROR(AA581*SUMPRODUCT(Items!A$242:A$255,Items!AQ$242:AQ$255)/SUM(Items!A$242:A$255),"")</f>
        <v/>
      </c>
    </row>
    <row r="582" spans="2:28" ht="17">
      <c r="B582" s="206" t="s">
        <v>1626</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IFERROR(AA582*SUMPRODUCT(Items!A$242:A$255,Items!AQ$242:AQ$255)/SUM(Items!A$242:A$255),"")</f>
        <v/>
      </c>
    </row>
    <row r="583" spans="2:28" ht="17">
      <c r="B583" s="206" t="s">
        <v>1627</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IFERROR(AA583*SUMPRODUCT(Items!A$242:A$255,Items!AQ$242:AQ$255)/SUM(Items!A$242:A$255),"")</f>
        <v/>
      </c>
    </row>
    <row r="584" spans="2:28" ht="17">
      <c r="B584" s="206" t="s">
        <v>1628</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IFERROR(AA584*SUMPRODUCT(Items!A$242:A$255,Items!AQ$242:AQ$255)/SUM(Items!A$242:A$255),"")</f>
        <v/>
      </c>
    </row>
    <row r="585" spans="2:28" ht="17">
      <c r="B585" s="206" t="s">
        <v>1629</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IFERROR(AA585*SUMPRODUCT(Items!A$242:A$255,Items!AQ$242:AQ$255)/SUM(Items!A$242:A$255),"")</f>
        <v/>
      </c>
    </row>
    <row r="586" spans="2:28" ht="17">
      <c r="B586" s="206" t="s">
        <v>1630</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IFERROR(AA586*SUMPRODUCT(Items!A$242:A$255,Items!AQ$242:AQ$255)/SUM(Items!A$242:A$255),"")</f>
        <v/>
      </c>
    </row>
    <row r="587" spans="2:28" ht="17">
      <c r="B587" s="206" t="s">
        <v>1632</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IFERROR(AA587*SUMPRODUCT(Items!A$242:A$255,Items!AQ$242:AQ$255)/SUM(Items!A$242:A$255),"")</f>
        <v/>
      </c>
    </row>
    <row r="588" spans="2:28" ht="51">
      <c r="B588" s="206" t="s">
        <v>1646</v>
      </c>
      <c r="C588" s="207" t="s">
        <v>1647</v>
      </c>
      <c r="D588" s="207" t="s">
        <v>35</v>
      </c>
      <c r="F588" s="102" t="str">
        <f t="shared" si="27"/>
        <v>RA</v>
      </c>
      <c r="H588" s="219" t="s">
        <v>1648</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IFERROR(AA588*SUMPRODUCT(Items!A$242:A$255,Items!AQ$242:AQ$255)/SUM(Items!A$242:A$255),"")</f>
        <v/>
      </c>
    </row>
    <row r="589" spans="2:28" ht="17">
      <c r="B589" s="206" t="s">
        <v>1650</v>
      </c>
      <c r="C589" s="207" t="s">
        <v>1651</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IFERROR(AA589*SUMPRODUCT(Items!A$242:A$255,Items!AQ$242:AQ$255)/SUM(Items!A$242:A$255),"")</f>
        <v/>
      </c>
    </row>
    <row r="590" spans="2:28" ht="17">
      <c r="B590" s="206" t="s">
        <v>1556</v>
      </c>
      <c r="C590" s="207" t="s">
        <v>1653</v>
      </c>
      <c r="D590" s="207" t="s">
        <v>35</v>
      </c>
      <c r="E590" s="210" t="s">
        <v>1654</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IFERROR(AA590*SUMPRODUCT(Items!A$242:A$255,Items!AQ$242:AQ$255)/SUM(Items!A$242:A$255),"")</f>
        <v/>
      </c>
    </row>
    <row r="591" spans="2:28" ht="17">
      <c r="B591" s="206" t="s">
        <v>1663</v>
      </c>
      <c r="C591" s="207" t="s">
        <v>770</v>
      </c>
      <c r="D591" s="207" t="s">
        <v>35</v>
      </c>
      <c r="E591" s="210" t="s">
        <v>1664</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IFERROR(AA591*SUMPRODUCT(Items!A$242:A$255,Items!AQ$242:AQ$255)/SUM(Items!A$242:A$255),"")</f>
        <v/>
      </c>
    </row>
    <row r="592" spans="2:28" ht="17">
      <c r="B592" s="206" t="s">
        <v>1665</v>
      </c>
      <c r="C592" s="207" t="s">
        <v>1666</v>
      </c>
      <c r="D592" s="207" t="s">
        <v>216</v>
      </c>
      <c r="E592" s="210" t="s">
        <v>1667</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IFERROR(AA592*SUMPRODUCT(Items!A$242:A$255,Items!AQ$242:AQ$255)/SUM(Items!A$242:A$255),"")</f>
        <v/>
      </c>
    </row>
    <row r="593" spans="2:28" ht="17">
      <c r="B593" s="206" t="s">
        <v>1668</v>
      </c>
      <c r="C593" s="207" t="s">
        <v>1669</v>
      </c>
      <c r="D593" s="207" t="s">
        <v>35</v>
      </c>
      <c r="E593" s="210" t="s">
        <v>1670</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IFERROR(AA593*SUMPRODUCT(Items!A$242:A$255,Items!AQ$242:AQ$255)/SUM(Items!A$242:A$255),"")</f>
        <v/>
      </c>
    </row>
    <row r="594" spans="2:28" ht="17">
      <c r="B594" s="206" t="s">
        <v>1671</v>
      </c>
      <c r="C594" s="207" t="s">
        <v>120</v>
      </c>
      <c r="D594" s="207" t="s">
        <v>216</v>
      </c>
      <c r="E594" s="210" t="s">
        <v>1673</v>
      </c>
      <c r="F594" s="102" t="str">
        <f t="shared" si="27"/>
        <v>IVPG</v>
      </c>
      <c r="G594" s="217" t="s">
        <v>1672</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IFERROR(AA594*SUMPRODUCT(Items!A$242:A$255,Items!AQ$242:AQ$255)/SUM(Items!A$242:A$255),"")</f>
        <v/>
      </c>
    </row>
    <row r="595" spans="2:28" ht="17">
      <c r="B595" s="206" t="s">
        <v>662</v>
      </c>
      <c r="C595" s="207" t="s">
        <v>1674</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IFERROR(AA595*SUMPRODUCT(Items!A$242:A$255,Items!AQ$242:AQ$255)/SUM(Items!A$242:A$255),"")</f>
        <v/>
      </c>
    </row>
    <row r="596" spans="2:28" ht="17">
      <c r="B596" s="206" t="s">
        <v>1677</v>
      </c>
      <c r="C596" s="207" t="s">
        <v>1678</v>
      </c>
      <c r="D596" s="207" t="s">
        <v>216</v>
      </c>
      <c r="E596" s="210" t="s">
        <v>1679</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IFERROR(AA596*SUMPRODUCT(Items!A$242:A$255,Items!AQ$242:AQ$255)/SUM(Items!A$242:A$255),"")</f>
        <v/>
      </c>
    </row>
    <row r="597" spans="2:28" ht="17">
      <c r="B597" s="206" t="s">
        <v>1680</v>
      </c>
      <c r="C597" s="207" t="s">
        <v>32</v>
      </c>
      <c r="D597" s="207" t="s">
        <v>216</v>
      </c>
      <c r="E597" s="210" t="s">
        <v>1682</v>
      </c>
      <c r="F597" s="102" t="str">
        <f t="shared" si="27"/>
        <v>O&amp;A</v>
      </c>
      <c r="G597" s="217" t="s">
        <v>1681</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IFERROR(AA597*SUMPRODUCT(Items!A$242:A$255,Items!AQ$242:AQ$255)/SUM(Items!A$242:A$255),"")</f>
        <v/>
      </c>
    </row>
    <row r="598" spans="2:28" ht="17">
      <c r="B598" s="206" t="s">
        <v>1683</v>
      </c>
      <c r="C598" s="207" t="s">
        <v>216</v>
      </c>
      <c r="D598" s="207" t="s">
        <v>216</v>
      </c>
      <c r="E598" s="210" t="s">
        <v>1684</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IFERROR(AA598*SUMPRODUCT(Items!A$242:A$255,Items!AQ$242:AQ$255)/SUM(Items!A$242:A$255),"")</f>
        <v/>
      </c>
    </row>
    <row r="599" spans="2:28" ht="17">
      <c r="B599" s="206" t="s">
        <v>1685</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IFERROR(AA599*SUMPRODUCT(Items!A$242:A$255,Items!AQ$242:AQ$255)/SUM(Items!A$242:A$255),"")</f>
        <v/>
      </c>
    </row>
    <row r="600" spans="2:28" ht="17">
      <c r="B600" s="206" t="s">
        <v>1689</v>
      </c>
      <c r="C600" s="207" t="s">
        <v>438</v>
      </c>
      <c r="D600" s="207" t="s">
        <v>216</v>
      </c>
      <c r="E600" s="210" t="s">
        <v>1688</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IFERROR(AA600*SUMPRODUCT(Items!A$242:A$255,Items!AQ$242:AQ$255)/SUM(Items!A$242:A$255),"")</f>
        <v/>
      </c>
    </row>
    <row r="601" spans="2:28" ht="17">
      <c r="B601" s="206" t="s">
        <v>1690</v>
      </c>
      <c r="C601" s="207" t="s">
        <v>32</v>
      </c>
      <c r="D601" s="207" t="s">
        <v>216</v>
      </c>
      <c r="E601" s="210" t="s">
        <v>1691</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IFERROR(AA601*SUMPRODUCT(Items!A$242:A$255,Items!AQ$242:AQ$255)/SUM(Items!A$242:A$255),"")</f>
        <v/>
      </c>
    </row>
    <row r="602" spans="2:28" ht="17">
      <c r="B602" s="206" t="s">
        <v>1694</v>
      </c>
      <c r="C602" s="207" t="s">
        <v>38</v>
      </c>
      <c r="D602" s="207" t="s">
        <v>216</v>
      </c>
      <c r="E602" s="210" t="s">
        <v>1693</v>
      </c>
      <c r="F602" s="102" t="str">
        <f t="shared" si="27"/>
        <v>A</v>
      </c>
      <c r="Z602" s="309"/>
    </row>
    <row r="603" spans="2:28" ht="17">
      <c r="B603" s="206" t="s">
        <v>1697</v>
      </c>
      <c r="C603" s="207" t="s">
        <v>446</v>
      </c>
      <c r="D603" s="207" t="s">
        <v>35</v>
      </c>
      <c r="E603" s="210" t="s">
        <v>1698</v>
      </c>
      <c r="F603" s="102" t="str">
        <f t="shared" si="27"/>
        <v>DA</v>
      </c>
    </row>
    <row r="604" spans="2:28" ht="17">
      <c r="B604" s="206" t="s">
        <v>1699</v>
      </c>
      <c r="C604" s="207" t="s">
        <v>1618</v>
      </c>
      <c r="D604" s="207" t="s">
        <v>1618</v>
      </c>
      <c r="E604" s="210" t="s">
        <v>1700</v>
      </c>
      <c r="F604" s="102" t="str">
        <f t="shared" si="27"/>
        <v>AP</v>
      </c>
    </row>
    <row r="605" spans="2:28" ht="17">
      <c r="B605" s="206" t="s">
        <v>1701</v>
      </c>
      <c r="C605" s="207" t="s">
        <v>438</v>
      </c>
      <c r="D605" s="207" t="s">
        <v>216</v>
      </c>
      <c r="E605" s="210" t="s">
        <v>1702</v>
      </c>
      <c r="F605" s="102" t="str">
        <f t="shared" si="27"/>
        <v>S</v>
      </c>
      <c r="G605" s="208" t="s">
        <v>1703</v>
      </c>
    </row>
    <row r="606" spans="2:28" ht="17">
      <c r="B606" s="206" t="s">
        <v>1709</v>
      </c>
      <c r="C606" s="207" t="s">
        <v>342</v>
      </c>
      <c r="D606" s="207" t="s">
        <v>342</v>
      </c>
      <c r="E606" s="210" t="s">
        <v>1710</v>
      </c>
      <c r="F606" s="102" t="str">
        <f t="shared" si="27"/>
        <v>T-T</v>
      </c>
    </row>
    <row r="607" spans="2:28" ht="17">
      <c r="B607" s="206" t="s">
        <v>1711</v>
      </c>
      <c r="C607" s="207" t="s">
        <v>438</v>
      </c>
      <c r="D607" s="207" t="s">
        <v>216</v>
      </c>
      <c r="E607" s="210" t="s">
        <v>1712</v>
      </c>
      <c r="F607" s="102" t="str">
        <f t="shared" si="27"/>
        <v>MR</v>
      </c>
    </row>
    <row r="608" spans="2:28" ht="17">
      <c r="B608" s="206" t="s">
        <v>1713</v>
      </c>
      <c r="C608" s="207" t="s">
        <v>1716</v>
      </c>
      <c r="D608" s="207" t="s">
        <v>216</v>
      </c>
      <c r="E608" s="210" t="s">
        <v>1714</v>
      </c>
      <c r="F608" s="102" t="str">
        <f t="shared" si="27"/>
        <v>QIC</v>
      </c>
      <c r="G608" s="208" t="s">
        <v>1715</v>
      </c>
    </row>
    <row r="609" spans="2:8" ht="17">
      <c r="B609" s="206" t="s">
        <v>1717</v>
      </c>
      <c r="C609" s="207" t="s">
        <v>192</v>
      </c>
      <c r="D609" s="207" t="s">
        <v>216</v>
      </c>
      <c r="E609" s="210" t="s">
        <v>1718</v>
      </c>
      <c r="F609" s="102" t="str">
        <f t="shared" si="27"/>
        <v>T</v>
      </c>
    </row>
    <row r="610" spans="2:8" ht="17">
      <c r="B610" s="206" t="s">
        <v>1719</v>
      </c>
      <c r="C610" s="207" t="s">
        <v>342</v>
      </c>
      <c r="D610" s="207" t="s">
        <v>342</v>
      </c>
      <c r="E610" s="210" t="s">
        <v>1720</v>
      </c>
      <c r="F610" s="102" t="str">
        <f t="shared" si="27"/>
        <v>A</v>
      </c>
    </row>
    <row r="611" spans="2:8" ht="17">
      <c r="B611" s="206" t="s">
        <v>1721</v>
      </c>
      <c r="C611" s="207" t="s">
        <v>1722</v>
      </c>
      <c r="D611" s="207" t="s">
        <v>216</v>
      </c>
      <c r="F611" s="102" t="str">
        <f t="shared" si="27"/>
        <v>AK</v>
      </c>
    </row>
    <row r="612" spans="2:8" ht="17">
      <c r="B612" s="206" t="s">
        <v>1723</v>
      </c>
      <c r="C612" s="207" t="s">
        <v>182</v>
      </c>
      <c r="D612" s="207" t="s">
        <v>216</v>
      </c>
      <c r="E612" s="210" t="s">
        <v>1724</v>
      </c>
      <c r="F612" s="102" t="str">
        <f t="shared" si="27"/>
        <v>SE</v>
      </c>
      <c r="G612" s="208" t="s">
        <v>1725</v>
      </c>
      <c r="H612" s="219" t="s">
        <v>1727</v>
      </c>
    </row>
    <row r="613" spans="2:8" ht="17">
      <c r="B613" s="206" t="s">
        <v>1728</v>
      </c>
      <c r="C613" s="207" t="s">
        <v>216</v>
      </c>
      <c r="D613" s="207" t="s">
        <v>216</v>
      </c>
      <c r="E613" s="210" t="s">
        <v>1729</v>
      </c>
      <c r="F613" s="102" t="str">
        <f t="shared" si="27"/>
        <v>JA</v>
      </c>
    </row>
    <row r="614" spans="2:8" ht="17">
      <c r="B614" s="206" t="s">
        <v>1730</v>
      </c>
      <c r="C614" s="207" t="s">
        <v>971</v>
      </c>
      <c r="D614" s="207" t="s">
        <v>216</v>
      </c>
      <c r="E614" s="210" t="s">
        <v>1731</v>
      </c>
      <c r="F614" s="102" t="str">
        <f t="shared" si="27"/>
        <v>BS</v>
      </c>
    </row>
    <row r="615" spans="2:8" ht="17">
      <c r="B615" s="206" t="s">
        <v>1734</v>
      </c>
      <c r="C615" s="207" t="s">
        <v>1732</v>
      </c>
      <c r="D615" s="207" t="s">
        <v>957</v>
      </c>
      <c r="E615" s="210" t="s">
        <v>1733</v>
      </c>
      <c r="F615" s="102" t="str">
        <f t="shared" si="27"/>
        <v>E-E</v>
      </c>
    </row>
    <row r="616" spans="2:8" ht="34">
      <c r="B616" s="206" t="s">
        <v>1737</v>
      </c>
      <c r="C616" s="207" t="s">
        <v>1735</v>
      </c>
      <c r="D616" s="207" t="s">
        <v>216</v>
      </c>
      <c r="E616" s="210" t="s">
        <v>1736</v>
      </c>
      <c r="F616" s="102" t="str">
        <f t="shared" si="27"/>
        <v>MS</v>
      </c>
    </row>
    <row r="617" spans="2:8" ht="17">
      <c r="B617" s="206" t="s">
        <v>1740</v>
      </c>
      <c r="C617" s="207" t="s">
        <v>426</v>
      </c>
      <c r="D617" s="207" t="s">
        <v>216</v>
      </c>
      <c r="F617" s="102" t="str">
        <f t="shared" si="27"/>
        <v>AIS</v>
      </c>
    </row>
    <row r="618" spans="2:8" ht="34">
      <c r="B618" s="206" t="s">
        <v>1756</v>
      </c>
      <c r="C618" s="207" t="s">
        <v>35</v>
      </c>
      <c r="D618" s="207" t="s">
        <v>35</v>
      </c>
      <c r="E618" s="210" t="s">
        <v>1757</v>
      </c>
      <c r="F618" s="102" t="str">
        <f t="shared" si="27"/>
        <v>CWL</v>
      </c>
      <c r="G618" s="208" t="s">
        <v>1758</v>
      </c>
    </row>
    <row r="619" spans="2:8" ht="17">
      <c r="B619" s="206" t="s">
        <v>1759</v>
      </c>
      <c r="C619" s="207" t="s">
        <v>216</v>
      </c>
      <c r="D619" s="207" t="s">
        <v>216</v>
      </c>
      <c r="E619" s="210" t="s">
        <v>1760</v>
      </c>
      <c r="F619" s="102" t="str">
        <f t="shared" si="27"/>
        <v>R</v>
      </c>
    </row>
    <row r="620" spans="2:8" ht="17">
      <c r="B620" s="206" t="s">
        <v>1761</v>
      </c>
      <c r="C620" s="207" t="s">
        <v>216</v>
      </c>
      <c r="D620" s="207" t="s">
        <v>216</v>
      </c>
      <c r="E620" s="210" t="s">
        <v>1762</v>
      </c>
      <c r="F620" s="102" t="str">
        <f t="shared" si="27"/>
        <v>PA</v>
      </c>
    </row>
    <row r="621" spans="2:8" ht="17">
      <c r="B621" s="206" t="s">
        <v>2826</v>
      </c>
      <c r="C621" s="207" t="s">
        <v>216</v>
      </c>
      <c r="D621" s="207" t="s">
        <v>216</v>
      </c>
      <c r="E621" s="210" t="s">
        <v>1763</v>
      </c>
      <c r="F621" s="102" t="str">
        <f t="shared" si="27"/>
        <v>J-EC</v>
      </c>
    </row>
    <row r="622" spans="2:8" ht="17">
      <c r="B622" s="206" t="s">
        <v>1764</v>
      </c>
      <c r="C622" s="207" t="s">
        <v>803</v>
      </c>
      <c r="D622" s="207" t="s">
        <v>216</v>
      </c>
      <c r="E622" s="210" t="s">
        <v>1765</v>
      </c>
      <c r="F622" s="102" t="str">
        <f t="shared" si="27"/>
        <v>GA</v>
      </c>
    </row>
    <row r="623" spans="2:8" ht="17">
      <c r="B623" s="206" t="s">
        <v>1766</v>
      </c>
      <c r="C623" s="207" t="s">
        <v>1178</v>
      </c>
      <c r="D623" s="207" t="s">
        <v>216</v>
      </c>
      <c r="E623" s="210" t="s">
        <v>1767</v>
      </c>
      <c r="F623" s="102" t="str">
        <f t="shared" si="27"/>
        <v>LB</v>
      </c>
    </row>
    <row r="624" spans="2:8" ht="17">
      <c r="B624" s="206" t="s">
        <v>1769</v>
      </c>
      <c r="C624" s="207" t="s">
        <v>216</v>
      </c>
      <c r="D624" s="207" t="s">
        <v>216</v>
      </c>
      <c r="F624" s="102" t="str">
        <f t="shared" si="27"/>
        <v>KA</v>
      </c>
    </row>
    <row r="625" spans="2:7" ht="17">
      <c r="B625" s="206" t="s">
        <v>1771</v>
      </c>
      <c r="C625" s="207" t="s">
        <v>305</v>
      </c>
      <c r="D625" s="207" t="s">
        <v>305</v>
      </c>
      <c r="F625" s="102" t="str">
        <f t="shared" si="27"/>
        <v>H9LP</v>
      </c>
    </row>
    <row r="626" spans="2:7" ht="17">
      <c r="B626" s="206" t="s">
        <v>1773</v>
      </c>
      <c r="C626" s="207" t="s">
        <v>182</v>
      </c>
      <c r="D626" s="207" t="s">
        <v>216</v>
      </c>
      <c r="F626" s="102" t="str">
        <f t="shared" si="27"/>
        <v>SJTE</v>
      </c>
    </row>
    <row r="627" spans="2:7" ht="17">
      <c r="B627" s="206" t="s">
        <v>1778</v>
      </c>
      <c r="C627" s="207" t="s">
        <v>216</v>
      </c>
      <c r="D627" s="207" t="s">
        <v>216</v>
      </c>
      <c r="F627" s="102" t="str">
        <f t="shared" si="27"/>
        <v>IL</v>
      </c>
    </row>
    <row r="628" spans="2:7" ht="17">
      <c r="B628" s="206" t="s">
        <v>1779</v>
      </c>
      <c r="C628" s="207" t="s">
        <v>120</v>
      </c>
      <c r="D628" s="207" t="s">
        <v>216</v>
      </c>
      <c r="E628" s="210" t="s">
        <v>1780</v>
      </c>
      <c r="F628" s="102" t="str">
        <f t="shared" si="27"/>
        <v>E</v>
      </c>
    </row>
    <row r="629" spans="2:7" ht="17">
      <c r="B629" s="206" t="s">
        <v>1781</v>
      </c>
      <c r="C629" s="207" t="s">
        <v>342</v>
      </c>
      <c r="D629" s="207" t="s">
        <v>342</v>
      </c>
      <c r="E629" s="210" t="s">
        <v>1782</v>
      </c>
      <c r="F629" s="102" t="str">
        <f t="shared" si="27"/>
        <v>L</v>
      </c>
    </row>
    <row r="630" spans="2:7" ht="17">
      <c r="B630" s="206" t="s">
        <v>1783</v>
      </c>
      <c r="C630" s="207" t="s">
        <v>856</v>
      </c>
      <c r="D630" s="207" t="s">
        <v>856</v>
      </c>
      <c r="E630" s="210" t="s">
        <v>1784</v>
      </c>
      <c r="F630" s="102" t="str">
        <f t="shared" si="27"/>
        <v>UOEA</v>
      </c>
      <c r="G630" s="208" t="s">
        <v>1785</v>
      </c>
    </row>
    <row r="631" spans="2:7" ht="34">
      <c r="B631" s="206" t="s">
        <v>1786</v>
      </c>
      <c r="C631" s="207" t="s">
        <v>1787</v>
      </c>
      <c r="D631" s="207" t="s">
        <v>216</v>
      </c>
      <c r="F631" s="102" t="str">
        <f t="shared" si="27"/>
        <v>R</v>
      </c>
    </row>
    <row r="632" spans="2:7" ht="17">
      <c r="B632" s="206" t="s">
        <v>1788</v>
      </c>
      <c r="C632" s="207" t="s">
        <v>216</v>
      </c>
      <c r="D632" s="207" t="s">
        <v>216</v>
      </c>
      <c r="E632" s="210" t="s">
        <v>1</v>
      </c>
      <c r="F632" s="102" t="str">
        <f t="shared" si="27"/>
        <v>PC</v>
      </c>
    </row>
    <row r="633" spans="2:7" ht="17">
      <c r="B633" s="206" t="s">
        <v>1789</v>
      </c>
      <c r="C633" s="207" t="s">
        <v>29</v>
      </c>
      <c r="D633" s="207" t="s">
        <v>955</v>
      </c>
      <c r="E633" s="210" t="s">
        <v>1790</v>
      </c>
      <c r="F633" s="102" t="str">
        <f t="shared" si="27"/>
        <v>P</v>
      </c>
    </row>
    <row r="634" spans="2:7" ht="17">
      <c r="B634" s="206" t="s">
        <v>1791</v>
      </c>
      <c r="C634" s="207" t="s">
        <v>1576</v>
      </c>
      <c r="D634" s="207" t="s">
        <v>35</v>
      </c>
      <c r="E634" s="210" t="s">
        <v>1792</v>
      </c>
      <c r="F634" s="102" t="str">
        <f t="shared" si="27"/>
        <v>MMOG</v>
      </c>
      <c r="G634" s="208" t="s">
        <v>1793</v>
      </c>
    </row>
    <row r="635" spans="2:7" ht="34">
      <c r="B635" s="206" t="s">
        <v>1794</v>
      </c>
      <c r="C635" s="207" t="s">
        <v>1795</v>
      </c>
      <c r="D635" s="207" t="s">
        <v>35</v>
      </c>
      <c r="E635" s="210" t="s">
        <v>1792</v>
      </c>
      <c r="F635" s="102" t="str">
        <f t="shared" si="27"/>
        <v>CA</v>
      </c>
    </row>
    <row r="636" spans="2:7" ht="17">
      <c r="B636" s="206" t="s">
        <v>1797</v>
      </c>
      <c r="C636" s="207" t="s">
        <v>554</v>
      </c>
      <c r="D636" s="207" t="s">
        <v>216</v>
      </c>
      <c r="F636" s="102" t="str">
        <f t="shared" si="27"/>
        <v>D</v>
      </c>
    </row>
    <row r="637" spans="2:7" ht="17">
      <c r="B637" s="206" t="s">
        <v>1798</v>
      </c>
      <c r="C637" s="207" t="s">
        <v>1799</v>
      </c>
      <c r="D637" s="207" t="s">
        <v>216</v>
      </c>
      <c r="E637" s="210" t="s">
        <v>1800</v>
      </c>
      <c r="F637" s="102" t="str">
        <f t="shared" si="27"/>
        <v>R-SH</v>
      </c>
    </row>
    <row r="638" spans="2:7" ht="51">
      <c r="B638" s="206" t="s">
        <v>1808</v>
      </c>
      <c r="C638" s="207" t="s">
        <v>1809</v>
      </c>
      <c r="D638" s="207" t="s">
        <v>49</v>
      </c>
      <c r="E638" s="210" t="s">
        <v>1811</v>
      </c>
      <c r="F638" s="102" t="str">
        <f t="shared" si="27"/>
        <v>NL</v>
      </c>
      <c r="G638" s="208" t="s">
        <v>1810</v>
      </c>
    </row>
    <row r="639" spans="2:7" ht="17">
      <c r="B639" s="206" t="s">
        <v>1826</v>
      </c>
      <c r="C639" s="207" t="s">
        <v>1827</v>
      </c>
      <c r="D639" s="207" t="s">
        <v>216</v>
      </c>
      <c r="F639" s="102" t="str">
        <f t="shared" si="27"/>
        <v>RY</v>
      </c>
    </row>
    <row r="640" spans="2:7" ht="17">
      <c r="B640" s="206" t="s">
        <v>1842</v>
      </c>
      <c r="C640" s="207" t="s">
        <v>250</v>
      </c>
      <c r="D640" s="207" t="s">
        <v>216</v>
      </c>
      <c r="F640" s="102" t="str">
        <f t="shared" si="27"/>
        <v>MB</v>
      </c>
    </row>
    <row r="641" spans="2:7" ht="17">
      <c r="B641" s="206" t="s">
        <v>1844</v>
      </c>
      <c r="C641" s="207" t="s">
        <v>216</v>
      </c>
      <c r="D641" s="207" t="s">
        <v>216</v>
      </c>
      <c r="E641" s="210" t="s">
        <v>1845</v>
      </c>
      <c r="F641" s="102" t="str">
        <f t="shared" si="27"/>
        <v>PJ</v>
      </c>
    </row>
    <row r="642" spans="2:7" ht="17">
      <c r="B642" s="206" t="s">
        <v>1846</v>
      </c>
      <c r="C642" s="207" t="s">
        <v>1254</v>
      </c>
      <c r="D642" s="207" t="s">
        <v>1254</v>
      </c>
      <c r="E642" s="210" t="s">
        <v>1847</v>
      </c>
      <c r="F642" s="102" t="str">
        <f t="shared" si="27"/>
        <v>IKK</v>
      </c>
    </row>
    <row r="643" spans="2:7" ht="17">
      <c r="B643" s="206" t="s">
        <v>1851</v>
      </c>
      <c r="C643" s="207" t="s">
        <v>392</v>
      </c>
      <c r="D643" s="207" t="s">
        <v>216</v>
      </c>
      <c r="E643" s="210" t="s">
        <v>1850</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1852</v>
      </c>
      <c r="C644" s="207" t="s">
        <v>1178</v>
      </c>
      <c r="D644" s="207" t="s">
        <v>216</v>
      </c>
      <c r="E644" s="210" t="s">
        <v>1853</v>
      </c>
      <c r="F644" s="102" t="str">
        <f t="shared" si="29"/>
        <v>SRB</v>
      </c>
      <c r="G644" s="208" t="s">
        <v>1854</v>
      </c>
    </row>
    <row r="645" spans="2:7" ht="17">
      <c r="B645" s="206" t="s">
        <v>1855</v>
      </c>
      <c r="C645" s="207" t="s">
        <v>1856</v>
      </c>
      <c r="D645" s="207" t="s">
        <v>1856</v>
      </c>
      <c r="E645" s="210" t="s">
        <v>1857</v>
      </c>
      <c r="F645" s="102" t="str">
        <f t="shared" si="29"/>
        <v>LMZ</v>
      </c>
    </row>
    <row r="646" spans="2:7" ht="17">
      <c r="B646" s="206" t="s">
        <v>1859</v>
      </c>
      <c r="C646" s="207" t="s">
        <v>216</v>
      </c>
      <c r="D646" s="207" t="s">
        <v>216</v>
      </c>
      <c r="F646" s="102" t="str">
        <f t="shared" si="29"/>
        <v>KTH</v>
      </c>
    </row>
    <row r="647" spans="2:7" ht="17">
      <c r="B647" s="206" t="s">
        <v>1860</v>
      </c>
      <c r="C647" s="207" t="s">
        <v>466</v>
      </c>
      <c r="D647" s="207" t="s">
        <v>954</v>
      </c>
      <c r="F647" s="102" t="str">
        <f t="shared" si="29"/>
        <v>BS</v>
      </c>
    </row>
    <row r="648" spans="2:7" ht="17">
      <c r="B648" s="206" t="s">
        <v>1861</v>
      </c>
      <c r="C648" s="207" t="s">
        <v>274</v>
      </c>
      <c r="D648" s="207" t="s">
        <v>216</v>
      </c>
      <c r="E648" s="210" t="s">
        <v>1862</v>
      </c>
      <c r="F648" s="102" t="str">
        <f t="shared" si="29"/>
        <v>JA-J</v>
      </c>
    </row>
    <row r="649" spans="2:7" ht="17">
      <c r="B649" s="206" t="s">
        <v>1863</v>
      </c>
      <c r="C649" s="207" t="s">
        <v>1864</v>
      </c>
      <c r="D649" s="207" t="s">
        <v>216</v>
      </c>
      <c r="F649" s="102" t="str">
        <f t="shared" si="29"/>
        <v>ABG</v>
      </c>
      <c r="G649" s="208" t="s">
        <v>1184</v>
      </c>
    </row>
    <row r="650" spans="2:7" ht="17">
      <c r="B650" s="206" t="s">
        <v>1866</v>
      </c>
      <c r="C650" s="207" t="s">
        <v>216</v>
      </c>
      <c r="D650" s="207" t="s">
        <v>216</v>
      </c>
      <c r="E650" s="210" t="s">
        <v>1867</v>
      </c>
      <c r="F650" s="102" t="str">
        <f t="shared" si="29"/>
        <v>KICA</v>
      </c>
      <c r="G650" s="208" t="s">
        <v>1868</v>
      </c>
    </row>
    <row r="651" spans="2:7" ht="17">
      <c r="B651" s="206" t="s">
        <v>1869</v>
      </c>
      <c r="C651" s="207" t="s">
        <v>216</v>
      </c>
      <c r="D651" s="207" t="s">
        <v>216</v>
      </c>
      <c r="E651" s="210" t="s">
        <v>1870</v>
      </c>
      <c r="F651" s="102" t="str">
        <f t="shared" si="29"/>
        <v>KA</v>
      </c>
    </row>
    <row r="652" spans="2:7" ht="17">
      <c r="B652" s="206" t="s">
        <v>1871</v>
      </c>
      <c r="C652" s="207" t="s">
        <v>1872</v>
      </c>
      <c r="D652" s="207" t="s">
        <v>216</v>
      </c>
      <c r="F652" s="102" t="str">
        <f t="shared" si="29"/>
        <v>MA</v>
      </c>
    </row>
    <row r="653" spans="2:7" ht="17">
      <c r="B653" s="206" t="s">
        <v>1873</v>
      </c>
      <c r="C653" s="207" t="s">
        <v>117</v>
      </c>
      <c r="D653" s="207" t="s">
        <v>216</v>
      </c>
      <c r="E653" s="210" t="s">
        <v>1874</v>
      </c>
      <c r="F653" s="102" t="str">
        <f t="shared" si="29"/>
        <v>WD</v>
      </c>
    </row>
    <row r="654" spans="2:7" ht="17">
      <c r="B654" s="206" t="s">
        <v>1875</v>
      </c>
      <c r="C654" s="207" t="s">
        <v>1396</v>
      </c>
      <c r="D654" s="207" t="s">
        <v>216</v>
      </c>
      <c r="E654" s="210" t="s">
        <v>1876</v>
      </c>
      <c r="F654" s="102" t="str">
        <f t="shared" si="29"/>
        <v>PO</v>
      </c>
    </row>
    <row r="655" spans="2:7" ht="17">
      <c r="B655" s="206" t="s">
        <v>1877</v>
      </c>
      <c r="C655" s="207" t="s">
        <v>216</v>
      </c>
      <c r="D655" s="207" t="s">
        <v>216</v>
      </c>
      <c r="E655" s="207" t="s">
        <v>1878</v>
      </c>
      <c r="F655" s="102" t="str">
        <f t="shared" si="29"/>
        <v>D</v>
      </c>
    </row>
    <row r="656" spans="2:7" ht="17">
      <c r="B656" s="206" t="s">
        <v>1880</v>
      </c>
      <c r="C656" s="207" t="s">
        <v>216</v>
      </c>
      <c r="D656" s="207" t="s">
        <v>216</v>
      </c>
      <c r="E656" s="210" t="s">
        <v>1881</v>
      </c>
      <c r="F656" s="102" t="str">
        <f t="shared" si="29"/>
        <v>M</v>
      </c>
    </row>
    <row r="657" spans="2:8" ht="17">
      <c r="B657" s="206" t="s">
        <v>2437</v>
      </c>
      <c r="C657" s="207" t="s">
        <v>576</v>
      </c>
      <c r="D657" s="207" t="s">
        <v>1082</v>
      </c>
      <c r="E657" s="210" t="s">
        <v>1881</v>
      </c>
      <c r="F657" s="102" t="str">
        <f t="shared" si="29"/>
        <v>M-N</v>
      </c>
    </row>
    <row r="658" spans="2:8" ht="17">
      <c r="B658" s="206" t="s">
        <v>1900</v>
      </c>
      <c r="C658" s="207" t="s">
        <v>216</v>
      </c>
      <c r="D658" s="207" t="s">
        <v>216</v>
      </c>
      <c r="E658" s="210" t="s">
        <v>1901</v>
      </c>
      <c r="F658" s="102" t="str">
        <f t="shared" si="29"/>
        <v>I</v>
      </c>
      <c r="G658" s="208" t="s">
        <v>1902</v>
      </c>
    </row>
    <row r="659" spans="2:8" ht="17">
      <c r="B659" s="206" t="s">
        <v>1904</v>
      </c>
      <c r="C659" s="207" t="s">
        <v>1905</v>
      </c>
      <c r="D659" s="207" t="s">
        <v>35</v>
      </c>
      <c r="E659" s="220" t="s">
        <v>1906</v>
      </c>
      <c r="F659" s="102" t="str">
        <f t="shared" si="29"/>
        <v>GGC</v>
      </c>
      <c r="G659" s="208" t="s">
        <v>1903</v>
      </c>
    </row>
    <row r="660" spans="2:8" ht="17">
      <c r="B660" s="206" t="s">
        <v>1910</v>
      </c>
      <c r="C660" s="207" t="s">
        <v>57</v>
      </c>
      <c r="D660" s="207" t="s">
        <v>954</v>
      </c>
      <c r="F660" s="102" t="str">
        <f t="shared" si="29"/>
        <v>GM</v>
      </c>
    </row>
    <row r="661" spans="2:8" ht="17">
      <c r="B661" s="206" t="s">
        <v>1928</v>
      </c>
      <c r="C661" s="207" t="s">
        <v>216</v>
      </c>
      <c r="D661" s="207" t="s">
        <v>216</v>
      </c>
      <c r="E661" s="210" t="s">
        <v>1926</v>
      </c>
      <c r="F661" s="102" t="str">
        <f t="shared" si="29"/>
        <v>TO</v>
      </c>
      <c r="H661" s="219" t="s">
        <v>1927</v>
      </c>
    </row>
    <row r="662" spans="2:8" ht="17">
      <c r="B662" s="206" t="s">
        <v>1929</v>
      </c>
      <c r="C662" s="207" t="s">
        <v>438</v>
      </c>
      <c r="D662" s="207" t="s">
        <v>216</v>
      </c>
      <c r="E662" s="210" t="s">
        <v>2193</v>
      </c>
      <c r="F662" s="102" t="str">
        <f t="shared" si="29"/>
        <v>CS</v>
      </c>
    </row>
    <row r="663" spans="2:8" ht="17">
      <c r="B663" s="206" t="s">
        <v>1939</v>
      </c>
      <c r="C663" s="207" t="s">
        <v>1940</v>
      </c>
      <c r="D663" s="207" t="s">
        <v>216</v>
      </c>
      <c r="E663" s="210" t="s">
        <v>1941</v>
      </c>
      <c r="F663" s="102" t="str">
        <f t="shared" si="29"/>
        <v>JK</v>
      </c>
    </row>
    <row r="664" spans="2:8" ht="17">
      <c r="B664" s="206" t="s">
        <v>1943</v>
      </c>
      <c r="C664" s="207" t="s">
        <v>295</v>
      </c>
      <c r="D664" s="207" t="s">
        <v>295</v>
      </c>
      <c r="E664" s="210" t="s">
        <v>1944</v>
      </c>
      <c r="F664" s="102" t="str">
        <f t="shared" si="29"/>
        <v>A</v>
      </c>
    </row>
    <row r="665" spans="2:8" ht="17">
      <c r="B665" s="206" t="s">
        <v>2189</v>
      </c>
      <c r="C665" s="207" t="s">
        <v>2190</v>
      </c>
      <c r="D665" s="207" t="s">
        <v>216</v>
      </c>
      <c r="E665" s="210" t="s">
        <v>2191</v>
      </c>
      <c r="F665" s="102" t="str">
        <f t="shared" si="29"/>
        <v>PT</v>
      </c>
      <c r="H665" s="219" t="s">
        <v>2192</v>
      </c>
    </row>
    <row r="666" spans="2:8" ht="17">
      <c r="B666" s="206" t="s">
        <v>2319</v>
      </c>
      <c r="C666" s="207" t="s">
        <v>274</v>
      </c>
      <c r="D666" s="207" t="s">
        <v>216</v>
      </c>
      <c r="E666" s="210" t="s">
        <v>2320</v>
      </c>
      <c r="F666" s="102" t="str">
        <f t="shared" si="29"/>
        <v>EA</v>
      </c>
      <c r="H666" s="219" t="s">
        <v>2321</v>
      </c>
    </row>
    <row r="667" spans="2:8" ht="34">
      <c r="B667" s="206" t="s">
        <v>2322</v>
      </c>
      <c r="C667" s="207" t="s">
        <v>2323</v>
      </c>
      <c r="D667" s="207" t="s">
        <v>216</v>
      </c>
      <c r="E667" s="210" t="s">
        <v>2324</v>
      </c>
      <c r="F667" s="102" t="str">
        <f t="shared" si="29"/>
        <v>T</v>
      </c>
    </row>
    <row r="668" spans="2:8" ht="17">
      <c r="B668" s="206" t="s">
        <v>2325</v>
      </c>
      <c r="C668" s="207" t="s">
        <v>1533</v>
      </c>
      <c r="D668" s="207" t="s">
        <v>216</v>
      </c>
      <c r="E668" s="210" t="s">
        <v>1724</v>
      </c>
      <c r="F668" s="102" t="str">
        <f t="shared" si="29"/>
        <v>SICC</v>
      </c>
    </row>
    <row r="669" spans="2:8" ht="17">
      <c r="B669" s="206" t="s">
        <v>2326</v>
      </c>
      <c r="C669" s="207" t="s">
        <v>1533</v>
      </c>
      <c r="D669" s="207" t="s">
        <v>216</v>
      </c>
      <c r="E669" s="210" t="s">
        <v>1724</v>
      </c>
      <c r="F669" s="102" t="str">
        <f t="shared" si="29"/>
        <v>SICC</v>
      </c>
    </row>
    <row r="670" spans="2:8" ht="17">
      <c r="B670" s="206" t="s">
        <v>2328</v>
      </c>
      <c r="C670" s="207" t="s">
        <v>216</v>
      </c>
      <c r="D670" s="207" t="s">
        <v>216</v>
      </c>
      <c r="E670" s="210" t="s">
        <v>2329</v>
      </c>
      <c r="F670" s="102" t="str">
        <f t="shared" si="29"/>
        <v>B</v>
      </c>
    </row>
    <row r="671" spans="2:8" ht="17">
      <c r="B671" s="206" t="s">
        <v>2330</v>
      </c>
      <c r="C671" s="207" t="s">
        <v>801</v>
      </c>
      <c r="D671" s="207" t="s">
        <v>954</v>
      </c>
      <c r="F671" s="102" t="str">
        <f t="shared" si="29"/>
        <v>AK-A</v>
      </c>
    </row>
    <row r="672" spans="2:8" ht="17">
      <c r="B672" s="206" t="s">
        <v>2331</v>
      </c>
      <c r="C672" s="207" t="s">
        <v>612</v>
      </c>
      <c r="D672" s="207" t="s">
        <v>216</v>
      </c>
      <c r="E672" s="210" t="s">
        <v>2332</v>
      </c>
      <c r="F672" s="102" t="str">
        <f t="shared" si="29"/>
        <v>CA</v>
      </c>
    </row>
    <row r="673" spans="2:8" ht="17">
      <c r="B673" s="206" t="s">
        <v>2333</v>
      </c>
      <c r="C673" s="207" t="s">
        <v>2334</v>
      </c>
      <c r="D673" s="207" t="s">
        <v>955</v>
      </c>
      <c r="E673" s="210" t="s">
        <v>2335</v>
      </c>
      <c r="F673" s="102" t="str">
        <f t="shared" si="29"/>
        <v>MB</v>
      </c>
      <c r="H673" s="219" t="s">
        <v>2336</v>
      </c>
    </row>
    <row r="674" spans="2:8" ht="17">
      <c r="B674" s="206" t="s">
        <v>2353</v>
      </c>
      <c r="C674" s="207" t="s">
        <v>216</v>
      </c>
      <c r="D674" s="207" t="s">
        <v>216</v>
      </c>
      <c r="F674" s="102" t="str">
        <f t="shared" si="29"/>
        <v>AG</v>
      </c>
    </row>
    <row r="675" spans="2:8" ht="17">
      <c r="B675" s="206" t="s">
        <v>2354</v>
      </c>
      <c r="C675" s="207" t="s">
        <v>2355</v>
      </c>
      <c r="D675" s="207" t="s">
        <v>954</v>
      </c>
      <c r="E675" s="210" t="s">
        <v>2356</v>
      </c>
      <c r="F675" s="102" t="str">
        <f t="shared" si="29"/>
        <v>M</v>
      </c>
    </row>
    <row r="676" spans="2:8" ht="17">
      <c r="B676" s="206" t="s">
        <v>2357</v>
      </c>
      <c r="C676" s="207" t="s">
        <v>995</v>
      </c>
      <c r="D676" s="207" t="s">
        <v>955</v>
      </c>
      <c r="E676" s="210" t="s">
        <v>2358</v>
      </c>
      <c r="F676" s="102" t="str">
        <f t="shared" si="29"/>
        <v>EA</v>
      </c>
    </row>
    <row r="677" spans="2:8" ht="17">
      <c r="B677" s="206" t="s">
        <v>2359</v>
      </c>
      <c r="C677" s="207" t="s">
        <v>2360</v>
      </c>
      <c r="D677" s="207" t="s">
        <v>954</v>
      </c>
      <c r="E677" s="210" t="s">
        <v>2361</v>
      </c>
      <c r="F677" s="102" t="str">
        <f t="shared" si="29"/>
        <v>AB</v>
      </c>
    </row>
    <row r="678" spans="2:8" ht="51">
      <c r="B678" s="206" t="s">
        <v>2362</v>
      </c>
      <c r="C678" s="207" t="s">
        <v>2364</v>
      </c>
      <c r="D678" s="207" t="s">
        <v>216</v>
      </c>
      <c r="E678" s="210" t="s">
        <v>2363</v>
      </c>
      <c r="F678" s="102" t="str">
        <f t="shared" si="29"/>
        <v>EGAO</v>
      </c>
    </row>
    <row r="679" spans="2:8" ht="17">
      <c r="B679" s="206" t="s">
        <v>2365</v>
      </c>
      <c r="C679" s="207" t="s">
        <v>216</v>
      </c>
      <c r="D679" s="207" t="s">
        <v>216</v>
      </c>
      <c r="E679" s="210" t="s">
        <v>2366</v>
      </c>
      <c r="F679" s="102" t="str">
        <f t="shared" si="29"/>
        <v>J</v>
      </c>
    </row>
    <row r="680" spans="2:8" ht="34">
      <c r="B680" s="206" t="s">
        <v>2367</v>
      </c>
      <c r="C680" s="207" t="s">
        <v>2368</v>
      </c>
      <c r="D680" s="207" t="s">
        <v>216</v>
      </c>
      <c r="E680" s="210" t="s">
        <v>2369</v>
      </c>
      <c r="F680" s="102" t="str">
        <f t="shared" si="29"/>
        <v>DBA</v>
      </c>
    </row>
    <row r="681" spans="2:8" ht="17">
      <c r="B681" s="206" t="s">
        <v>2370</v>
      </c>
      <c r="C681" s="207" t="s">
        <v>216</v>
      </c>
      <c r="D681" s="207" t="s">
        <v>216</v>
      </c>
      <c r="F681" s="102" t="str">
        <f t="shared" si="29"/>
        <v>RB</v>
      </c>
    </row>
    <row r="682" spans="2:8" ht="17">
      <c r="B682" s="206" t="s">
        <v>2371</v>
      </c>
      <c r="C682" s="207" t="s">
        <v>216</v>
      </c>
      <c r="D682" s="207" t="s">
        <v>216</v>
      </c>
      <c r="E682" s="210" t="s">
        <v>2372</v>
      </c>
      <c r="F682" s="102" t="str">
        <f t="shared" si="29"/>
        <v>TO</v>
      </c>
    </row>
    <row r="683" spans="2:8" ht="17">
      <c r="B683" s="206" t="s">
        <v>2374</v>
      </c>
      <c r="C683" s="207" t="s">
        <v>2375</v>
      </c>
      <c r="D683" s="207" t="s">
        <v>51</v>
      </c>
      <c r="E683" s="210" t="s">
        <v>2376</v>
      </c>
      <c r="F683" s="102" t="str">
        <f t="shared" si="29"/>
        <v>PV</v>
      </c>
      <c r="G683" s="208" t="s">
        <v>2373</v>
      </c>
    </row>
    <row r="684" spans="2:8" ht="17">
      <c r="B684" s="206" t="s">
        <v>2377</v>
      </c>
      <c r="C684" s="207" t="s">
        <v>216</v>
      </c>
      <c r="D684" s="207" t="s">
        <v>216</v>
      </c>
      <c r="F684" s="102" t="str">
        <f t="shared" si="29"/>
        <v>T</v>
      </c>
    </row>
    <row r="685" spans="2:8" ht="17">
      <c r="B685" s="206" t="s">
        <v>2378</v>
      </c>
      <c r="C685" s="207" t="s">
        <v>49</v>
      </c>
      <c r="D685" s="207" t="s">
        <v>49</v>
      </c>
      <c r="F685" s="102" t="str">
        <f t="shared" si="29"/>
        <v>CB</v>
      </c>
    </row>
    <row r="686" spans="2:8" ht="17">
      <c r="B686" s="206" t="s">
        <v>2385</v>
      </c>
      <c r="C686" s="207" t="s">
        <v>216</v>
      </c>
      <c r="D686" s="207" t="s">
        <v>216</v>
      </c>
      <c r="E686" s="210" t="s">
        <v>2386</v>
      </c>
      <c r="F686" s="102" t="str">
        <f t="shared" si="29"/>
        <v>K</v>
      </c>
    </row>
    <row r="687" spans="2:8" ht="17">
      <c r="B687" s="206" t="s">
        <v>2387</v>
      </c>
      <c r="C687" s="207" t="s">
        <v>216</v>
      </c>
      <c r="D687" s="207" t="s">
        <v>216</v>
      </c>
      <c r="F687" s="102" t="str">
        <f t="shared" si="29"/>
        <v>AT</v>
      </c>
    </row>
    <row r="688" spans="2:8" ht="51">
      <c r="B688" s="206" t="s">
        <v>2388</v>
      </c>
      <c r="C688" s="207" t="s">
        <v>2389</v>
      </c>
      <c r="D688" s="207" t="s">
        <v>216</v>
      </c>
      <c r="E688" s="210" t="s">
        <v>680</v>
      </c>
      <c r="F688" s="102" t="str">
        <f t="shared" si="29"/>
        <v>KAGL</v>
      </c>
    </row>
    <row r="689" spans="2:6" ht="17">
      <c r="B689" s="206" t="s">
        <v>2390</v>
      </c>
      <c r="C689" s="207" t="s">
        <v>35</v>
      </c>
      <c r="D689" s="207" t="s">
        <v>216</v>
      </c>
      <c r="F689" s="102" t="str">
        <f t="shared" si="29"/>
        <v>ES</v>
      </c>
    </row>
    <row r="690" spans="2:6" ht="17">
      <c r="B690" s="206" t="s">
        <v>2391</v>
      </c>
      <c r="C690" s="207" t="s">
        <v>216</v>
      </c>
      <c r="D690" s="207" t="s">
        <v>216</v>
      </c>
      <c r="E690" s="210" t="s">
        <v>2392</v>
      </c>
      <c r="F690" s="102" t="str">
        <f t="shared" si="29"/>
        <v>KA</v>
      </c>
    </row>
    <row r="691" spans="2:6" ht="17">
      <c r="B691" s="206" t="s">
        <v>2393</v>
      </c>
      <c r="C691" s="207" t="s">
        <v>216</v>
      </c>
      <c r="D691" s="207" t="s">
        <v>216</v>
      </c>
      <c r="E691" s="210" t="s">
        <v>2394</v>
      </c>
      <c r="F691" s="102" t="str">
        <f t="shared" si="29"/>
        <v>IIKB</v>
      </c>
    </row>
    <row r="692" spans="2:6" ht="17">
      <c r="B692" s="206" t="s">
        <v>2395</v>
      </c>
      <c r="C692" s="207" t="s">
        <v>80</v>
      </c>
      <c r="D692" s="207" t="s">
        <v>216</v>
      </c>
      <c r="E692" s="210" t="s">
        <v>2396</v>
      </c>
      <c r="F692" s="102" t="str">
        <f t="shared" si="29"/>
        <v>PA</v>
      </c>
    </row>
    <row r="693" spans="2:6" ht="17">
      <c r="B693" s="206" t="s">
        <v>2397</v>
      </c>
      <c r="C693" s="207" t="s">
        <v>352</v>
      </c>
      <c r="D693" s="207" t="s">
        <v>216</v>
      </c>
      <c r="E693" s="210" t="s">
        <v>2398</v>
      </c>
      <c r="F693" s="102" t="str">
        <f t="shared" si="29"/>
        <v>ME</v>
      </c>
    </row>
    <row r="694" spans="2:6" ht="17">
      <c r="B694" s="206" t="s">
        <v>2399</v>
      </c>
      <c r="C694" s="207" t="s">
        <v>271</v>
      </c>
      <c r="D694" s="207" t="s">
        <v>216</v>
      </c>
      <c r="E694" s="210" t="s">
        <v>2400</v>
      </c>
      <c r="F694" s="102" t="str">
        <f t="shared" si="29"/>
        <v>KSA</v>
      </c>
    </row>
    <row r="695" spans="2:6" ht="17">
      <c r="B695" s="206" t="s">
        <v>2406</v>
      </c>
      <c r="C695" s="207" t="s">
        <v>38</v>
      </c>
      <c r="D695" s="207" t="s">
        <v>216</v>
      </c>
      <c r="E695" s="210" t="s">
        <v>2407</v>
      </c>
      <c r="F695" s="102" t="str">
        <f t="shared" si="29"/>
        <v>AAY</v>
      </c>
    </row>
    <row r="696" spans="2:6" ht="17">
      <c r="B696" s="206" t="s">
        <v>2408</v>
      </c>
      <c r="C696" s="207" t="s">
        <v>69</v>
      </c>
      <c r="D696" s="207" t="s">
        <v>216</v>
      </c>
      <c r="E696" s="207" t="s">
        <v>2409</v>
      </c>
      <c r="F696" s="102" t="str">
        <f t="shared" si="29"/>
        <v>E-K</v>
      </c>
    </row>
    <row r="697" spans="2:6" ht="17">
      <c r="B697" s="206" t="s">
        <v>1550</v>
      </c>
      <c r="C697" s="207" t="s">
        <v>46</v>
      </c>
      <c r="D697" s="207" t="s">
        <v>216</v>
      </c>
      <c r="F697" s="102" t="str">
        <f t="shared" si="29"/>
        <v>I</v>
      </c>
    </row>
    <row r="698" spans="2:6" ht="17">
      <c r="B698" s="206" t="s">
        <v>2410</v>
      </c>
      <c r="C698" s="207" t="s">
        <v>29</v>
      </c>
      <c r="D698" s="207" t="s">
        <v>216</v>
      </c>
      <c r="E698" s="210" t="s">
        <v>2411</v>
      </c>
      <c r="F698" s="102" t="str">
        <f t="shared" si="29"/>
        <v>EBY</v>
      </c>
    </row>
    <row r="699" spans="2:6" ht="17">
      <c r="B699" s="206" t="s">
        <v>2412</v>
      </c>
      <c r="C699" s="207" t="s">
        <v>216</v>
      </c>
      <c r="D699" s="207" t="s">
        <v>216</v>
      </c>
      <c r="E699" s="207" t="s">
        <v>2413</v>
      </c>
      <c r="F699" s="102" t="str">
        <f t="shared" si="29"/>
        <v>EP</v>
      </c>
    </row>
    <row r="700" spans="2:6" ht="17">
      <c r="B700" s="206" t="s">
        <v>2414</v>
      </c>
      <c r="C700" s="207" t="s">
        <v>29</v>
      </c>
      <c r="D700" s="207" t="s">
        <v>216</v>
      </c>
      <c r="E700" s="210" t="s">
        <v>2415</v>
      </c>
      <c r="F700" s="102" t="str">
        <f t="shared" si="29"/>
        <v>K</v>
      </c>
    </row>
    <row r="701" spans="2:6" ht="17">
      <c r="B701" s="206" t="s">
        <v>2418</v>
      </c>
      <c r="C701" s="207" t="s">
        <v>216</v>
      </c>
      <c r="D701" s="207" t="s">
        <v>216</v>
      </c>
      <c r="E701" s="210" t="s">
        <v>2419</v>
      </c>
      <c r="F701" s="102" t="str">
        <f t="shared" si="29"/>
        <v>H</v>
      </c>
    </row>
    <row r="702" spans="2:6" ht="17">
      <c r="B702" s="206" t="s">
        <v>2420</v>
      </c>
      <c r="C702" s="207" t="s">
        <v>1081</v>
      </c>
      <c r="D702" s="207" t="s">
        <v>1081</v>
      </c>
      <c r="E702" s="210" t="s">
        <v>2421</v>
      </c>
      <c r="F702" s="102" t="str">
        <f t="shared" si="29"/>
        <v>DJA</v>
      </c>
    </row>
    <row r="703" spans="2:6" ht="17">
      <c r="B703" s="206" t="s">
        <v>2422</v>
      </c>
      <c r="C703" s="207" t="s">
        <v>216</v>
      </c>
      <c r="D703" s="207" t="s">
        <v>216</v>
      </c>
      <c r="E703" s="210" t="s">
        <v>2423</v>
      </c>
      <c r="F703" s="102" t="str">
        <f t="shared" si="29"/>
        <v>PM</v>
      </c>
    </row>
    <row r="704" spans="2:6" ht="17">
      <c r="B704" s="206" t="s">
        <v>2425</v>
      </c>
      <c r="C704" s="207" t="s">
        <v>216</v>
      </c>
      <c r="D704" s="207" t="s">
        <v>216</v>
      </c>
      <c r="E704" s="210" t="s">
        <v>2424</v>
      </c>
      <c r="F704" s="102" t="str">
        <f t="shared" si="29"/>
        <v>T-V</v>
      </c>
    </row>
    <row r="705" spans="2:7" ht="17">
      <c r="B705" s="206" t="s">
        <v>1575</v>
      </c>
      <c r="C705" s="207" t="s">
        <v>216</v>
      </c>
      <c r="D705" s="207" t="s">
        <v>216</v>
      </c>
      <c r="E705" s="210" t="s">
        <v>1614</v>
      </c>
      <c r="F705" s="102" t="str">
        <f t="shared" si="29"/>
        <v>F</v>
      </c>
    </row>
    <row r="706" spans="2:7" ht="17">
      <c r="B706" s="206" t="s">
        <v>1358</v>
      </c>
      <c r="C706" s="207" t="s">
        <v>216</v>
      </c>
      <c r="D706" s="207" t="s">
        <v>216</v>
      </c>
      <c r="E706" s="210" t="s">
        <v>2427</v>
      </c>
      <c r="F706" s="102" t="str">
        <f t="shared" si="29"/>
        <v>JC</v>
      </c>
    </row>
    <row r="707" spans="2:7" ht="17">
      <c r="B707" s="206" t="s">
        <v>2428</v>
      </c>
      <c r="C707" s="207" t="s">
        <v>216</v>
      </c>
      <c r="D707" s="207" t="s">
        <v>216</v>
      </c>
      <c r="E707" s="210" t="s">
        <v>2429</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2430</v>
      </c>
      <c r="C708" s="207" t="s">
        <v>216</v>
      </c>
      <c r="D708" s="207" t="s">
        <v>216</v>
      </c>
      <c r="F708" s="102" t="str">
        <f t="shared" si="30"/>
        <v>SE/P</v>
      </c>
    </row>
    <row r="709" spans="2:7" ht="17">
      <c r="B709" s="206" t="s">
        <v>2431</v>
      </c>
      <c r="C709" s="207" t="s">
        <v>858</v>
      </c>
      <c r="D709" s="207" t="s">
        <v>858</v>
      </c>
      <c r="E709" s="210" t="s">
        <v>2432</v>
      </c>
      <c r="F709" s="102" t="str">
        <f t="shared" si="30"/>
        <v>S</v>
      </c>
    </row>
    <row r="710" spans="2:7" ht="17">
      <c r="B710" s="206" t="s">
        <v>2433</v>
      </c>
      <c r="C710" s="207" t="s">
        <v>389</v>
      </c>
      <c r="D710" s="207" t="s">
        <v>954</v>
      </c>
      <c r="F710" s="102" t="str">
        <f t="shared" si="30"/>
        <v>PRH</v>
      </c>
      <c r="G710" s="208" t="s">
        <v>2434</v>
      </c>
    </row>
    <row r="711" spans="2:7" ht="17">
      <c r="B711" s="206" t="s">
        <v>2436</v>
      </c>
      <c r="C711" s="207" t="s">
        <v>216</v>
      </c>
      <c r="D711" s="207" t="s">
        <v>216</v>
      </c>
      <c r="E711" s="210" t="s">
        <v>2435</v>
      </c>
      <c r="F711" s="102" t="str">
        <f t="shared" si="30"/>
        <v>E-</v>
      </c>
    </row>
    <row r="712" spans="2:7" ht="17">
      <c r="B712" s="206" t="s">
        <v>2438</v>
      </c>
      <c r="C712" s="207" t="s">
        <v>856</v>
      </c>
      <c r="D712" s="207" t="s">
        <v>856</v>
      </c>
      <c r="E712" s="210" t="s">
        <v>2439</v>
      </c>
      <c r="F712" s="102" t="str">
        <f t="shared" si="30"/>
        <v>MA</v>
      </c>
    </row>
    <row r="713" spans="2:7" ht="17">
      <c r="B713" s="206" t="s">
        <v>2440</v>
      </c>
      <c r="C713" s="207" t="s">
        <v>93</v>
      </c>
      <c r="D713" s="207" t="s">
        <v>216</v>
      </c>
      <c r="E713" s="210" t="s">
        <v>2441</v>
      </c>
      <c r="F713" s="102" t="str">
        <f t="shared" si="30"/>
        <v>K</v>
      </c>
    </row>
    <row r="714" spans="2:7" ht="17">
      <c r="B714" s="206" t="s">
        <v>2442</v>
      </c>
      <c r="C714" s="207" t="s">
        <v>216</v>
      </c>
      <c r="D714" s="207" t="s">
        <v>216</v>
      </c>
      <c r="E714" s="210" t="s">
        <v>2443</v>
      </c>
      <c r="F714" s="102" t="str">
        <f t="shared" si="30"/>
        <v>MJ</v>
      </c>
    </row>
    <row r="715" spans="2:7" ht="17">
      <c r="B715" s="206" t="s">
        <v>2444</v>
      </c>
      <c r="C715" s="207" t="s">
        <v>32</v>
      </c>
      <c r="D715" s="207" t="s">
        <v>216</v>
      </c>
      <c r="E715" s="210" t="s">
        <v>2445</v>
      </c>
      <c r="F715" s="102" t="str">
        <f t="shared" si="30"/>
        <v>AY</v>
      </c>
    </row>
    <row r="716" spans="2:7" ht="17">
      <c r="B716" s="206" t="s">
        <v>2446</v>
      </c>
      <c r="C716" s="207" t="s">
        <v>409</v>
      </c>
      <c r="D716" s="207" t="s">
        <v>216</v>
      </c>
      <c r="E716" s="210" t="s">
        <v>2447</v>
      </c>
      <c r="F716" s="102" t="str">
        <f t="shared" si="30"/>
        <v>MF</v>
      </c>
    </row>
    <row r="717" spans="2:7" ht="17">
      <c r="B717" s="206" t="s">
        <v>2448</v>
      </c>
      <c r="C717" s="207" t="s">
        <v>2451</v>
      </c>
      <c r="D717" s="207" t="s">
        <v>216</v>
      </c>
      <c r="E717" s="210" t="s">
        <v>2450</v>
      </c>
      <c r="F717" s="102" t="str">
        <f t="shared" si="30"/>
        <v>SMMC</v>
      </c>
      <c r="G717" s="208" t="s">
        <v>2449</v>
      </c>
    </row>
    <row r="718" spans="2:7" ht="17">
      <c r="B718" s="206" t="s">
        <v>2453</v>
      </c>
      <c r="C718" s="207" t="s">
        <v>305</v>
      </c>
      <c r="D718" s="207" t="s">
        <v>955</v>
      </c>
      <c r="E718" s="210" t="s">
        <v>2452</v>
      </c>
      <c r="F718" s="102" t="str">
        <f t="shared" si="30"/>
        <v>PAB</v>
      </c>
    </row>
    <row r="719" spans="2:7" ht="34">
      <c r="B719" s="206" t="s">
        <v>2454</v>
      </c>
      <c r="C719" s="207" t="s">
        <v>628</v>
      </c>
      <c r="D719" s="207" t="s">
        <v>216</v>
      </c>
      <c r="E719" s="210" t="s">
        <v>2455</v>
      </c>
      <c r="F719" s="102" t="str">
        <f t="shared" si="30"/>
        <v>C</v>
      </c>
    </row>
    <row r="720" spans="2:7" ht="17">
      <c r="B720" s="206" t="s">
        <v>2480</v>
      </c>
      <c r="C720" s="207" t="s">
        <v>216</v>
      </c>
      <c r="D720" s="207" t="s">
        <v>216</v>
      </c>
      <c r="F720" s="102" t="str">
        <f t="shared" si="30"/>
        <v>SA</v>
      </c>
    </row>
    <row r="721" spans="2:8" ht="34">
      <c r="B721" s="206" t="s">
        <v>2481</v>
      </c>
      <c r="C721" s="207" t="s">
        <v>2482</v>
      </c>
      <c r="D721" s="207" t="s">
        <v>216</v>
      </c>
      <c r="F721" s="102" t="str">
        <f t="shared" si="30"/>
        <v>MFA</v>
      </c>
    </row>
    <row r="722" spans="2:8" ht="17">
      <c r="B722" s="206" t="s">
        <v>2483</v>
      </c>
      <c r="C722" s="207" t="s">
        <v>29</v>
      </c>
      <c r="D722" s="207" t="s">
        <v>216</v>
      </c>
      <c r="F722" s="102" t="str">
        <f t="shared" si="30"/>
        <v>GNCU</v>
      </c>
    </row>
    <row r="723" spans="2:8" ht="17">
      <c r="B723" s="206" t="s">
        <v>2487</v>
      </c>
      <c r="C723" s="207" t="s">
        <v>93</v>
      </c>
      <c r="D723" s="207" t="s">
        <v>216</v>
      </c>
      <c r="E723" s="210" t="s">
        <v>2488</v>
      </c>
      <c r="F723" s="102" t="str">
        <f t="shared" si="30"/>
        <v>MG</v>
      </c>
    </row>
    <row r="724" spans="2:8" ht="17">
      <c r="B724" s="206" t="s">
        <v>2496</v>
      </c>
      <c r="C724" s="207" t="s">
        <v>628</v>
      </c>
      <c r="D724" s="207" t="s">
        <v>216</v>
      </c>
      <c r="E724" s="210" t="s">
        <v>2497</v>
      </c>
      <c r="F724" s="102" t="str">
        <f t="shared" si="30"/>
        <v>V</v>
      </c>
    </row>
    <row r="725" spans="2:8" ht="17">
      <c r="B725" s="206" t="s">
        <v>2511</v>
      </c>
      <c r="C725" s="207" t="s">
        <v>219</v>
      </c>
      <c r="D725" s="207" t="s">
        <v>216</v>
      </c>
      <c r="E725" s="210" t="s">
        <v>2510</v>
      </c>
      <c r="F725" s="102" t="str">
        <f t="shared" si="30"/>
        <v>SO</v>
      </c>
      <c r="G725" s="211"/>
      <c r="H725" s="211" t="s">
        <v>2509</v>
      </c>
    </row>
    <row r="726" spans="2:8" ht="17">
      <c r="B726" s="206" t="s">
        <v>2512</v>
      </c>
      <c r="C726" s="207" t="s">
        <v>216</v>
      </c>
      <c r="D726" s="207" t="s">
        <v>216</v>
      </c>
      <c r="E726" s="210" t="s">
        <v>2513</v>
      </c>
      <c r="F726" s="102" t="str">
        <f t="shared" si="30"/>
        <v>MS</v>
      </c>
    </row>
    <row r="727" spans="2:8" ht="17">
      <c r="B727" s="206" t="s">
        <v>2514</v>
      </c>
      <c r="C727" s="207" t="s">
        <v>216</v>
      </c>
      <c r="D727" s="207" t="s">
        <v>216</v>
      </c>
      <c r="E727" s="210" t="s">
        <v>2516</v>
      </c>
      <c r="F727" s="102" t="str">
        <f t="shared" si="30"/>
        <v>E</v>
      </c>
      <c r="G727" s="208" t="s">
        <v>2515</v>
      </c>
    </row>
    <row r="728" spans="2:8" ht="15">
      <c r="B728" s="221" t="s">
        <v>2517</v>
      </c>
      <c r="C728" s="222" t="s">
        <v>216</v>
      </c>
      <c r="D728" s="222" t="s">
        <v>216</v>
      </c>
      <c r="E728" s="223" t="s">
        <v>1500</v>
      </c>
      <c r="F728" s="102" t="str">
        <f t="shared" si="30"/>
        <v>JA</v>
      </c>
    </row>
    <row r="729" spans="2:8" ht="15">
      <c r="B729" s="221" t="s">
        <v>2518</v>
      </c>
      <c r="C729" s="222" t="s">
        <v>216</v>
      </c>
      <c r="D729" s="222" t="s">
        <v>216</v>
      </c>
      <c r="E729" s="223" t="s">
        <v>2519</v>
      </c>
      <c r="F729" s="102" t="str">
        <f t="shared" si="30"/>
        <v>MT</v>
      </c>
      <c r="H729" s="219" t="s">
        <v>2523</v>
      </c>
    </row>
    <row r="730" spans="2:8" ht="15">
      <c r="B730" s="221" t="s">
        <v>2520</v>
      </c>
      <c r="C730" s="222" t="s">
        <v>2521</v>
      </c>
      <c r="D730" s="222" t="s">
        <v>216</v>
      </c>
      <c r="E730" s="223" t="s">
        <v>2522</v>
      </c>
      <c r="F730" s="102" t="str">
        <f t="shared" si="30"/>
        <v>MFE</v>
      </c>
    </row>
    <row r="731" spans="2:8" ht="15">
      <c r="B731" s="221" t="s">
        <v>2524</v>
      </c>
      <c r="C731" s="222" t="s">
        <v>392</v>
      </c>
      <c r="D731" s="222" t="s">
        <v>216</v>
      </c>
      <c r="E731" s="223" t="s">
        <v>2525</v>
      </c>
      <c r="F731" s="102" t="str">
        <f t="shared" si="30"/>
        <v>F</v>
      </c>
    </row>
    <row r="732" spans="2:8" ht="15">
      <c r="B732" s="221" t="s">
        <v>2526</v>
      </c>
      <c r="C732" s="223" t="s">
        <v>216</v>
      </c>
      <c r="D732" s="222" t="s">
        <v>216</v>
      </c>
      <c r="E732" s="223" t="s">
        <v>2527</v>
      </c>
      <c r="F732" s="102" t="str">
        <f t="shared" si="30"/>
        <v>MK</v>
      </c>
    </row>
    <row r="733" spans="2:8" ht="15">
      <c r="B733" s="221" t="s">
        <v>2528</v>
      </c>
      <c r="C733" s="222" t="s">
        <v>313</v>
      </c>
      <c r="D733" s="222" t="s">
        <v>216</v>
      </c>
      <c r="E733" s="223" t="s">
        <v>2529</v>
      </c>
      <c r="F733" s="102" t="str">
        <f t="shared" si="30"/>
        <v>E</v>
      </c>
    </row>
    <row r="734" spans="2:8" ht="17">
      <c r="B734" s="206" t="s">
        <v>2530</v>
      </c>
      <c r="C734" s="207" t="s">
        <v>35</v>
      </c>
      <c r="D734" s="207" t="s">
        <v>216</v>
      </c>
      <c r="E734" s="210" t="s">
        <v>2531</v>
      </c>
      <c r="F734" s="102" t="str">
        <f t="shared" si="30"/>
        <v>TGL</v>
      </c>
      <c r="G734" s="208" t="s">
        <v>2532</v>
      </c>
    </row>
    <row r="735" spans="2:8" ht="17">
      <c r="B735" s="206" t="s">
        <v>2534</v>
      </c>
      <c r="C735" s="207" t="s">
        <v>170</v>
      </c>
      <c r="D735" s="207" t="s">
        <v>216</v>
      </c>
      <c r="E735" s="210" t="s">
        <v>2533</v>
      </c>
      <c r="F735" s="102" t="str">
        <f t="shared" si="30"/>
        <v>MC</v>
      </c>
    </row>
    <row r="736" spans="2:8" ht="17">
      <c r="B736" s="206" t="s">
        <v>2535</v>
      </c>
      <c r="C736" s="207" t="s">
        <v>29</v>
      </c>
      <c r="D736" s="207" t="s">
        <v>216</v>
      </c>
      <c r="F736" s="102" t="str">
        <f t="shared" si="30"/>
        <v>MAS/</v>
      </c>
    </row>
    <row r="737" spans="2:8" ht="17">
      <c r="B737" s="206" t="s">
        <v>2536</v>
      </c>
      <c r="C737" s="207" t="s">
        <v>117</v>
      </c>
      <c r="D737" s="207" t="s">
        <v>216</v>
      </c>
      <c r="E737" s="210" t="s">
        <v>2537</v>
      </c>
      <c r="F737" s="102" t="str">
        <f t="shared" si="30"/>
        <v>ML</v>
      </c>
    </row>
    <row r="738" spans="2:8" ht="17">
      <c r="B738" s="206" t="s">
        <v>2538</v>
      </c>
      <c r="C738" s="207" t="s">
        <v>182</v>
      </c>
      <c r="D738" s="207" t="s">
        <v>216</v>
      </c>
      <c r="E738" s="210" t="s">
        <v>2539</v>
      </c>
      <c r="F738" s="102" t="str">
        <f t="shared" si="30"/>
        <v>OA</v>
      </c>
    </row>
    <row r="739" spans="2:8" ht="17">
      <c r="B739" s="206" t="s">
        <v>2540</v>
      </c>
      <c r="C739" s="207" t="s">
        <v>392</v>
      </c>
      <c r="D739" s="207" t="s">
        <v>216</v>
      </c>
      <c r="E739" s="210" t="s">
        <v>2541</v>
      </c>
      <c r="F739" s="102" t="str">
        <f t="shared" si="30"/>
        <v>MB</v>
      </c>
    </row>
    <row r="740" spans="2:8" ht="17">
      <c r="B740" s="206" t="s">
        <v>1246</v>
      </c>
      <c r="C740" s="207" t="s">
        <v>588</v>
      </c>
      <c r="D740" s="207" t="s">
        <v>216</v>
      </c>
      <c r="E740" s="210" t="s">
        <v>2542</v>
      </c>
      <c r="F740" s="102" t="str">
        <f t="shared" si="30"/>
        <v>D</v>
      </c>
    </row>
    <row r="741" spans="2:8" ht="34">
      <c r="B741" s="206" t="s">
        <v>2543</v>
      </c>
      <c r="C741" s="207" t="s">
        <v>2544</v>
      </c>
      <c r="D741" s="207" t="s">
        <v>216</v>
      </c>
      <c r="E741" s="210" t="s">
        <v>2546</v>
      </c>
      <c r="F741" s="102" t="str">
        <f t="shared" si="30"/>
        <v>AA</v>
      </c>
      <c r="H741" s="219" t="s">
        <v>2545</v>
      </c>
    </row>
    <row r="742" spans="2:8" ht="17">
      <c r="B742" s="209" t="s">
        <v>2547</v>
      </c>
      <c r="C742" s="207" t="s">
        <v>2550</v>
      </c>
      <c r="D742" s="207" t="s">
        <v>216</v>
      </c>
      <c r="E742" s="210" t="s">
        <v>2548</v>
      </c>
      <c r="F742" s="102" t="str">
        <f t="shared" si="30"/>
        <v>HA</v>
      </c>
      <c r="H742" s="219" t="s">
        <v>2549</v>
      </c>
    </row>
    <row r="743" spans="2:8" ht="17">
      <c r="B743" s="206" t="s">
        <v>2551</v>
      </c>
      <c r="C743" s="207" t="s">
        <v>1576</v>
      </c>
      <c r="D743" s="207" t="s">
        <v>216</v>
      </c>
      <c r="E743" s="210" t="s">
        <v>2553</v>
      </c>
      <c r="F743" s="102" t="str">
        <f t="shared" si="30"/>
        <v>GA</v>
      </c>
      <c r="H743" s="219" t="s">
        <v>2552</v>
      </c>
    </row>
    <row r="744" spans="2:8" ht="17">
      <c r="B744" s="206" t="s">
        <v>2554</v>
      </c>
      <c r="C744" s="207" t="s">
        <v>2557</v>
      </c>
      <c r="D744" s="207" t="s">
        <v>216</v>
      </c>
      <c r="E744" s="210" t="s">
        <v>2555</v>
      </c>
      <c r="F744" s="102" t="str">
        <f t="shared" si="30"/>
        <v>SA</v>
      </c>
      <c r="H744" s="219" t="s">
        <v>2556</v>
      </c>
    </row>
    <row r="745" spans="2:8" ht="17">
      <c r="B745" s="206" t="s">
        <v>2558</v>
      </c>
      <c r="C745" s="207" t="s">
        <v>216</v>
      </c>
      <c r="D745" s="207" t="s">
        <v>216</v>
      </c>
      <c r="E745" s="210" t="s">
        <v>2559</v>
      </c>
      <c r="F745" s="102" t="str">
        <f t="shared" si="30"/>
        <v>HI</v>
      </c>
    </row>
    <row r="746" spans="2:8" ht="17">
      <c r="B746" s="206" t="s">
        <v>2560</v>
      </c>
      <c r="C746" s="207" t="s">
        <v>29</v>
      </c>
      <c r="D746" s="207" t="s">
        <v>216</v>
      </c>
      <c r="E746" s="210" t="s">
        <v>2561</v>
      </c>
      <c r="F746" s="102" t="str">
        <f t="shared" si="30"/>
        <v>WG</v>
      </c>
    </row>
    <row r="747" spans="2:8" ht="17">
      <c r="B747" s="206" t="s">
        <v>2562</v>
      </c>
      <c r="C747" s="207" t="s">
        <v>1576</v>
      </c>
      <c r="D747" s="207" t="s">
        <v>216</v>
      </c>
      <c r="E747" s="210" t="s">
        <v>2563</v>
      </c>
      <c r="F747" s="102" t="str">
        <f t="shared" si="30"/>
        <v>C</v>
      </c>
    </row>
    <row r="748" spans="2:8" ht="17">
      <c r="B748" s="206" t="s">
        <v>2564</v>
      </c>
      <c r="C748" s="207" t="s">
        <v>216</v>
      </c>
      <c r="D748" s="207" t="s">
        <v>216</v>
      </c>
      <c r="F748" s="102" t="str">
        <f t="shared" si="30"/>
        <v>EB</v>
      </c>
    </row>
    <row r="749" spans="2:8" ht="17">
      <c r="B749" s="206" t="s">
        <v>2565</v>
      </c>
      <c r="C749" s="207" t="s">
        <v>216</v>
      </c>
      <c r="D749" s="207" t="s">
        <v>216</v>
      </c>
      <c r="E749" s="210" t="s">
        <v>2566</v>
      </c>
      <c r="F749" s="102" t="str">
        <f t="shared" si="30"/>
        <v>DO</v>
      </c>
    </row>
    <row r="750" spans="2:8" ht="17">
      <c r="B750" s="206" t="s">
        <v>2567</v>
      </c>
      <c r="C750" s="207" t="s">
        <v>216</v>
      </c>
      <c r="D750" s="207" t="s">
        <v>216</v>
      </c>
      <c r="E750" s="210" t="s">
        <v>2568</v>
      </c>
      <c r="F750" s="102" t="str">
        <f t="shared" si="30"/>
        <v>MA</v>
      </c>
    </row>
    <row r="751" spans="2:8" ht="17">
      <c r="B751" s="206" t="s">
        <v>2569</v>
      </c>
      <c r="C751" s="207" t="s">
        <v>339</v>
      </c>
      <c r="D751" s="207" t="s">
        <v>216</v>
      </c>
      <c r="E751" s="210" t="s">
        <v>2570</v>
      </c>
      <c r="F751" s="102" t="str">
        <f t="shared" si="30"/>
        <v>MJ</v>
      </c>
    </row>
    <row r="752" spans="2:8" ht="17">
      <c r="B752" s="206" t="s">
        <v>2571</v>
      </c>
      <c r="C752" s="207" t="s">
        <v>51</v>
      </c>
      <c r="D752" s="207" t="s">
        <v>51</v>
      </c>
      <c r="F752" s="102" t="str">
        <f t="shared" si="30"/>
        <v>WPC</v>
      </c>
    </row>
    <row r="753" spans="2:8" ht="17">
      <c r="B753" s="206" t="s">
        <v>2572</v>
      </c>
      <c r="C753" s="207" t="s">
        <v>337</v>
      </c>
      <c r="D753" s="207" t="s">
        <v>216</v>
      </c>
      <c r="E753" s="210" t="s">
        <v>2573</v>
      </c>
      <c r="F753" s="102" t="str">
        <f t="shared" si="30"/>
        <v>MKF</v>
      </c>
    </row>
    <row r="754" spans="2:8" ht="17">
      <c r="B754" s="206" t="s">
        <v>2574</v>
      </c>
      <c r="C754" s="207" t="s">
        <v>389</v>
      </c>
      <c r="D754" s="207" t="s">
        <v>389</v>
      </c>
      <c r="F754" s="102" t="str">
        <f t="shared" si="30"/>
        <v>KZG-</v>
      </c>
    </row>
    <row r="755" spans="2:8" ht="17">
      <c r="B755" s="206" t="s">
        <v>2575</v>
      </c>
      <c r="C755" s="207" t="s">
        <v>2576</v>
      </c>
      <c r="D755" s="207" t="s">
        <v>216</v>
      </c>
      <c r="E755" s="210" t="s">
        <v>2577</v>
      </c>
      <c r="F755" s="102" t="str">
        <f t="shared" si="30"/>
        <v>RA</v>
      </c>
    </row>
    <row r="756" spans="2:8" ht="17">
      <c r="B756" s="206" t="s">
        <v>2578</v>
      </c>
      <c r="C756" s="207" t="s">
        <v>305</v>
      </c>
      <c r="D756" s="207" t="s">
        <v>305</v>
      </c>
      <c r="E756" s="210" t="s">
        <v>2579</v>
      </c>
      <c r="F756" s="102" t="str">
        <f t="shared" si="30"/>
        <v>MK</v>
      </c>
    </row>
    <row r="757" spans="2:8" ht="17">
      <c r="B757" s="206" t="s">
        <v>2588</v>
      </c>
      <c r="C757" s="207" t="s">
        <v>2586</v>
      </c>
      <c r="D757" s="207" t="s">
        <v>216</v>
      </c>
      <c r="E757" s="210" t="s">
        <v>2587</v>
      </c>
      <c r="F757" s="102" t="str">
        <f t="shared" si="30"/>
        <v>SD</v>
      </c>
      <c r="H757" s="219" t="s">
        <v>2589</v>
      </c>
    </row>
    <row r="758" spans="2:8" ht="17">
      <c r="B758" s="206" t="s">
        <v>2597</v>
      </c>
      <c r="C758" s="207" t="s">
        <v>69</v>
      </c>
      <c r="D758" s="207" t="s">
        <v>216</v>
      </c>
      <c r="F758" s="102" t="str">
        <f t="shared" si="30"/>
        <v>HAAA</v>
      </c>
    </row>
    <row r="759" spans="2:8" ht="17">
      <c r="B759" s="206" t="s">
        <v>2598</v>
      </c>
      <c r="C759" s="207" t="s">
        <v>69</v>
      </c>
      <c r="D759" s="207" t="s">
        <v>216</v>
      </c>
      <c r="F759" s="102" t="str">
        <f t="shared" si="30"/>
        <v>AA</v>
      </c>
    </row>
    <row r="760" spans="2:8" ht="17">
      <c r="B760" s="206" t="s">
        <v>2608</v>
      </c>
      <c r="C760" s="207" t="s">
        <v>2606</v>
      </c>
      <c r="D760" s="207" t="s">
        <v>216</v>
      </c>
      <c r="E760" s="210" t="s">
        <v>2607</v>
      </c>
      <c r="F760" s="102" t="str">
        <f t="shared" si="30"/>
        <v>AR</v>
      </c>
      <c r="H760" s="219" t="s">
        <v>2605</v>
      </c>
    </row>
    <row r="761" spans="2:8" ht="17">
      <c r="B761" s="206" t="s">
        <v>2609</v>
      </c>
      <c r="C761" s="207" t="s">
        <v>69</v>
      </c>
      <c r="D761" s="207" t="s">
        <v>216</v>
      </c>
      <c r="E761" s="210" t="s">
        <v>2610</v>
      </c>
      <c r="F761" s="102" t="str">
        <f t="shared" si="30"/>
        <v>SOS</v>
      </c>
      <c r="H761" s="219" t="s">
        <v>2611</v>
      </c>
    </row>
    <row r="762" spans="2:8" ht="17">
      <c r="B762" s="206" t="s">
        <v>2614</v>
      </c>
      <c r="C762" s="207" t="s">
        <v>1678</v>
      </c>
      <c r="D762" s="207" t="s">
        <v>216</v>
      </c>
      <c r="E762" s="210" t="s">
        <v>2615</v>
      </c>
      <c r="F762" s="102" t="str">
        <f t="shared" si="30"/>
        <v>MA</v>
      </c>
    </row>
    <row r="763" spans="2:8" ht="17">
      <c r="B763" s="206" t="s">
        <v>2617</v>
      </c>
      <c r="C763" s="207" t="s">
        <v>216</v>
      </c>
      <c r="D763" s="207" t="s">
        <v>216</v>
      </c>
      <c r="E763" s="210" t="s">
        <v>2618</v>
      </c>
      <c r="F763" s="102" t="str">
        <f t="shared" si="30"/>
        <v>MJ</v>
      </c>
    </row>
    <row r="764" spans="2:8" ht="17">
      <c r="B764" s="206" t="s">
        <v>2619</v>
      </c>
      <c r="C764" s="207" t="s">
        <v>216</v>
      </c>
      <c r="D764" s="207" t="s">
        <v>216</v>
      </c>
      <c r="E764" s="210" t="s">
        <v>2620</v>
      </c>
      <c r="F764" s="102" t="str">
        <f t="shared" si="30"/>
        <v>DEL</v>
      </c>
      <c r="G764" s="208" t="s">
        <v>2622</v>
      </c>
      <c r="H764" s="209" t="s">
        <v>2621</v>
      </c>
    </row>
    <row r="765" spans="2:8" ht="17">
      <c r="B765" s="206" t="s">
        <v>2624</v>
      </c>
      <c r="C765" s="207" t="s">
        <v>216</v>
      </c>
      <c r="D765" s="207" t="s">
        <v>216</v>
      </c>
      <c r="E765" s="210" t="s">
        <v>2625</v>
      </c>
      <c r="F765" s="102" t="str">
        <f t="shared" si="30"/>
        <v>PB</v>
      </c>
    </row>
    <row r="766" spans="2:8" ht="17">
      <c r="B766" s="206" t="s">
        <v>2626</v>
      </c>
      <c r="C766" s="207" t="s">
        <v>216</v>
      </c>
      <c r="D766" s="207" t="s">
        <v>216</v>
      </c>
      <c r="F766" s="102" t="str">
        <f t="shared" si="30"/>
        <v>FD</v>
      </c>
    </row>
    <row r="767" spans="2:8" ht="17">
      <c r="B767" s="206" t="s">
        <v>2627</v>
      </c>
      <c r="C767" s="207" t="s">
        <v>216</v>
      </c>
      <c r="D767" s="207" t="s">
        <v>216</v>
      </c>
      <c r="E767" s="210" t="s">
        <v>2628</v>
      </c>
      <c r="F767" s="102" t="str">
        <f t="shared" si="30"/>
        <v>J</v>
      </c>
    </row>
    <row r="768" spans="2:8" ht="17">
      <c r="B768" s="206" t="s">
        <v>1553</v>
      </c>
      <c r="C768" s="207" t="s">
        <v>216</v>
      </c>
      <c r="D768" s="207" t="s">
        <v>216</v>
      </c>
      <c r="F768" s="102" t="str">
        <f t="shared" si="30"/>
        <v>C</v>
      </c>
    </row>
    <row r="769" spans="2:7" ht="17">
      <c r="B769" s="206" t="s">
        <v>2629</v>
      </c>
      <c r="C769" s="207" t="s">
        <v>2630</v>
      </c>
      <c r="D769" s="207" t="s">
        <v>955</v>
      </c>
      <c r="E769" s="210" t="s">
        <v>2631</v>
      </c>
      <c r="F769" s="102" t="str">
        <f t="shared" si="30"/>
        <v>MBH</v>
      </c>
    </row>
    <row r="770" spans="2:7" ht="17">
      <c r="B770" s="206" t="s">
        <v>2632</v>
      </c>
      <c r="C770" s="207" t="s">
        <v>634</v>
      </c>
      <c r="D770" s="207" t="s">
        <v>958</v>
      </c>
      <c r="E770" s="210" t="s">
        <v>2633</v>
      </c>
      <c r="F770" s="102" t="str">
        <f t="shared" si="30"/>
        <v>SE</v>
      </c>
    </row>
    <row r="771" spans="2:7" ht="17">
      <c r="B771" s="206" t="s">
        <v>2634</v>
      </c>
      <c r="C771" s="207" t="s">
        <v>414</v>
      </c>
      <c r="D771" s="207" t="s">
        <v>216</v>
      </c>
      <c r="E771" s="210" t="s">
        <v>2635</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2636</v>
      </c>
      <c r="C772" s="207" t="s">
        <v>216</v>
      </c>
      <c r="D772" s="207" t="s">
        <v>216</v>
      </c>
      <c r="F772" s="102" t="str">
        <f t="shared" si="31"/>
        <v>E</v>
      </c>
    </row>
    <row r="773" spans="2:7" ht="17">
      <c r="B773" s="206" t="s">
        <v>2637</v>
      </c>
      <c r="C773" s="210" t="s">
        <v>216</v>
      </c>
      <c r="D773" s="207" t="s">
        <v>216</v>
      </c>
      <c r="E773" s="210" t="s">
        <v>2638</v>
      </c>
      <c r="F773" s="102" t="str">
        <f t="shared" si="31"/>
        <v>MY</v>
      </c>
    </row>
    <row r="774" spans="2:7" ht="17">
      <c r="B774" s="206" t="s">
        <v>2640</v>
      </c>
      <c r="C774" s="207" t="s">
        <v>216</v>
      </c>
      <c r="D774" s="207" t="s">
        <v>216</v>
      </c>
      <c r="F774" s="102" t="str">
        <f t="shared" si="31"/>
        <v>MEA</v>
      </c>
    </row>
    <row r="775" spans="2:7" ht="17">
      <c r="B775" s="206" t="s">
        <v>2641</v>
      </c>
      <c r="C775" s="207" t="s">
        <v>216</v>
      </c>
      <c r="D775" s="207" t="s">
        <v>216</v>
      </c>
      <c r="E775" s="210" t="s">
        <v>2642</v>
      </c>
      <c r="F775" s="102" t="str">
        <f t="shared" si="31"/>
        <v>F</v>
      </c>
    </row>
    <row r="776" spans="2:7" ht="17">
      <c r="B776" s="206" t="s">
        <v>2643</v>
      </c>
      <c r="C776" s="207" t="s">
        <v>216</v>
      </c>
      <c r="D776" s="207" t="s">
        <v>216</v>
      </c>
      <c r="E776" s="210" t="s">
        <v>2644</v>
      </c>
      <c r="F776" s="102" t="str">
        <f t="shared" si="31"/>
        <v>DY</v>
      </c>
    </row>
    <row r="777" spans="2:7" ht="34">
      <c r="B777" s="206" t="s">
        <v>2645</v>
      </c>
      <c r="C777" s="207" t="s">
        <v>216</v>
      </c>
      <c r="D777" s="207" t="s">
        <v>216</v>
      </c>
      <c r="E777" s="210" t="s">
        <v>2646</v>
      </c>
      <c r="F777" s="102" t="str">
        <f t="shared" si="31"/>
        <v>G</v>
      </c>
    </row>
    <row r="778" spans="2:7" ht="17">
      <c r="B778" s="206" t="s">
        <v>2647</v>
      </c>
      <c r="C778" s="207" t="s">
        <v>216</v>
      </c>
      <c r="D778" s="207" t="s">
        <v>216</v>
      </c>
      <c r="E778" s="210" t="s">
        <v>2648</v>
      </c>
      <c r="F778" s="102" t="str">
        <f t="shared" si="31"/>
        <v>N</v>
      </c>
    </row>
    <row r="779" spans="2:7" ht="17">
      <c r="B779" s="206" t="s">
        <v>2651</v>
      </c>
      <c r="C779" s="207" t="s">
        <v>414</v>
      </c>
      <c r="D779" s="207" t="s">
        <v>216</v>
      </c>
      <c r="F779" s="102" t="str">
        <f t="shared" si="31"/>
        <v>KIS-</v>
      </c>
    </row>
    <row r="780" spans="2:7" ht="34">
      <c r="B780" s="206" t="s">
        <v>2653</v>
      </c>
      <c r="C780" s="207" t="s">
        <v>216</v>
      </c>
      <c r="D780" s="207" t="s">
        <v>216</v>
      </c>
      <c r="E780" s="210" t="s">
        <v>2654</v>
      </c>
      <c r="F780" s="102" t="str">
        <f t="shared" si="31"/>
        <v>KOA</v>
      </c>
    </row>
    <row r="781" spans="2:7" ht="34">
      <c r="B781" s="206" t="s">
        <v>2656</v>
      </c>
      <c r="C781" s="207" t="s">
        <v>216</v>
      </c>
      <c r="D781" s="207" t="s">
        <v>216</v>
      </c>
      <c r="E781" s="210" t="s">
        <v>2657</v>
      </c>
      <c r="F781" s="102" t="str">
        <f t="shared" si="31"/>
        <v>CK</v>
      </c>
    </row>
    <row r="782" spans="2:7" ht="17">
      <c r="B782" s="206" t="s">
        <v>2658</v>
      </c>
      <c r="C782" s="207" t="s">
        <v>216</v>
      </c>
      <c r="D782" s="207" t="s">
        <v>216</v>
      </c>
      <c r="E782" s="210" t="s">
        <v>2659</v>
      </c>
      <c r="F782" s="102" t="str">
        <f t="shared" si="31"/>
        <v>KS</v>
      </c>
    </row>
    <row r="783" spans="2:7" ht="17">
      <c r="B783" s="206" t="s">
        <v>2664</v>
      </c>
      <c r="C783" s="207" t="s">
        <v>352</v>
      </c>
      <c r="D783" s="207" t="s">
        <v>216</v>
      </c>
      <c r="E783" s="210" t="s">
        <v>2665</v>
      </c>
      <c r="F783" s="102" t="str">
        <f t="shared" si="31"/>
        <v>DA</v>
      </c>
      <c r="G783" s="208" t="s">
        <v>2666</v>
      </c>
    </row>
    <row r="784" spans="2:7" ht="17">
      <c r="B784" s="206" t="s">
        <v>2672</v>
      </c>
      <c r="C784" s="207" t="s">
        <v>157</v>
      </c>
      <c r="D784" s="207" t="s">
        <v>216</v>
      </c>
      <c r="E784" s="210" t="s">
        <v>2673</v>
      </c>
      <c r="F784" s="102" t="str">
        <f t="shared" si="31"/>
        <v>PI</v>
      </c>
      <c r="G784" s="208" t="s">
        <v>2671</v>
      </c>
    </row>
    <row r="785" spans="2:8" ht="34">
      <c r="B785" s="206" t="s">
        <v>2674</v>
      </c>
      <c r="C785" s="207" t="s">
        <v>2675</v>
      </c>
      <c r="D785" s="207" t="s">
        <v>216</v>
      </c>
      <c r="E785" s="210" t="s">
        <v>2673</v>
      </c>
      <c r="F785" s="102" t="str">
        <f t="shared" si="31"/>
        <v>EGA</v>
      </c>
    </row>
    <row r="786" spans="2:8" ht="17">
      <c r="B786" s="206" t="s">
        <v>2676</v>
      </c>
      <c r="C786" s="207" t="s">
        <v>770</v>
      </c>
      <c r="D786" s="207" t="s">
        <v>216</v>
      </c>
      <c r="F786" s="102" t="str">
        <f t="shared" si="31"/>
        <v>F</v>
      </c>
    </row>
    <row r="787" spans="2:8" ht="17">
      <c r="B787" s="206" t="s">
        <v>2701</v>
      </c>
      <c r="C787" s="207" t="s">
        <v>216</v>
      </c>
      <c r="D787" s="207" t="s">
        <v>216</v>
      </c>
      <c r="E787" s="210" t="s">
        <v>2702</v>
      </c>
      <c r="F787" s="102" t="str">
        <f t="shared" si="31"/>
        <v>R</v>
      </c>
    </row>
    <row r="788" spans="2:8" ht="17">
      <c r="B788" s="206" t="s">
        <v>2703</v>
      </c>
      <c r="C788" s="207" t="s">
        <v>628</v>
      </c>
      <c r="D788" s="207" t="s">
        <v>216</v>
      </c>
      <c r="F788" s="102" t="str">
        <f t="shared" si="31"/>
        <v>MP</v>
      </c>
    </row>
    <row r="789" spans="2:8" ht="17">
      <c r="B789" s="206" t="s">
        <v>2704</v>
      </c>
      <c r="C789" s="207" t="s">
        <v>93</v>
      </c>
      <c r="D789" s="207" t="s">
        <v>216</v>
      </c>
      <c r="F789" s="102" t="str">
        <f t="shared" si="31"/>
        <v>MJ</v>
      </c>
    </row>
    <row r="790" spans="2:8" ht="17">
      <c r="B790" s="206" t="s">
        <v>2705</v>
      </c>
      <c r="C790" s="207" t="s">
        <v>2706</v>
      </c>
      <c r="D790" s="207" t="s">
        <v>216</v>
      </c>
      <c r="F790" s="102" t="str">
        <f t="shared" si="31"/>
        <v>MD</v>
      </c>
      <c r="G790" s="208" t="s">
        <v>2705</v>
      </c>
    </row>
    <row r="791" spans="2:8" ht="17">
      <c r="B791" s="206" t="s">
        <v>2707</v>
      </c>
      <c r="C791" s="207" t="s">
        <v>216</v>
      </c>
      <c r="D791" s="207" t="s">
        <v>216</v>
      </c>
      <c r="F791" s="102" t="str">
        <f t="shared" si="31"/>
        <v>MC</v>
      </c>
    </row>
    <row r="792" spans="2:8" ht="17">
      <c r="B792" s="206" t="s">
        <v>2765</v>
      </c>
      <c r="C792" s="207" t="s">
        <v>32</v>
      </c>
      <c r="D792" s="207" t="s">
        <v>216</v>
      </c>
      <c r="F792" s="102" t="str">
        <f t="shared" si="31"/>
        <v>MM</v>
      </c>
    </row>
    <row r="793" spans="2:8" ht="17">
      <c r="B793" s="206" t="s">
        <v>2766</v>
      </c>
      <c r="C793" s="207" t="s">
        <v>216</v>
      </c>
      <c r="D793" s="207" t="s">
        <v>216</v>
      </c>
      <c r="E793" s="210" t="s">
        <v>2768</v>
      </c>
      <c r="F793" s="102" t="str">
        <f t="shared" si="31"/>
        <v>AE</v>
      </c>
      <c r="G793" s="208" t="s">
        <v>2767</v>
      </c>
    </row>
    <row r="794" spans="2:8" ht="17">
      <c r="B794" s="206" t="s">
        <v>2774</v>
      </c>
      <c r="C794" s="207" t="s">
        <v>216</v>
      </c>
      <c r="D794" s="207" t="s">
        <v>216</v>
      </c>
      <c r="E794" s="210" t="s">
        <v>2775</v>
      </c>
      <c r="F794" s="102" t="str">
        <f t="shared" si="31"/>
        <v>ML</v>
      </c>
    </row>
    <row r="795" spans="2:8" ht="17">
      <c r="B795" s="206" t="s">
        <v>2778</v>
      </c>
      <c r="C795" s="207" t="s">
        <v>466</v>
      </c>
      <c r="D795" s="207" t="s">
        <v>954</v>
      </c>
      <c r="E795" s="210" t="s">
        <v>2779</v>
      </c>
      <c r="F795" s="102" t="str">
        <f t="shared" si="31"/>
        <v>JM</v>
      </c>
    </row>
    <row r="796" spans="2:8" ht="17">
      <c r="B796" s="206" t="s">
        <v>2780</v>
      </c>
      <c r="C796" s="207" t="s">
        <v>2781</v>
      </c>
      <c r="D796" s="207" t="s">
        <v>2782</v>
      </c>
      <c r="F796" s="102" t="str">
        <f t="shared" si="31"/>
        <v>SPGH</v>
      </c>
    </row>
    <row r="797" spans="2:8" ht="17">
      <c r="B797" s="206" t="s">
        <v>2783</v>
      </c>
      <c r="C797" s="207" t="s">
        <v>856</v>
      </c>
      <c r="D797" s="207" t="s">
        <v>856</v>
      </c>
      <c r="E797" s="210" t="s">
        <v>2784</v>
      </c>
      <c r="F797" s="102" t="str">
        <f t="shared" si="31"/>
        <v>E-ST</v>
      </c>
    </row>
    <row r="798" spans="2:8" ht="17">
      <c r="B798" s="206" t="s">
        <v>2785</v>
      </c>
      <c r="C798" s="207" t="s">
        <v>42</v>
      </c>
      <c r="D798" s="207" t="s">
        <v>1499</v>
      </c>
      <c r="E798" s="210" t="s">
        <v>2786</v>
      </c>
      <c r="F798" s="102" t="str">
        <f t="shared" si="31"/>
        <v>PS</v>
      </c>
    </row>
    <row r="799" spans="2:8" ht="17">
      <c r="B799" s="206" t="s">
        <v>2787</v>
      </c>
      <c r="C799" s="207" t="s">
        <v>216</v>
      </c>
      <c r="D799" s="207" t="s">
        <v>216</v>
      </c>
      <c r="E799" s="210" t="s">
        <v>2788</v>
      </c>
      <c r="F799" s="102" t="str">
        <f t="shared" si="31"/>
        <v>BE</v>
      </c>
      <c r="G799" s="208" t="s">
        <v>2789</v>
      </c>
      <c r="H799" s="219" t="s">
        <v>2790</v>
      </c>
    </row>
    <row r="800" spans="2:8" ht="34">
      <c r="B800" s="206" t="s">
        <v>2791</v>
      </c>
      <c r="C800" s="207" t="s">
        <v>2792</v>
      </c>
      <c r="D800" s="207" t="s">
        <v>35</v>
      </c>
      <c r="E800" s="210" t="s">
        <v>2793</v>
      </c>
      <c r="F800" s="102" t="str">
        <f t="shared" si="31"/>
        <v>PGL</v>
      </c>
      <c r="G800" s="208" t="s">
        <v>2794</v>
      </c>
    </row>
    <row r="801" spans="2:7" ht="17">
      <c r="B801" s="206" t="s">
        <v>2797</v>
      </c>
      <c r="C801" s="207" t="s">
        <v>742</v>
      </c>
      <c r="D801" s="207" t="s">
        <v>216</v>
      </c>
      <c r="E801" s="210" t="s">
        <v>2798</v>
      </c>
      <c r="F801" s="102" t="str">
        <f t="shared" si="31"/>
        <v>A</v>
      </c>
    </row>
    <row r="802" spans="2:7" ht="17">
      <c r="B802" s="206" t="s">
        <v>2799</v>
      </c>
      <c r="C802" s="207" t="s">
        <v>2800</v>
      </c>
      <c r="D802" s="207" t="s">
        <v>955</v>
      </c>
      <c r="E802" s="210" t="s">
        <v>2801</v>
      </c>
      <c r="F802" s="102" t="str">
        <f t="shared" si="31"/>
        <v>PEL</v>
      </c>
    </row>
    <row r="803" spans="2:7" ht="17">
      <c r="B803" s="206" t="s">
        <v>2802</v>
      </c>
      <c r="C803" s="207" t="s">
        <v>192</v>
      </c>
      <c r="D803" s="207" t="s">
        <v>216</v>
      </c>
      <c r="E803" s="210" t="s">
        <v>2803</v>
      </c>
      <c r="F803" s="102" t="str">
        <f t="shared" si="31"/>
        <v>S</v>
      </c>
    </row>
    <row r="804" spans="2:7" ht="17">
      <c r="B804" s="206" t="s">
        <v>2804</v>
      </c>
      <c r="C804" s="207" t="s">
        <v>216</v>
      </c>
      <c r="D804" s="207" t="s">
        <v>216</v>
      </c>
      <c r="E804" s="210" t="s">
        <v>2805</v>
      </c>
      <c r="F804" s="102" t="str">
        <f t="shared" si="31"/>
        <v>F-DB</v>
      </c>
    </row>
    <row r="805" spans="2:7" ht="17">
      <c r="B805" s="206" t="s">
        <v>2806</v>
      </c>
      <c r="C805" s="207" t="s">
        <v>856</v>
      </c>
      <c r="D805" s="207" t="s">
        <v>856</v>
      </c>
      <c r="F805" s="102" t="str">
        <f t="shared" si="31"/>
        <v>MB</v>
      </c>
    </row>
    <row r="806" spans="2:7" ht="17">
      <c r="B806" s="206" t="s">
        <v>2807</v>
      </c>
      <c r="C806" s="207" t="s">
        <v>805</v>
      </c>
      <c r="D806" s="207" t="s">
        <v>216</v>
      </c>
      <c r="E806" s="210" t="s">
        <v>2808</v>
      </c>
      <c r="F806" s="102" t="str">
        <f t="shared" si="31"/>
        <v>MN</v>
      </c>
    </row>
    <row r="807" spans="2:7" ht="17">
      <c r="B807" s="206" t="s">
        <v>2809</v>
      </c>
      <c r="C807" s="207" t="s">
        <v>342</v>
      </c>
      <c r="D807" s="207" t="s">
        <v>342</v>
      </c>
      <c r="E807" s="210" t="s">
        <v>1097</v>
      </c>
      <c r="F807" s="102" t="str">
        <f t="shared" si="31"/>
        <v>AB-T</v>
      </c>
    </row>
    <row r="808" spans="2:7" ht="17">
      <c r="B808" s="206" t="s">
        <v>2810</v>
      </c>
      <c r="C808" s="207" t="s">
        <v>29</v>
      </c>
      <c r="D808" s="207" t="s">
        <v>216</v>
      </c>
      <c r="E808" s="210" t="s">
        <v>2811</v>
      </c>
      <c r="F808" s="102" t="str">
        <f t="shared" si="31"/>
        <v>MR</v>
      </c>
    </row>
    <row r="809" spans="2:7" ht="17">
      <c r="B809" s="206" t="s">
        <v>2812</v>
      </c>
      <c r="C809" s="207" t="s">
        <v>2813</v>
      </c>
      <c r="D809" s="207" t="s">
        <v>51</v>
      </c>
      <c r="E809" s="210" t="s">
        <v>2814</v>
      </c>
      <c r="F809" s="102" t="str">
        <f t="shared" si="31"/>
        <v>AV</v>
      </c>
    </row>
    <row r="810" spans="2:7" ht="17">
      <c r="B810" s="206" t="s">
        <v>2815</v>
      </c>
      <c r="C810" s="207" t="s">
        <v>51</v>
      </c>
      <c r="D810" s="207" t="s">
        <v>51</v>
      </c>
      <c r="F810" s="102" t="str">
        <f t="shared" si="31"/>
        <v>PMC</v>
      </c>
      <c r="G810" s="208" t="s">
        <v>2816</v>
      </c>
    </row>
    <row r="811" spans="2:7" ht="17">
      <c r="B811" s="206" t="s">
        <v>2817</v>
      </c>
      <c r="C811" s="207" t="s">
        <v>216</v>
      </c>
      <c r="D811" s="207" t="s">
        <v>216</v>
      </c>
      <c r="E811" s="210" t="s">
        <v>2818</v>
      </c>
      <c r="F811" s="102" t="str">
        <f t="shared" si="31"/>
        <v>AA</v>
      </c>
    </row>
    <row r="812" spans="2:7" ht="34">
      <c r="B812" s="206" t="s">
        <v>2819</v>
      </c>
      <c r="C812" s="207" t="s">
        <v>2675</v>
      </c>
      <c r="D812" s="207" t="s">
        <v>216</v>
      </c>
      <c r="E812" s="210" t="s">
        <v>2820</v>
      </c>
      <c r="F812" s="102" t="str">
        <f t="shared" si="31"/>
        <v>JB</v>
      </c>
    </row>
    <row r="813" spans="2:7" ht="17">
      <c r="B813" s="206" t="s">
        <v>2821</v>
      </c>
      <c r="C813" s="207" t="s">
        <v>2822</v>
      </c>
      <c r="D813" s="207" t="s">
        <v>954</v>
      </c>
      <c r="E813" s="210" t="s">
        <v>2823</v>
      </c>
      <c r="F813" s="102" t="str">
        <f t="shared" si="31"/>
        <v>A</v>
      </c>
    </row>
    <row r="814" spans="2:7" ht="17">
      <c r="B814" s="206" t="s">
        <v>2824</v>
      </c>
      <c r="C814" s="207" t="s">
        <v>627</v>
      </c>
      <c r="D814" s="207" t="s">
        <v>216</v>
      </c>
      <c r="E814" s="210" t="s">
        <v>2825</v>
      </c>
      <c r="F814" s="102" t="str">
        <f t="shared" si="31"/>
        <v>DI</v>
      </c>
    </row>
    <row r="815" spans="2:7" ht="17">
      <c r="B815" s="206" t="s">
        <v>2827</v>
      </c>
      <c r="C815" s="207" t="s">
        <v>566</v>
      </c>
      <c r="D815" s="207" t="s">
        <v>216</v>
      </c>
      <c r="F815" s="102" t="str">
        <f t="shared" si="31"/>
        <v>R-A</v>
      </c>
    </row>
    <row r="816" spans="2:7" ht="17">
      <c r="B816" s="206" t="s">
        <v>2124</v>
      </c>
      <c r="C816" s="207" t="s">
        <v>216</v>
      </c>
      <c r="D816" s="207" t="s">
        <v>216</v>
      </c>
      <c r="F816" s="102" t="str">
        <f t="shared" si="31"/>
        <v>A</v>
      </c>
    </row>
    <row r="817" spans="2:6" ht="17">
      <c r="B817" s="206" t="s">
        <v>2828</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5" priority="9" operator="equal">
      <formula>0</formula>
    </cfRule>
  </conditionalFormatting>
  <conditionalFormatting sqref="A437:E520">
    <cfRule type="cellIs" dxfId="54" priority="3" operator="equal">
      <formula>0</formula>
    </cfRule>
  </conditionalFormatting>
  <conditionalFormatting sqref="A524:E567 A568 A569:E658 A659:D659">
    <cfRule type="cellIs" dxfId="53" priority="11" operator="equal">
      <formula>0</formula>
    </cfRule>
  </conditionalFormatting>
  <conditionalFormatting sqref="A660:E1522">
    <cfRule type="cellIs" dxfId="52"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51" priority="12" operator="equal">
      <formula>0</formula>
    </cfRule>
  </conditionalFormatting>
  <conditionalFormatting sqref="B422:E422">
    <cfRule type="cellIs" dxfId="50" priority="10" operator="equal">
      <formula>0</formula>
    </cfRule>
  </conditionalFormatting>
  <conditionalFormatting sqref="B436:E437">
    <cfRule type="cellIs" dxfId="49" priority="8" operator="equal">
      <formula>0</formula>
    </cfRule>
  </conditionalFormatting>
  <conditionalFormatting sqref="T1:V1 U2:XFD211">
    <cfRule type="cellIs" dxfId="48"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C26" sqref="C26"/>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1742</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2830</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45797.666954398148</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TSL-TR-200525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1726</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3kVA inverter, 90kWh Battery, 24.2kWp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Base'!$I$15="MANUAL",IFERROR(INDEX(Items!B$6:B$680,SMALL(IF(Items!B$6:B$680&lt;&gt;"",ROW(Items!B$6:B$680)-MIN(ROW(Items!B$6:B$680))+1),Items!N6)),""),IF('Customer Base'!$I$15="AUTOMATE",IFERROR(INDEX(Items!A$6:A$680,SMALL(IF(Items!A$6:A$680&lt;&gt;"",ROW(Items!A$6:A$680)-MIN(ROW(Items!A$6:A$680))+1),Items!N6)),""),""))</f>
        <v>1</v>
      </c>
      <c r="C18" s="279" t="str">
        <f t="array" aca="1" ref="C18" ca="1">IFERROR(INDEX(Items!O:O,SMALL(IF(Items!$O$6:$O$677&lt;&gt;"",ROW(Items!$O$6:$O$677)),Items!N6)),"gdhgf")</f>
        <v>Victron MultiPlus-II 48/3000/35-32 230V</v>
      </c>
      <c r="D18" s="280"/>
      <c r="E18" s="280"/>
      <c r="F18" s="281"/>
      <c r="G18" s="281"/>
      <c r="H18" s="281"/>
      <c r="I18" s="281"/>
      <c r="J18" s="285">
        <f ca="1">IF('Customer Base'!I$12="DISPLAY TAX",IF('Customer Base'!$I$17="Retail",IF($K$14="USD",IF(ISNA(VLOOKUP(C18,Items!C$6:F$599,4,0)),"",(VLOOKUP(C18,Items!C$6:F$599,4,0))),IF($K$14="GH₵",IF(ISNA(VLOOKUP(C18,Items!C$6:G$599,5,0)),"",(VLOOKUP(C18,Items!C$6:G$599,5,0))),"")),IF('Customer Base'!$I$17="Super Dealer",IF($K$14="USD",IF(ISNA(VLOOKUP(C18,Items!C$6:I$599,6,0)),"",(VLOOKUP(C18,Items!C$6:I$599,6,0))),IF($K$14="GH₵",IF(ISNA(VLOOKUP(C18,Items!C$6:I$599,7,0)),"",(VLOOKUP(C18,Items!C$6:I$599,7,0))),"")),"")),IF('Customer Base'!I$12="DO NOT DISPLAY TAX",IF('Customer Base'!$I$17="Retail",IF($K$14="USD",IF(ISNA(VLOOKUP(C18,Items!C$6:F$599,2,0)),"",(VLOOKUP(C18,Items!C$6:F$599,2,0))),IF($K$14="GH₵",IF(ISNA(VLOOKUP(C18,Items!C$6:G$599,2,0)),"",'Customer Base'!J$5*(VLOOKUP(C18,Items!C$6:G$599,2,0))),"")),IF('Customer Base'!$I$17="Super Dealer",IF($K$14="USD",IF(ISNA(VLOOKUP(C18,Items!C$6:I$599,3,0)),"",(VLOOKUP(C18,Items!C$6:I$599,3,0))),IF($K$14="GH₵",IF(ISNA(VLOOKUP(C18,Items!C$6:I$599,3,0)),"",'Customer Base'!J$5*(VLOOKUP(C18,Items!C$6:I$599,3,0))),"")),"")),""))</f>
        <v>9477.92</v>
      </c>
      <c r="K18" s="282">
        <f t="shared" ref="K18:K56" ca="1" si="0">IFERROR(SUM(B18*J18),"")</f>
        <v>9477.92</v>
      </c>
      <c r="L18" s="49"/>
      <c r="M18" s="48"/>
      <c r="N18" s="48"/>
      <c r="O18" s="48"/>
      <c r="P18" s="48"/>
      <c r="Q18" s="48"/>
      <c r="R18" s="48"/>
    </row>
    <row r="19" spans="1:115 16131:16136" ht="15.75" customHeight="1">
      <c r="A19" s="1"/>
      <c r="B19" s="294">
        <f t="array" aca="1" ref="B19" ca="1">IF('Customer Base'!$I$15="MANUAL",IFERROR(INDEX(Items!B$6:B$680,SMALL(IF(Items!B$6:B$680&lt;&gt;"",ROW(Items!B$6:B$680)-MIN(ROW(Items!B$6:B$680))+1),Items!N7)),""),IF('Customer Base'!$I$15="AUTOMATE",IFERROR(INDEX(Items!A$6:A$680,SMALL(IF(Items!A$6:A$680&lt;&gt;"",ROW(Items!A$6:A$680)-MIN(ROW(Items!A$6:A$680))+1),Items!N7)),""),""))</f>
        <v>18</v>
      </c>
      <c r="C19" s="279" t="str">
        <f t="array" aca="1" ref="C19" ca="1">IFERROR(INDEX(Items!O:O,SMALL(IF(Items!$O$6:$O$677&lt;&gt;"",ROW(Items!$O$6:$O$677)),Items!N7)),"")</f>
        <v>BYD LV 5.0KWH Lithium Battery</v>
      </c>
      <c r="D19" s="280"/>
      <c r="E19" s="280"/>
      <c r="F19" s="281"/>
      <c r="G19" s="281"/>
      <c r="H19" s="281"/>
      <c r="I19" s="281"/>
      <c r="J19" s="285">
        <f ca="1">IF('Customer Base'!I$12="DISPLAY TAX",IF('Customer Base'!$I$17="Retail",IF($K$14="USD",IF(ISNA(VLOOKUP(C19,Items!C$6:F$599,4,0)),"",(VLOOKUP(C19,Items!C$6:F$599,4,0))),IF($K$14="GH₵",IF(ISNA(VLOOKUP(C19,Items!C$6:G$599,5,0)),"",(VLOOKUP(C19,Items!C$6:G$599,5,0))),"")),IF('Customer Base'!$I$17="Super Dealer",IF($K$14="USD",IF(ISNA(VLOOKUP(C19,Items!C$6:I$599,6,0)),"",(VLOOKUP(C19,Items!C$6:I$599,6,0))),IF($K$14="GH₵",IF(ISNA(VLOOKUP(C19,Items!C$6:I$599,7,0)),"",(VLOOKUP(C19,Items!C$6:I$599,7,0))),"")),"")),IF('Customer Base'!I$12="DO NOT DISPLAY TAX",IF('Customer Base'!$I$17="Retail",IF($K$14="USD",IF(ISNA(VLOOKUP(C19,Items!C$6:F$599,2,0)),"",(VLOOKUP(C19,Items!C$6:F$599,2,0))),IF($K$14="GH₵",IF(ISNA(VLOOKUP(C19,Items!C$6:G$599,2,0)),"",'Customer Base'!J$5*(VLOOKUP(C19,Items!C$6:G$599,2,0))),"")),IF('Customer Base'!$I$17="Super Dealer",IF($K$14="USD",IF(ISNA(VLOOKUP(C19,Items!C$6:I$599,3,0)),"",(VLOOKUP(C19,Items!C$6:I$599,3,0))),IF($K$14="GH₵",IF(ISNA(VLOOKUP(C19,Items!C$6:I$599,3,0)),"",'Customer Base'!J$5*(VLOOKUP(C19,Items!C$6:I$599,3,0))),"")),"")),""))</f>
        <v>18200</v>
      </c>
      <c r="K19" s="282">
        <f t="shared" ca="1" si="0"/>
        <v>327600</v>
      </c>
      <c r="L19" s="49"/>
      <c r="M19" s="48"/>
      <c r="N19" s="48"/>
      <c r="O19" s="48"/>
      <c r="P19" s="48"/>
      <c r="Q19" s="48"/>
      <c r="R19" s="48"/>
    </row>
    <row r="20" spans="1:115 16131:16136" ht="15.75" customHeight="1">
      <c r="A20" s="1"/>
      <c r="B20" s="294">
        <f t="array" aca="1" ref="B20" ca="1">IF('Customer Base'!$I$15="MANUAL",IFERROR(INDEX(Items!B$6:B$680,SMALL(IF(Items!B$6:B$680&lt;&gt;"",ROW(Items!B$6:B$680)-MIN(ROW(Items!B$6:B$680))+1),Items!N8)),""),IF('Customer Base'!$I$15="AUTOMATE",IFERROR(INDEX(Items!A$6:A$680,SMALL(IF(Items!A$6:A$680&lt;&gt;"",ROW(Items!A$6:A$680)-MIN(ROW(Items!A$6:A$680))+1),Items!N8)),""),""))</f>
        <v>40</v>
      </c>
      <c r="C20" s="279" t="str">
        <f t="array" aca="1" ref="C20" ca="1">IFERROR(INDEX(Items!O:O,SMALL(IF(Items!$O$6:$O$677&lt;&gt;"",ROW(Items!$O$6:$O$677)),Items!N8)),"")</f>
        <v>JA Solar JAM66-S45 605 Watts Solar Panel</v>
      </c>
      <c r="D20" s="280"/>
      <c r="E20" s="280"/>
      <c r="F20" s="281"/>
      <c r="G20" s="281"/>
      <c r="H20" s="281"/>
      <c r="I20" s="281"/>
      <c r="J20" s="285">
        <f ca="1">IF('Customer Base'!I$12="DISPLAY TAX",IF('Customer Base'!$I$17="Retail",IF($K$14="USD",IF(ISNA(VLOOKUP(C20,Items!C$6:F$599,4,0)),"",(VLOOKUP(C20,Items!C$6:F$599,4,0))),IF($K$14="GH₵",IF(ISNA(VLOOKUP(C20,Items!C$6:G$599,5,0)),"",(VLOOKUP(C20,Items!C$6:G$599,5,0))),"")),IF('Customer Base'!$I$17="Super Dealer",IF($K$14="USD",IF(ISNA(VLOOKUP(C20,Items!C$6:I$599,6,0)),"",(VLOOKUP(C20,Items!C$6:I$599,6,0))),IF($K$14="GH₵",IF(ISNA(VLOOKUP(C20,Items!C$6:I$599,7,0)),"",(VLOOKUP(C20,Items!C$6:I$599,7,0))),"")),"")),IF('Customer Base'!I$12="DO NOT DISPLAY TAX",IF('Customer Base'!$I$17="Retail",IF($K$14="USD",IF(ISNA(VLOOKUP(C20,Items!C$6:F$599,2,0)),"",(VLOOKUP(C20,Items!C$6:F$599,2,0))),IF($K$14="GH₵",IF(ISNA(VLOOKUP(C20,Items!C$6:G$599,2,0)),"",'Customer Base'!J$5*(VLOOKUP(C20,Items!C$6:G$599,2,0))),"")),IF('Customer Base'!$I$17="Super Dealer",IF($K$14="USD",IF(ISNA(VLOOKUP(C20,Items!C$6:I$599,3,0)),"",(VLOOKUP(C20,Items!C$6:I$599,3,0))),IF($K$14="GH₵",IF(ISNA(VLOOKUP(C20,Items!C$6:I$599,3,0)),"",'Customer Base'!J$5*(VLOOKUP(C20,Items!C$6:I$599,3,0))),"")),"")),""))</f>
        <v>1844.08</v>
      </c>
      <c r="K20" s="282">
        <f t="shared" ca="1" si="0"/>
        <v>73763.199999999997</v>
      </c>
      <c r="L20" s="49"/>
      <c r="M20" s="48"/>
      <c r="N20" s="48"/>
      <c r="O20" s="48"/>
      <c r="P20" s="48"/>
      <c r="Q20" s="48"/>
      <c r="R20" s="48"/>
    </row>
    <row r="21" spans="1:115 16131:16136" ht="15.75" customHeight="1">
      <c r="A21" s="1"/>
      <c r="B21" s="294">
        <f t="array" aca="1" ref="B21" ca="1">IF('Customer Base'!$I$15="MANUAL",IFERROR(INDEX(Items!B$6:B$680,SMALL(IF(Items!B$6:B$680&lt;&gt;"",ROW(Items!B$6:B$680)-MIN(ROW(Items!B$6:B$680))+1),Items!N9)),""),IF('Customer Base'!$I$15="AUTOMATE",IFERROR(INDEX(Items!A$6:A$680,SMALL(IF(Items!A$6:A$680&lt;&gt;"",ROW(Items!A$6:A$680)-MIN(ROW(Items!A$6:A$680))+1),Items!N9)),""),""))</f>
        <v>1</v>
      </c>
      <c r="C21" s="279" t="str">
        <f t="array" aca="1" ref="C21" ca="1">IFERROR(INDEX(Items!O:O,SMALL(IF(Items!$O$6:$O$677&lt;&gt;"",ROW(Items!$O$6:$O$677)),Items!N9)),"")</f>
        <v>Victron SmartSolar MPPT 150/35</v>
      </c>
      <c r="D21" s="280"/>
      <c r="E21" s="280"/>
      <c r="F21" s="281"/>
      <c r="G21" s="281"/>
      <c r="H21" s="281"/>
      <c r="I21" s="281"/>
      <c r="J21" s="285">
        <f ca="1">IF('Customer Base'!I$12="DISPLAY TAX",IF('Customer Base'!$I$17="Retail",IF($K$14="USD",IF(ISNA(VLOOKUP(C21,Items!C$6:F$599,4,0)),"",(VLOOKUP(C21,Items!C$6:F$599,4,0))),IF($K$14="GH₵",IF(ISNA(VLOOKUP(C21,Items!C$6:G$599,5,0)),"",(VLOOKUP(C21,Items!C$6:G$599,5,0))),"")),IF('Customer Base'!$I$17="Super Dealer",IF($K$14="USD",IF(ISNA(VLOOKUP(C21,Items!C$6:I$599,6,0)),"",(VLOOKUP(C21,Items!C$6:I$599,6,0))),IF($K$14="GH₵",IF(ISNA(VLOOKUP(C21,Items!C$6:I$599,7,0)),"",(VLOOKUP(C21,Items!C$6:I$599,7,0))),"")),"")),IF('Customer Base'!I$12="DO NOT DISPLAY TAX",IF('Customer Base'!$I$17="Retail",IF($K$14="USD",IF(ISNA(VLOOKUP(C21,Items!C$6:F$599,2,0)),"",(VLOOKUP(C21,Items!C$6:F$599,2,0))),IF($K$14="GH₵",IF(ISNA(VLOOKUP(C21,Items!C$6:G$599,2,0)),"",'Customer Base'!J$5*(VLOOKUP(C21,Items!C$6:G$599,2,0))),"")),IF('Customer Base'!$I$17="Super Dealer",IF($K$14="USD",IF(ISNA(VLOOKUP(C21,Items!C$6:I$599,3,0)),"",(VLOOKUP(C21,Items!C$6:I$599,3,0))),IF($K$14="GH₵",IF(ISNA(VLOOKUP(C21,Items!C$6:I$599,3,0)),"",'Customer Base'!J$5*(VLOOKUP(C21,Items!C$6:I$599,3,0))),"")),"")),""))</f>
        <v>2990.88</v>
      </c>
      <c r="K21" s="282">
        <f t="shared" ca="1" si="0"/>
        <v>2990.88</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Base'!$I$15="MANUAL",IFERROR(INDEX(Items!B$6:B$680,SMALL(IF(Items!B$6:B$680&lt;&gt;"",ROW(Items!B$6:B$680)-MIN(ROW(Items!B$6:B$680))+1),Items!N10)),""),IF('Customer Base'!$I$15="AUTOMATE",IFERROR(INDEX(Items!A$6:A$680,SMALL(IF(Items!A$6:A$680&lt;&gt;"",ROW(Items!A$6:A$680)-MIN(ROW(Items!A$6:A$680))+1),Items!N10)),""),""))</f>
        <v>4</v>
      </c>
      <c r="C22" s="279" t="str">
        <f t="array" aca="1" ref="C22" ca="1">IFERROR(INDEX(Items!O:O,SMALL(IF(Items!$O$6:$O$677&lt;&gt;"",ROW(Items!$O$6:$O$677)),Items!N10)),"")</f>
        <v>Victron SmartSolar MPPT 150/85-Tr VE.Can</v>
      </c>
      <c r="D22" s="280"/>
      <c r="E22" s="280"/>
      <c r="F22" s="281"/>
      <c r="G22" s="281"/>
      <c r="H22" s="281"/>
      <c r="I22" s="281"/>
      <c r="J22" s="285">
        <f ca="1">IF('Customer Base'!I$12="DISPLAY TAX",IF('Customer Base'!$I$17="Retail",IF($K$14="USD",IF(ISNA(VLOOKUP(C22,Items!C$6:F$599,4,0)),"",(VLOOKUP(C22,Items!C$6:F$599,4,0))),IF($K$14="GH₵",IF(ISNA(VLOOKUP(C22,Items!C$6:G$599,5,0)),"",(VLOOKUP(C22,Items!C$6:G$599,5,0))),"")),IF('Customer Base'!$I$17="Super Dealer",IF($K$14="USD",IF(ISNA(VLOOKUP(C22,Items!C$6:I$599,6,0)),"",(VLOOKUP(C22,Items!C$6:I$599,6,0))),IF($K$14="GH₵",IF(ISNA(VLOOKUP(C22,Items!C$6:I$599,7,0)),"",(VLOOKUP(C22,Items!C$6:I$599,7,0))),"")),"")),IF('Customer Base'!I$12="DO NOT DISPLAY TAX",IF('Customer Base'!$I$17="Retail",IF($K$14="USD",IF(ISNA(VLOOKUP(C22,Items!C$6:F$599,2,0)),"",(VLOOKUP(C22,Items!C$6:F$599,2,0))),IF($K$14="GH₵",IF(ISNA(VLOOKUP(C22,Items!C$6:G$599,2,0)),"",'Customer Base'!J$5*(VLOOKUP(C22,Items!C$6:G$599,2,0))),"")),IF('Customer Base'!$I$17="Super Dealer",IF($K$14="USD",IF(ISNA(VLOOKUP(C22,Items!C$6:I$599,3,0)),"",(VLOOKUP(C22,Items!C$6:I$599,3,0))),IF($K$14="GH₵",IF(ISNA(VLOOKUP(C22,Items!C$6:I$599,3,0)),"",'Customer Base'!J$5*(VLOOKUP(C22,Items!C$6:I$599,3,0))),"")),"")),""))</f>
        <v>7339.52</v>
      </c>
      <c r="K22" s="282">
        <f t="shared" ca="1" si="0"/>
        <v>29358.080000000002</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Base'!$I$15="MANUAL",IFERROR(INDEX(Items!B$6:B$680,SMALL(IF(Items!B$6:B$680&lt;&gt;"",ROW(Items!B$6:B$680)-MIN(ROW(Items!B$6:B$680))+1),Items!N11)),""),IF('Customer Base'!$I$15="AUTOMATE",IFERROR(INDEX(Items!A$6:A$680,SMALL(IF(Items!A$6:A$680&lt;&gt;"",ROW(Items!A$6:A$680)-MIN(ROW(Items!A$6:A$680))+1),Items!N11)),""),""))</f>
        <v>1</v>
      </c>
      <c r="C23" s="279" t="str">
        <f t="array" aca="1" ref="C23" ca="1">IFERROR(INDEX(Items!O:O,SMALL(IF(Items!$O$6:$O$677&lt;&gt;"",ROW(Items!$O$6:$O$677)),Items!N11)),"")</f>
        <v>Victron Cerbo GX</v>
      </c>
      <c r="D23" s="280"/>
      <c r="E23" s="280"/>
      <c r="F23" s="281"/>
      <c r="G23" s="281"/>
      <c r="H23" s="281"/>
      <c r="I23" s="281"/>
      <c r="J23" s="285">
        <f ca="1">IF('Customer Base'!I$12="DISPLAY TAX",IF('Customer Base'!$I$17="Retail",IF($K$14="USD",IF(ISNA(VLOOKUP(C23,Items!C$6:F$599,4,0)),"",(VLOOKUP(C23,Items!C$6:F$599,4,0))),IF($K$14="GH₵",IF(ISNA(VLOOKUP(C23,Items!C$6:G$599,5,0)),"",(VLOOKUP(C23,Items!C$6:G$599,5,0))),"")),IF('Customer Base'!$I$17="Super Dealer",IF($K$14="USD",IF(ISNA(VLOOKUP(C23,Items!C$6:I$599,6,0)),"",(VLOOKUP(C23,Items!C$6:I$599,6,0))),IF($K$14="GH₵",IF(ISNA(VLOOKUP(C23,Items!C$6:I$599,7,0)),"",(VLOOKUP(C23,Items!C$6:I$599,7,0))),"")),"")),IF('Customer Base'!I$12="DO NOT DISPLAY TAX",IF('Customer Base'!$I$17="Retail",IF($K$14="USD",IF(ISNA(VLOOKUP(C23,Items!C$6:F$599,2,0)),"",(VLOOKUP(C23,Items!C$6:F$599,2,0))),IF($K$14="GH₵",IF(ISNA(VLOOKUP(C23,Items!C$6:G$599,2,0)),"",'Customer Base'!J$5*(VLOOKUP(C23,Items!C$6:G$599,2,0))),"")),IF('Customer Base'!$I$17="Super Dealer",IF($K$14="USD",IF(ISNA(VLOOKUP(C23,Items!C$6:I$599,3,0)),"",(VLOOKUP(C23,Items!C$6:I$599,3,0))),IF($K$14="GH₵",IF(ISNA(VLOOKUP(C23,Items!C$6:I$599,3,0)),"",'Customer Base'!J$5*(VLOOKUP(C23,Items!C$6:I$599,3,0))),"")),"")),""))</f>
        <v>4449.92</v>
      </c>
      <c r="K23" s="282">
        <f t="shared" ca="1" si="0"/>
        <v>4449.92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Base'!$I$15="MANUAL",IFERROR(INDEX(Items!B$6:B$680,SMALL(IF(Items!B$6:B$680&lt;&gt;"",ROW(Items!B$6:B$680)-MIN(ROW(Items!B$6:B$680))+1),Items!N12)),""),IF('Customer Base'!$I$15="AUTOMATE",IFERROR(INDEX(Items!A$6:A$680,SMALL(IF(Items!A$6:A$680&lt;&gt;"",ROW(Items!A$6:A$680)-MIN(ROW(Items!A$6:A$680))+1),Items!N12)),""),""))</f>
        <v>1</v>
      </c>
      <c r="C24" s="279" t="str">
        <f t="array" aca="1" ref="C24" ca="1">IFERROR(INDEX(Items!O:O,SMALL(IF(Items!$O$6:$O$677&lt;&gt;"",ROW(Items!$O$6:$O$677)),Items!N12)),"")</f>
        <v>Victron GX Touch 50</v>
      </c>
      <c r="D24" s="280"/>
      <c r="E24" s="280"/>
      <c r="F24" s="281"/>
      <c r="G24" s="281"/>
      <c r="H24" s="281"/>
      <c r="I24" s="281"/>
      <c r="J24" s="285">
        <f ca="1">IF('Customer Base'!I$12="DISPLAY TAX",IF('Customer Base'!$I$17="Retail",IF($K$14="USD",IF(ISNA(VLOOKUP(C24,Items!C$6:F$599,4,0)),"",(VLOOKUP(C24,Items!C$6:F$599,4,0))),IF($K$14="GH₵",IF(ISNA(VLOOKUP(C24,Items!C$6:G$599,5,0)),"",(VLOOKUP(C24,Items!C$6:G$599,5,0))),"")),IF('Customer Base'!$I$17="Super Dealer",IF($K$14="USD",IF(ISNA(VLOOKUP(C24,Items!C$6:I$599,6,0)),"",(VLOOKUP(C24,Items!C$6:I$599,6,0))),IF($K$14="GH₵",IF(ISNA(VLOOKUP(C24,Items!C$6:I$599,7,0)),"",(VLOOKUP(C24,Items!C$6:I$599,7,0))),"")),"")),IF('Customer Base'!I$12="DO NOT DISPLAY TAX",IF('Customer Base'!$I$17="Retail",IF($K$14="USD",IF(ISNA(VLOOKUP(C24,Items!C$6:F$599,2,0)),"",(VLOOKUP(C24,Items!C$6:F$599,2,0))),IF($K$14="GH₵",IF(ISNA(VLOOKUP(C24,Items!C$6:G$599,2,0)),"",'Customer Base'!J$5*(VLOOKUP(C24,Items!C$6:G$599,2,0))),"")),IF('Customer Base'!$I$17="Super Dealer",IF($K$14="USD",IF(ISNA(VLOOKUP(C24,Items!C$6:I$599,3,0)),"",(VLOOKUP(C24,Items!C$6:I$599,3,0))),IF($K$14="GH₵",IF(ISNA(VLOOKUP(C24,Items!C$6:I$599,3,0)),"",'Customer Base'!J$5*(VLOOKUP(C24,Items!C$6:I$599,3,0))),"")),"")),""))</f>
        <v>3361.28</v>
      </c>
      <c r="K24" s="282">
        <f t="shared" ca="1" si="0"/>
        <v>3361.28</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Base'!$I$15="MANUAL",IFERROR(INDEX(Items!B$6:B$680,SMALL(IF(Items!B$6:B$680&lt;&gt;"",ROW(Items!B$6:B$680)-MIN(ROW(Items!B$6:B$680))+1),Items!N13)),""),IF('Customer Base'!$I$15="AUTOMATE",IFERROR(INDEX(Items!A$6:A$680,SMALL(IF(Items!A$6:A$680&lt;&gt;"",ROW(Items!A$6:A$680)-MIN(ROW(Items!A$6:A$680))+1),Items!N13)),""),""))</f>
        <v>1</v>
      </c>
      <c r="C25" s="279" t="str">
        <f t="array" aca="1" ref="C25" ca="1">IFERROR(INDEX(Items!O:O,SMALL(IF(Items!$O$6:$O$677&lt;&gt;"",ROW(Items!$O$6:$O$677)),Items!N13)),"")</f>
        <v>Victron GX Touch 50 Wall Mount</v>
      </c>
      <c r="D25" s="280"/>
      <c r="E25" s="280"/>
      <c r="F25" s="280"/>
      <c r="G25" s="280"/>
      <c r="H25" s="280"/>
      <c r="I25" s="280"/>
      <c r="J25" s="285">
        <f ca="1">IF('Customer Base'!I$12="DISPLAY TAX",IF('Customer Base'!$I$17="Retail",IF($K$14="USD",IF(ISNA(VLOOKUP(C25,Items!C$6:F$599,4,0)),"",(VLOOKUP(C25,Items!C$6:F$599,4,0))),IF($K$14="GH₵",IF(ISNA(VLOOKUP(C25,Items!C$6:G$599,5,0)),"",(VLOOKUP(C25,Items!C$6:G$599,5,0))),"")),IF('Customer Base'!$I$17="Super Dealer",IF($K$14="USD",IF(ISNA(VLOOKUP(C25,Items!C$6:I$599,6,0)),"",(VLOOKUP(C25,Items!C$6:I$599,6,0))),IF($K$14="GH₵",IF(ISNA(VLOOKUP(C25,Items!C$6:I$599,7,0)),"",(VLOOKUP(C25,Items!C$6:I$599,7,0))),"")),"")),IF('Customer Base'!I$12="DO NOT DISPLAY TAX",IF('Customer Base'!$I$17="Retail",IF($K$14="USD",IF(ISNA(VLOOKUP(C25,Items!C$6:F$599,2,0)),"",(VLOOKUP(C25,Items!C$6:F$599,2,0))),IF($K$14="GH₵",IF(ISNA(VLOOKUP(C25,Items!C$6:G$599,2,0)),"",'Customer Base'!J$5*(VLOOKUP(C25,Items!C$6:G$599,2,0))),"")),IF('Customer Base'!$I$17="Super Dealer",IF($K$14="USD",IF(ISNA(VLOOKUP(C25,Items!C$6:I$599,3,0)),"",(VLOOKUP(C25,Items!C$6:I$599,3,0))),IF($K$14="GH₵",IF(ISNA(VLOOKUP(C25,Items!C$6:I$599,3,0)),"",'Customer Base'!J$5*(VLOOKUP(C25,Items!C$6:I$599,3,0))),"")),"")),""))</f>
        <v>245.44</v>
      </c>
      <c r="K25" s="282">
        <f t="shared" ca="1" si="0"/>
        <v>245.44</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Base'!$I$15="MANUAL",IFERROR(INDEX(Items!B$6:B$680,SMALL(IF(Items!B$6:B$680&lt;&gt;"",ROW(Items!B$6:B$680)-MIN(ROW(Items!B$6:B$680))+1),Items!N14)),""),IF('Customer Base'!$I$15="AUTOMATE",IFERROR(INDEX(Items!A$6:A$680,SMALL(IF(Items!A$6:A$680&lt;&gt;"",ROW(Items!A$6:A$680)-MIN(ROW(Items!A$6:A$680))+1),Items!N14)),""),""))</f>
        <v>2</v>
      </c>
      <c r="C26" s="279" t="str">
        <f t="array" aca="1" ref="C26" ca="1">IFERROR(INDEX(Items!O:O,SMALL(IF(Items!$O$6:$O$677&lt;&gt;"",ROW(Items!$O$6:$O$677)),Items!N14)),"")</f>
        <v>Victron Solar Busbar 150A 4P +cover</v>
      </c>
      <c r="D26" s="280"/>
      <c r="E26" s="280"/>
      <c r="F26" s="280"/>
      <c r="G26" s="280"/>
      <c r="H26" s="280"/>
      <c r="I26" s="280"/>
      <c r="J26" s="285">
        <f ca="1">IF('Customer Base'!I$12="DISPLAY TAX",IF('Customer Base'!$I$17="Retail",IF($K$14="USD",IF(ISNA(VLOOKUP(C26,Items!C$6:F$599,4,0)),"",(VLOOKUP(C26,Items!C$6:F$599,4,0))),IF($K$14="GH₵",IF(ISNA(VLOOKUP(C26,Items!C$6:G$599,5,0)),"",(VLOOKUP(C26,Items!C$6:G$599,5,0))),"")),IF('Customer Base'!$I$17="Super Dealer",IF($K$14="USD",IF(ISNA(VLOOKUP(C26,Items!C$6:I$599,6,0)),"",(VLOOKUP(C26,Items!C$6:I$599,6,0))),IF($K$14="GH₵",IF(ISNA(VLOOKUP(C26,Items!C$6:I$599,7,0)),"",(VLOOKUP(C26,Items!C$6:I$599,7,0))),"")),"")),IF('Customer Base'!I$12="DO NOT DISPLAY TAX",IF('Customer Base'!$I$17="Retail",IF($K$14="USD",IF(ISNA(VLOOKUP(C26,Items!C$6:F$599,2,0)),"",(VLOOKUP(C26,Items!C$6:F$599,2,0))),IF($K$14="GH₵",IF(ISNA(VLOOKUP(C26,Items!C$6:G$599,2,0)),"",'Customer Base'!J$5*(VLOOKUP(C26,Items!C$6:G$599,2,0))),"")),IF('Customer Base'!$I$17="Super Dealer",IF($K$14="USD",IF(ISNA(VLOOKUP(C26,Items!C$6:I$599,3,0)),"",(VLOOKUP(C26,Items!C$6:I$599,3,0))),IF($K$14="GH₵",IF(ISNA(VLOOKUP(C26,Items!C$6:I$599,3,0)),"",'Customer Base'!J$5*(VLOOKUP(C26,Items!C$6:I$599,3,0))),"")),"")),""))</f>
        <v>303.2</v>
      </c>
      <c r="K26" s="282">
        <f t="shared" ca="1" si="0"/>
        <v>606.4</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Base'!$I$15="MANUAL",IFERROR(INDEX(Items!B$6:B$680,SMALL(IF(Items!B$6:B$680&lt;&gt;"",ROW(Items!B$6:B$680)-MIN(ROW(Items!B$6:B$680))+1),Items!N15)),""),IF('Customer Base'!$I$15="AUTOMATE",IFERROR(INDEX(Items!A$6:A$680,SMALL(IF(Items!A$6:A$680&lt;&gt;"",ROW(Items!A$6:A$680)-MIN(ROW(Items!A$6:A$680))+1),Items!N15)),""),""))</f>
        <v>1</v>
      </c>
      <c r="C27" s="279" t="str">
        <f t="array" aca="1" ref="C27" ca="1">IFERROR(INDEX(Items!O:O,SMALL(IF(Items!$O$6:$O$677&lt;&gt;"",ROW(Items!$O$6:$O$677)),Items!N15)),"")</f>
        <v>Solar DC Combiner BHS 2/1</v>
      </c>
      <c r="D27" s="280"/>
      <c r="E27" s="280"/>
      <c r="F27" s="280"/>
      <c r="G27" s="280"/>
      <c r="H27" s="280"/>
      <c r="I27" s="280"/>
      <c r="J27" s="285">
        <f ca="1">IF('Customer Base'!I$12="DISPLAY TAX",IF('Customer Base'!$I$17="Retail",IF($K$14="USD",IF(ISNA(VLOOKUP(C27,Items!C$6:F$599,4,0)),"",(VLOOKUP(C27,Items!C$6:F$599,4,0))),IF($K$14="GH₵",IF(ISNA(VLOOKUP(C27,Items!C$6:G$599,5,0)),"",(VLOOKUP(C27,Items!C$6:G$599,5,0))),"")),IF('Customer Base'!$I$17="Super Dealer",IF($K$14="USD",IF(ISNA(VLOOKUP(C27,Items!C$6:I$599,6,0)),"",(VLOOKUP(C27,Items!C$6:I$599,6,0))),IF($K$14="GH₵",IF(ISNA(VLOOKUP(C27,Items!C$6:I$599,7,0)),"",(VLOOKUP(C27,Items!C$6:I$599,7,0))),"")),"")),IF('Customer Base'!I$12="DO NOT DISPLAY TAX",IF('Customer Base'!$I$17="Retail",IF($K$14="USD",IF(ISNA(VLOOKUP(C27,Items!C$6:F$599,2,0)),"",(VLOOKUP(C27,Items!C$6:F$599,2,0))),IF($K$14="GH₵",IF(ISNA(VLOOKUP(C27,Items!C$6:G$599,2,0)),"",'Customer Base'!J$5*(VLOOKUP(C27,Items!C$6:G$599,2,0))),"")),IF('Customer Base'!$I$17="Super Dealer",IF($K$14="USD",IF(ISNA(VLOOKUP(C27,Items!C$6:I$599,3,0)),"",(VLOOKUP(C27,Items!C$6:I$599,3,0))),IF($K$14="GH₵",IF(ISNA(VLOOKUP(C27,Items!C$6:I$599,3,0)),"",'Customer Base'!J$5*(VLOOKUP(C27,Items!C$6:I$599,3,0))),"")),"")),""))</f>
        <v>1926.4</v>
      </c>
      <c r="K27" s="282">
        <f t="shared" ca="1" si="0"/>
        <v>1926.4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Base'!$I$15="MANUAL",IFERROR(INDEX(Items!B$6:B$680,SMALL(IF(Items!B$6:B$680&lt;&gt;"",ROW(Items!B$6:B$680)-MIN(ROW(Items!B$6:B$680))+1),Items!N16)),""),IF('Customer Base'!$I$15="AUTOMATE",IFERROR(INDEX(Items!A$6:A$680,SMALL(IF(Items!A$6:A$680&lt;&gt;"",ROW(Items!A$6:A$680)-MIN(ROW(Items!A$6:A$680))+1),Items!N16)),""),""))</f>
        <v>4</v>
      </c>
      <c r="C28" s="279" t="str">
        <f t="array" aca="1" ref="C28" ca="1">IFERROR(INDEX(Items!O:O,SMALL(IF(Items!$O$6:$O$677&lt;&gt;"",ROW(Items!$O$6:$O$677)),Items!N16)),"")</f>
        <v>Solar DC Combiner BHS 3/1</v>
      </c>
      <c r="D28" s="280"/>
      <c r="E28" s="280"/>
      <c r="F28" s="280"/>
      <c r="G28" s="280"/>
      <c r="H28" s="280"/>
      <c r="I28" s="280"/>
      <c r="J28" s="285">
        <f ca="1">IF('Customer Base'!I$12="DISPLAY TAX",IF('Customer Base'!$I$17="Retail",IF($K$14="USD",IF(ISNA(VLOOKUP(C28,Items!C$6:F$599,4,0)),"",(VLOOKUP(C28,Items!C$6:F$599,4,0))),IF($K$14="GH₵",IF(ISNA(VLOOKUP(C28,Items!C$6:G$599,5,0)),"",(VLOOKUP(C28,Items!C$6:G$599,5,0))),"")),IF('Customer Base'!$I$17="Super Dealer",IF($K$14="USD",IF(ISNA(VLOOKUP(C28,Items!C$6:I$599,6,0)),"",(VLOOKUP(C28,Items!C$6:I$599,6,0))),IF($K$14="GH₵",IF(ISNA(VLOOKUP(C28,Items!C$6:I$599,7,0)),"",(VLOOKUP(C28,Items!C$6:I$599,7,0))),"")),"")),IF('Customer Base'!I$12="DO NOT DISPLAY TAX",IF('Customer Base'!$I$17="Retail",IF($K$14="USD",IF(ISNA(VLOOKUP(C28,Items!C$6:F$599,2,0)),"",(VLOOKUP(C28,Items!C$6:F$599,2,0))),IF($K$14="GH₵",IF(ISNA(VLOOKUP(C28,Items!C$6:G$599,2,0)),"",'Customer Base'!J$5*(VLOOKUP(C28,Items!C$6:G$599,2,0))),"")),IF('Customer Base'!$I$17="Super Dealer",IF($K$14="USD",IF(ISNA(VLOOKUP(C28,Items!C$6:I$599,3,0)),"",(VLOOKUP(C28,Items!C$6:I$599,3,0))),IF($K$14="GH₵",IF(ISNA(VLOOKUP(C28,Items!C$6:I$599,3,0)),"",'Customer Base'!J$5*(VLOOKUP(C28,Items!C$6:I$599,3,0))),"")),"")),""))</f>
        <v>2022.72</v>
      </c>
      <c r="K28" s="282">
        <f t="shared" ca="1" si="0"/>
        <v>8090.88</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Base'!$I$15="MANUAL",IFERROR(INDEX(Items!B$6:B$680,SMALL(IF(Items!B$6:B$680&lt;&gt;"",ROW(Items!B$6:B$680)-MIN(ROW(Items!B$6:B$680))+1),Items!N17)),""),IF('Customer Base'!$I$15="AUTOMATE",IFERROR(INDEX(Items!A$6:A$680,SMALL(IF(Items!A$6:A$680&lt;&gt;"",ROW(Items!A$6:A$680)-MIN(ROW(Items!A$6:A$680))+1),Items!N17)),""),""))</f>
        <v>1</v>
      </c>
      <c r="C29" s="279" t="str">
        <f t="array" aca="1" ref="C29" ca="1">IFERROR(INDEX(Items!O:O,SMALL(IF(Items!$O$6:$O$677&lt;&gt;"",ROW(Items!$O$6:$O$677)),Items!N17)),"")</f>
        <v>Citel AC Surge Protection Device DAC50VGS-31-275/G VAC 3-Phase</v>
      </c>
      <c r="D29" s="280"/>
      <c r="E29" s="280"/>
      <c r="F29" s="280"/>
      <c r="G29" s="280"/>
      <c r="H29" s="280"/>
      <c r="I29" s="280"/>
      <c r="J29" s="285">
        <f ca="1">IF('Customer Base'!I$12="DISPLAY TAX",IF('Customer Base'!$I$17="Retail",IF($K$14="USD",IF(ISNA(VLOOKUP(C29,Items!C$6:F$599,4,0)),"",(VLOOKUP(C29,Items!C$6:F$599,4,0))),IF($K$14="GH₵",IF(ISNA(VLOOKUP(C29,Items!C$6:G$599,5,0)),"",(VLOOKUP(C29,Items!C$6:G$599,5,0))),"")),IF('Customer Base'!$I$17="Super Dealer",IF($K$14="USD",IF(ISNA(VLOOKUP(C29,Items!C$6:I$599,6,0)),"",(VLOOKUP(C29,Items!C$6:I$599,6,0))),IF($K$14="GH₵",IF(ISNA(VLOOKUP(C29,Items!C$6:I$599,7,0)),"",(VLOOKUP(C29,Items!C$6:I$599,7,0))),"")),"")),IF('Customer Base'!I$12="DO NOT DISPLAY TAX",IF('Customer Base'!$I$17="Retail",IF($K$14="USD",IF(ISNA(VLOOKUP(C29,Items!C$6:F$599,2,0)),"",(VLOOKUP(C29,Items!C$6:F$599,2,0))),IF($K$14="GH₵",IF(ISNA(VLOOKUP(C29,Items!C$6:G$599,2,0)),"",'Customer Base'!J$5*(VLOOKUP(C29,Items!C$6:G$599,2,0))),"")),IF('Customer Base'!$I$17="Super Dealer",IF($K$14="USD",IF(ISNA(VLOOKUP(C29,Items!C$6:I$599,3,0)),"",(VLOOKUP(C29,Items!C$6:I$599,3,0))),IF($K$14="GH₵",IF(ISNA(VLOOKUP(C29,Items!C$6:I$599,3,0)),"",'Customer Base'!J$5*(VLOOKUP(C29,Items!C$6:I$599,3,0))),"")),"")),""))</f>
        <v>1472.48</v>
      </c>
      <c r="K29" s="282">
        <f t="shared" ca="1" si="0"/>
        <v>1472.48</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Base'!$I$15="MANUAL",IFERROR(INDEX(Items!B$6:B$680,SMALL(IF(Items!B$6:B$680&lt;&gt;"",ROW(Items!B$6:B$680)-MIN(ROW(Items!B$6:B$680))+1),Items!N18)),""),IF('Customer Base'!$I$15="AUTOMATE",IFERROR(INDEX(Items!A$6:A$680,SMALL(IF(Items!A$6:A$680&lt;&gt;"",ROW(Items!A$6:A$680)-MIN(ROW(Items!A$6:A$680))+1),Items!N18)),""),""))</f>
        <v>140</v>
      </c>
      <c r="C30" s="279" t="str">
        <f t="array" aca="1" ref="C30" ca="1">IFERROR(INDEX(Items!O:O,SMALL(IF(Items!$O$6:$O$677&lt;&gt;"",ROW(Items!$O$6:$O$677)),Items!N18)),"")</f>
        <v>Hikra Sol DC Solar cable 1x4mm2 1500V H1Z2Z2</v>
      </c>
      <c r="D30" s="280"/>
      <c r="E30" s="280"/>
      <c r="F30" s="283"/>
      <c r="G30" s="283"/>
      <c r="H30" s="283"/>
      <c r="I30" s="283"/>
      <c r="J30" s="285">
        <f ca="1">IF('Customer Base'!I$12="DISPLAY TAX",IF('Customer Base'!$I$17="Retail",IF($K$14="USD",IF(ISNA(VLOOKUP(C30,Items!C$6:F$599,4,0)),"",(VLOOKUP(C30,Items!C$6:F$599,4,0))),IF($K$14="GH₵",IF(ISNA(VLOOKUP(C30,Items!C$6:G$599,5,0)),"",(VLOOKUP(C30,Items!C$6:G$599,5,0))),"")),IF('Customer Base'!$I$17="Super Dealer",IF($K$14="USD",IF(ISNA(VLOOKUP(C30,Items!C$6:I$599,6,0)),"",(VLOOKUP(C30,Items!C$6:I$599,6,0))),IF($K$14="GH₵",IF(ISNA(VLOOKUP(C30,Items!C$6:I$599,7,0)),"",(VLOOKUP(C30,Items!C$6:I$599,7,0))),"")),"")),IF('Customer Base'!I$12="DO NOT DISPLAY TAX",IF('Customer Base'!$I$17="Retail",IF($K$14="USD",IF(ISNA(VLOOKUP(C30,Items!C$6:F$599,2,0)),"",(VLOOKUP(C30,Items!C$6:F$599,2,0))),IF($K$14="GH₵",IF(ISNA(VLOOKUP(C30,Items!C$6:G$599,2,0)),"",'Customer Base'!J$5*(VLOOKUP(C30,Items!C$6:G$599,2,0))),"")),IF('Customer Base'!$I$17="Super Dealer",IF($K$14="USD",IF(ISNA(VLOOKUP(C30,Items!C$6:I$599,3,0)),"",(VLOOKUP(C30,Items!C$6:I$599,3,0))),IF($K$14="GH₵",IF(ISNA(VLOOKUP(C30,Items!C$6:I$599,3,0)),"",'Customer Base'!J$5*(VLOOKUP(C30,Items!C$6:I$599,3,0))),"")),"")),""))</f>
        <v>16.32</v>
      </c>
      <c r="K30" s="282">
        <f t="shared" ca="1" si="0"/>
        <v>2284.8000000000002</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Base'!$I$15="MANUAL",IFERROR(INDEX(Items!B$6:B$680,SMALL(IF(Items!B$6:B$680&lt;&gt;"",ROW(Items!B$6:B$680)-MIN(ROW(Items!B$6:B$680))+1),Items!N19)),""),IF('Customer Base'!$I$15="AUTOMATE",IFERROR(INDEX(Items!A$6:A$680,SMALL(IF(Items!A$6:A$680&lt;&gt;"",ROW(Items!A$6:A$680)-MIN(ROW(Items!A$6:A$680))+1),Items!N19)),""),""))</f>
        <v>200</v>
      </c>
      <c r="C31" s="279" t="str">
        <f t="array" aca="1" ref="C31" ca="1">IFERROR(INDEX(Items!O:O,SMALL(IF(Items!$O$6:$O$677&lt;&gt;"",ROW(Items!$O$6:$O$677)),Items!N19)),"")</f>
        <v>Hikra Sol DC Solar cable 1x10mm2 1500V H1Z2Z2</v>
      </c>
      <c r="D31" s="280"/>
      <c r="E31" s="280"/>
      <c r="F31" s="280"/>
      <c r="G31" s="280"/>
      <c r="H31" s="280"/>
      <c r="I31" s="280"/>
      <c r="J31" s="285">
        <f ca="1">IF('Customer Base'!I$12="DISPLAY TAX",IF('Customer Base'!$I$17="Retail",IF($K$14="USD",IF(ISNA(VLOOKUP(C31,Items!C$6:F$599,4,0)),"",(VLOOKUP(C31,Items!C$6:F$599,4,0))),IF($K$14="GH₵",IF(ISNA(VLOOKUP(C31,Items!C$6:G$599,5,0)),"",(VLOOKUP(C31,Items!C$6:G$599,5,0))),"")),IF('Customer Base'!$I$17="Super Dealer",IF($K$14="USD",IF(ISNA(VLOOKUP(C31,Items!C$6:I$599,6,0)),"",(VLOOKUP(C31,Items!C$6:I$599,6,0))),IF($K$14="GH₵",IF(ISNA(VLOOKUP(C31,Items!C$6:I$599,7,0)),"",(VLOOKUP(C31,Items!C$6:I$599,7,0))),"")),"")),IF('Customer Base'!I$12="DO NOT DISPLAY TAX",IF('Customer Base'!$I$17="Retail",IF($K$14="USD",IF(ISNA(VLOOKUP(C31,Items!C$6:F$599,2,0)),"",(VLOOKUP(C31,Items!C$6:F$599,2,0))),IF($K$14="GH₵",IF(ISNA(VLOOKUP(C31,Items!C$6:G$599,2,0)),"",'Customer Base'!J$5*(VLOOKUP(C31,Items!C$6:G$599,2,0))),"")),IF('Customer Base'!$I$17="Super Dealer",IF($K$14="USD",IF(ISNA(VLOOKUP(C31,Items!C$6:I$599,3,0)),"",(VLOOKUP(C31,Items!C$6:I$599,3,0))),IF($K$14="GH₵",IF(ISNA(VLOOKUP(C31,Items!C$6:I$599,3,0)),"",'Customer Base'!J$5*(VLOOKUP(C31,Items!C$6:I$599,3,0))),"")),"")),""))</f>
        <v>37.6</v>
      </c>
      <c r="K31" s="282">
        <f t="shared" ca="1" si="0"/>
        <v>7520</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Base'!$I$15="MANUAL",IFERROR(INDEX(Items!B$6:B$680,SMALL(IF(Items!B$6:B$680&lt;&gt;"",ROW(Items!B$6:B$680)-MIN(ROW(Items!B$6:B$680))+1),Items!N20)),""),IF('Customer Base'!$I$15="AUTOMATE",IFERROR(INDEX(Items!A$6:A$680,SMALL(IF(Items!A$6:A$680&lt;&gt;"",ROW(Items!A$6:A$680)-MIN(ROW(Items!A$6:A$680))+1),Items!N20)),""),""))</f>
        <v>90</v>
      </c>
      <c r="C32" s="279" t="str">
        <f t="array" aca="1" ref="C32" ca="1">IFERROR(INDEX(Items!O:O,SMALL(IF(Items!$O$6:$O$677&lt;&gt;"",ROW(Items!$O$6:$O$677)),Items!N20)),"")</f>
        <v>Hikra Sol DC Solar cable 1x16mm2 1500V H1Z2Z2</v>
      </c>
      <c r="D32" s="284"/>
      <c r="E32" s="284"/>
      <c r="F32" s="284"/>
      <c r="G32" s="284"/>
      <c r="H32" s="284"/>
      <c r="I32" s="284"/>
      <c r="J32" s="285">
        <f ca="1">IF('Customer Base'!I$12="DISPLAY TAX",IF('Customer Base'!$I$17="Retail",IF($K$14="USD",IF(ISNA(VLOOKUP(C32,Items!C$6:F$599,4,0)),"",(VLOOKUP(C32,Items!C$6:F$599,4,0))),IF($K$14="GH₵",IF(ISNA(VLOOKUP(C32,Items!C$6:G$599,5,0)),"",(VLOOKUP(C32,Items!C$6:G$599,5,0))),"")),IF('Customer Base'!$I$17="Super Dealer",IF($K$14="USD",IF(ISNA(VLOOKUP(C32,Items!C$6:I$599,6,0)),"",(VLOOKUP(C32,Items!C$6:I$599,6,0))),IF($K$14="GH₵",IF(ISNA(VLOOKUP(C32,Items!C$6:I$599,7,0)),"",(VLOOKUP(C32,Items!C$6:I$599,7,0))),"")),"")),IF('Customer Base'!I$12="DO NOT DISPLAY TAX",IF('Customer Base'!$I$17="Retail",IF($K$14="USD",IF(ISNA(VLOOKUP(C32,Items!C$6:F$599,2,0)),"",(VLOOKUP(C32,Items!C$6:F$599,2,0))),IF($K$14="GH₵",IF(ISNA(VLOOKUP(C32,Items!C$6:G$599,2,0)),"",'Customer Base'!J$5*(VLOOKUP(C32,Items!C$6:G$599,2,0))),"")),IF('Customer Base'!$I$17="Super Dealer",IF($K$14="USD",IF(ISNA(VLOOKUP(C32,Items!C$6:I$599,3,0)),"",(VLOOKUP(C32,Items!C$6:I$599,3,0))),IF($K$14="GH₵",IF(ISNA(VLOOKUP(C32,Items!C$6:I$599,3,0)),"",'Customer Base'!J$5*(VLOOKUP(C32,Items!C$6:I$599,3,0))),"")),"")),""))</f>
        <v>72.48</v>
      </c>
      <c r="K32" s="282">
        <f t="shared" ca="1" si="0"/>
        <v>6523.2000000000007</v>
      </c>
      <c r="L32" s="49"/>
      <c r="M32" s="48"/>
      <c r="N32" s="48"/>
      <c r="O32" s="48"/>
      <c r="P32" s="48"/>
      <c r="Q32" s="48"/>
      <c r="R32" s="48"/>
    </row>
    <row r="33" spans="1:18" ht="16" customHeight="1">
      <c r="A33" s="1"/>
      <c r="B33" s="294">
        <f t="array" aca="1" ref="B33" ca="1">IF('Customer Base'!$I$15="MANUAL",IFERROR(INDEX(Items!B$6:B$680,SMALL(IF(Items!B$6:B$680&lt;&gt;"",ROW(Items!B$6:B$680)-MIN(ROW(Items!B$6:B$680))+1),Items!N21)),""),IF('Customer Base'!$I$15="AUTOMATE",IFERROR(INDEX(Items!A$6:A$680,SMALL(IF(Items!A$6:A$680&lt;&gt;"",ROW(Items!A$6:A$680)-MIN(ROW(Items!A$6:A$680))+1),Items!N21)),""),""))</f>
        <v>30</v>
      </c>
      <c r="C33" s="279" t="str">
        <f t="array" aca="1" ref="C33" ca="1">IFERROR(INDEX(Items!O:O,SMALL(IF(Items!$O$6:$O$677&lt;&gt;"",ROW(Items!$O$6:$O$677)),Items!N21)),"")</f>
        <v>Hikra Sol DC Solar cable 1x25mm2 1500V H1Z2Z2</v>
      </c>
      <c r="D33" s="284"/>
      <c r="E33" s="284"/>
      <c r="F33" s="284"/>
      <c r="G33" s="284"/>
      <c r="H33" s="284"/>
      <c r="I33" s="284"/>
      <c r="J33" s="285">
        <f ca="1">IF('Customer Base'!I$12="DISPLAY TAX",IF('Customer Base'!$I$17="Retail",IF($K$14="USD",IF(ISNA(VLOOKUP(C33,Items!C$6:F$599,4,0)),"",(VLOOKUP(C33,Items!C$6:F$599,4,0))),IF($K$14="GH₵",IF(ISNA(VLOOKUP(C33,Items!C$6:G$599,5,0)),"",(VLOOKUP(C33,Items!C$6:G$599,5,0))),"")),IF('Customer Base'!$I$17="Super Dealer",IF($K$14="USD",IF(ISNA(VLOOKUP(C33,Items!C$6:I$599,6,0)),"",(VLOOKUP(C33,Items!C$6:I$599,6,0))),IF($K$14="GH₵",IF(ISNA(VLOOKUP(C33,Items!C$6:I$599,7,0)),"",(VLOOKUP(C33,Items!C$6:I$599,7,0))),"")),"")),IF('Customer Base'!I$12="DO NOT DISPLAY TAX",IF('Customer Base'!$I$17="Retail",IF($K$14="USD",IF(ISNA(VLOOKUP(C33,Items!C$6:F$599,2,0)),"",(VLOOKUP(C33,Items!C$6:F$599,2,0))),IF($K$14="GH₵",IF(ISNA(VLOOKUP(C33,Items!C$6:G$599,2,0)),"",'Customer Base'!J$5*(VLOOKUP(C33,Items!C$6:G$599,2,0))),"")),IF('Customer Base'!$I$17="Super Dealer",IF($K$14="USD",IF(ISNA(VLOOKUP(C33,Items!C$6:I$599,3,0)),"",(VLOOKUP(C33,Items!C$6:I$599,3,0))),IF($K$14="GH₵",IF(ISNA(VLOOKUP(C33,Items!C$6:I$599,3,0)),"",'Customer Base'!J$5*(VLOOKUP(C33,Items!C$6:I$599,3,0))),"")),"")),""))</f>
        <v>132</v>
      </c>
      <c r="K33" s="282">
        <f t="shared" ca="1" si="0"/>
        <v>3960</v>
      </c>
      <c r="L33" s="49"/>
      <c r="M33" s="48"/>
      <c r="N33" s="48"/>
      <c r="O33" s="48"/>
      <c r="P33" s="48"/>
      <c r="Q33" s="48"/>
      <c r="R33" s="48"/>
    </row>
    <row r="34" spans="1:18" ht="16" customHeight="1">
      <c r="A34" s="1"/>
      <c r="B34" s="294">
        <f t="array" aca="1" ref="B34" ca="1">IF('Customer Base'!$I$15="MANUAL",IFERROR(INDEX(Items!B$6:B$680,SMALL(IF(Items!B$6:B$680&lt;&gt;"",ROW(Items!B$6:B$680)-MIN(ROW(Items!B$6:B$680))+1),Items!N22)),""),IF('Customer Base'!$I$15="AUTOMATE",IFERROR(INDEX(Items!A$6:A$680,SMALL(IF(Items!A$6:A$680&lt;&gt;"",ROW(Items!A$6:A$680)-MIN(ROW(Items!A$6:A$680))+1),Items!N22)),""),""))</f>
        <v>23</v>
      </c>
      <c r="C34" s="279" t="str">
        <f t="array" aca="1" ref="C34" ca="1">IFERROR(INDEX(Items!O:O,SMALL(IF(Items!$O$6:$O$677&lt;&gt;"",ROW(Items!$O$6:$O$677)),Items!N22)),"")</f>
        <v>Top Cable AC solar cable 5x4mm2 RV-K 0.6/1KV</v>
      </c>
      <c r="D34" s="284"/>
      <c r="E34" s="284"/>
      <c r="F34" s="284"/>
      <c r="G34" s="284"/>
      <c r="H34" s="284"/>
      <c r="I34" s="284"/>
      <c r="J34" s="285">
        <f ca="1">IF('Customer Base'!I$12="DISPLAY TAX",IF('Customer Base'!$I$17="Retail",IF($K$14="USD",IF(ISNA(VLOOKUP(C34,Items!C$6:F$599,4,0)),"",(VLOOKUP(C34,Items!C$6:F$599,4,0))),IF($K$14="GH₵",IF(ISNA(VLOOKUP(C34,Items!C$6:G$599,5,0)),"",(VLOOKUP(C34,Items!C$6:G$599,5,0))),"")),IF('Customer Base'!$I$17="Super Dealer",IF($K$14="USD",IF(ISNA(VLOOKUP(C34,Items!C$6:I$599,6,0)),"",(VLOOKUP(C34,Items!C$6:I$599,6,0))),IF($K$14="GH₵",IF(ISNA(VLOOKUP(C34,Items!C$6:I$599,7,0)),"",(VLOOKUP(C34,Items!C$6:I$599,7,0))),"")),"")),IF('Customer Base'!I$12="DO NOT DISPLAY TAX",IF('Customer Base'!$I$17="Retail",IF($K$14="USD",IF(ISNA(VLOOKUP(C34,Items!C$6:F$599,2,0)),"",(VLOOKUP(C34,Items!C$6:F$599,2,0))),IF($K$14="GH₵",IF(ISNA(VLOOKUP(C34,Items!C$6:G$599,2,0)),"",'Customer Base'!J$5*(VLOOKUP(C34,Items!C$6:G$599,2,0))),"")),IF('Customer Base'!$I$17="Super Dealer",IF($K$14="USD",IF(ISNA(VLOOKUP(C34,Items!C$6:I$599,3,0)),"",(VLOOKUP(C34,Items!C$6:I$599,3,0))),IF($K$14="GH₵",IF(ISNA(VLOOKUP(C34,Items!C$6:I$599,3,0)),"",'Customer Base'!J$5*(VLOOKUP(C34,Items!C$6:I$599,3,0))),"")),"")),""))</f>
        <v>168.16</v>
      </c>
      <c r="K34" s="282">
        <f t="shared" ca="1" si="0"/>
        <v>3867.68</v>
      </c>
      <c r="L34" s="49"/>
      <c r="M34" s="48"/>
      <c r="N34" s="48"/>
      <c r="O34" s="48"/>
      <c r="P34" s="48"/>
      <c r="Q34" s="48"/>
      <c r="R34" s="48"/>
    </row>
    <row r="35" spans="1:18" ht="16" customHeight="1">
      <c r="A35" s="1"/>
      <c r="B35" s="294">
        <f t="array" aca="1" ref="B35" ca="1">IF('Customer Base'!$I$15="MANUAL",IFERROR(INDEX(Items!B$6:B$680,SMALL(IF(Items!B$6:B$680&lt;&gt;"",ROW(Items!B$6:B$680)-MIN(ROW(Items!B$6:B$680))+1),Items!N23)),""),IF('Customer Base'!$I$15="AUTOMATE",IFERROR(INDEX(Items!A$6:A$680,SMALL(IF(Items!A$6:A$680&lt;&gt;"",ROW(Items!A$6:A$680)-MIN(ROW(Items!A$6:A$680))+1),Items!N23)),""),""))</f>
        <v>60</v>
      </c>
      <c r="C35" s="279" t="str">
        <f t="array" aca="1" ref="C35" ca="1">IFERROR(INDEX(Items!O:O,SMALL(IF(Items!$O$6:$O$677&lt;&gt;"",ROW(Items!$O$6:$O$677)),Items!N23)),"")</f>
        <v>1x6mm2 RV-K 0.6/1KV Yellow/Green Earth Cable</v>
      </c>
      <c r="D35" s="284"/>
      <c r="E35" s="284"/>
      <c r="F35" s="284"/>
      <c r="G35" s="284"/>
      <c r="H35" s="284"/>
      <c r="I35" s="284"/>
      <c r="J35" s="285">
        <f ca="1">IF('Customer Base'!I$12="DISPLAY TAX",IF('Customer Base'!$I$17="Retail",IF($K$14="USD",IF(ISNA(VLOOKUP(C35,Items!C$6:F$599,4,0)),"",(VLOOKUP(C35,Items!C$6:F$599,4,0))),IF($K$14="GH₵",IF(ISNA(VLOOKUP(C35,Items!C$6:G$599,5,0)),"",(VLOOKUP(C35,Items!C$6:G$599,5,0))),"")),IF('Customer Base'!$I$17="Super Dealer",IF($K$14="USD",IF(ISNA(VLOOKUP(C35,Items!C$6:I$599,6,0)),"",(VLOOKUP(C35,Items!C$6:I$599,6,0))),IF($K$14="GH₵",IF(ISNA(VLOOKUP(C35,Items!C$6:I$599,7,0)),"",(VLOOKUP(C35,Items!C$6:I$599,7,0))),"")),"")),IF('Customer Base'!I$12="DO NOT DISPLAY TAX",IF('Customer Base'!$I$17="Retail",IF($K$14="USD",IF(ISNA(VLOOKUP(C35,Items!C$6:F$599,2,0)),"",(VLOOKUP(C35,Items!C$6:F$599,2,0))),IF($K$14="GH₵",IF(ISNA(VLOOKUP(C35,Items!C$6:G$599,2,0)),"",'Customer Base'!J$5*(VLOOKUP(C35,Items!C$6:G$599,2,0))),"")),IF('Customer Base'!$I$17="Super Dealer",IF($K$14="USD",IF(ISNA(VLOOKUP(C35,Items!C$6:I$599,3,0)),"",(VLOOKUP(C35,Items!C$6:I$599,3,0))),IF($K$14="GH₵",IF(ISNA(VLOOKUP(C35,Items!C$6:I$599,3,0)),"",'Customer Base'!J$5*(VLOOKUP(C35,Items!C$6:I$599,3,0))),"")),"")),""))</f>
        <v>35.200000000000003</v>
      </c>
      <c r="K35" s="282">
        <f t="shared" ca="1" si="0"/>
        <v>2112</v>
      </c>
      <c r="L35" s="49"/>
      <c r="M35" s="48"/>
      <c r="N35" s="48"/>
      <c r="O35" s="48"/>
      <c r="P35" s="48"/>
      <c r="Q35" s="48"/>
      <c r="R35" s="48"/>
    </row>
    <row r="36" spans="1:18" ht="16" customHeight="1">
      <c r="A36" s="1"/>
      <c r="B36" s="294">
        <f t="array" aca="1" ref="B36" ca="1">IF('Customer Base'!$I$15="MANUAL",IFERROR(INDEX(Items!B$6:B$680,SMALL(IF(Items!B$6:B$680&lt;&gt;"",ROW(Items!B$6:B$680)-MIN(ROW(Items!B$6:B$680))+1),Items!N24)),""),IF('Customer Base'!$I$15="AUTOMATE",IFERROR(INDEX(Items!A$6:A$680,SMALL(IF(Items!A$6:A$680&lt;&gt;"",ROW(Items!A$6:A$680)-MIN(ROW(Items!A$6:A$680))+1),Items!N24)),""),""))</f>
        <v>1</v>
      </c>
      <c r="C36" s="279" t="str">
        <f t="array" aca="1" ref="C36" ca="1">IFERROR(INDEX(Items!O:O,SMALL(IF(Items!$O$6:$O$677&lt;&gt;"",ROW(Items!$O$6:$O$677)),Items!N24)),"")</f>
        <v>Victron RJ45 UTP Cable 3 m</v>
      </c>
      <c r="D36" s="284"/>
      <c r="E36" s="284"/>
      <c r="F36" s="284"/>
      <c r="G36" s="284"/>
      <c r="H36" s="284"/>
      <c r="I36" s="284"/>
      <c r="J36" s="285">
        <f ca="1">IF('Customer Base'!I$12="DISPLAY TAX",IF('Customer Base'!$I$17="Retail",IF($K$14="USD",IF(ISNA(VLOOKUP(C36,Items!C$6:F$599,4,0)),"",(VLOOKUP(C36,Items!C$6:F$599,4,0))),IF($K$14="GH₵",IF(ISNA(VLOOKUP(C36,Items!C$6:G$599,5,0)),"",(VLOOKUP(C36,Items!C$6:G$599,5,0))),"")),IF('Customer Base'!$I$17="Super Dealer",IF($K$14="USD",IF(ISNA(VLOOKUP(C36,Items!C$6:I$599,6,0)),"",(VLOOKUP(C36,Items!C$6:I$599,6,0))),IF($K$14="GH₵",IF(ISNA(VLOOKUP(C36,Items!C$6:I$599,7,0)),"",(VLOOKUP(C36,Items!C$6:I$599,7,0))),"")),"")),IF('Customer Base'!I$12="DO NOT DISPLAY TAX",IF('Customer Base'!$I$17="Retail",IF($K$14="USD",IF(ISNA(VLOOKUP(C36,Items!C$6:F$599,2,0)),"",(VLOOKUP(C36,Items!C$6:F$599,2,0))),IF($K$14="GH₵",IF(ISNA(VLOOKUP(C36,Items!C$6:G$599,2,0)),"",'Customer Base'!J$5*(VLOOKUP(C36,Items!C$6:G$599,2,0))),"")),IF('Customer Base'!$I$17="Super Dealer",IF($K$14="USD",IF(ISNA(VLOOKUP(C36,Items!C$6:I$599,3,0)),"",(VLOOKUP(C36,Items!C$6:I$599,3,0))),IF($K$14="GH₵",IF(ISNA(VLOOKUP(C36,Items!C$6:I$599,3,0)),"",'Customer Base'!J$5*(VLOOKUP(C36,Items!C$6:I$599,3,0))),"")),"")),""))</f>
        <v>202.24</v>
      </c>
      <c r="K36" s="282">
        <f t="shared" ca="1" si="0"/>
        <v>202.24</v>
      </c>
      <c r="L36" s="49"/>
      <c r="M36" s="48"/>
      <c r="N36" s="48"/>
      <c r="O36" s="48"/>
      <c r="P36" s="48"/>
      <c r="Q36" s="48"/>
      <c r="R36" s="48"/>
    </row>
    <row r="37" spans="1:18" ht="16" customHeight="1">
      <c r="A37" s="1"/>
      <c r="B37" s="294">
        <f t="array" aca="1" ref="B37" ca="1">IF('Customer Base'!$I$15="MANUAL",IFERROR(INDEX(Items!B$6:B$680,SMALL(IF(Items!B$6:B$680&lt;&gt;"",ROW(Items!B$6:B$680)-MIN(ROW(Items!B$6:B$680))+1),Items!N25)),""),IF('Customer Base'!$I$15="AUTOMATE",IFERROR(INDEX(Items!A$6:A$680,SMALL(IF(Items!A$6:A$680&lt;&gt;"",ROW(Items!A$6:A$680)-MIN(ROW(Items!A$6:A$680))+1),Items!N25)),""),""))</f>
        <v>5</v>
      </c>
      <c r="C37" s="279" t="str">
        <f t="array" aca="1" ref="C37" ca="1">IFERROR(INDEX(Items!O:O,SMALL(IF(Items!$O$6:$O$677&lt;&gt;"",ROW(Items!$O$6:$O$677)),Items!N25)),"")</f>
        <v>Victron VE.Direct Cable 1,8m</v>
      </c>
      <c r="D37" s="284"/>
      <c r="E37" s="284"/>
      <c r="F37" s="284"/>
      <c r="G37" s="284"/>
      <c r="H37" s="284"/>
      <c r="I37" s="284"/>
      <c r="J37" s="285">
        <f ca="1">IF('Customer Base'!I$12="DISPLAY TAX",IF('Customer Base'!$I$17="Retail",IF($K$14="USD",IF(ISNA(VLOOKUP(C37,Items!C$6:F$599,4,0)),"",(VLOOKUP(C37,Items!C$6:F$599,4,0))),IF($K$14="GH₵",IF(ISNA(VLOOKUP(C37,Items!C$6:G$599,5,0)),"",(VLOOKUP(C37,Items!C$6:G$599,5,0))),"")),IF('Customer Base'!$I$17="Super Dealer",IF($K$14="USD",IF(ISNA(VLOOKUP(C37,Items!C$6:I$599,6,0)),"",(VLOOKUP(C37,Items!C$6:I$599,6,0))),IF($K$14="GH₵",IF(ISNA(VLOOKUP(C37,Items!C$6:I$599,7,0)),"",(VLOOKUP(C37,Items!C$6:I$599,7,0))),"")),"")),IF('Customer Base'!I$12="DO NOT DISPLAY TAX",IF('Customer Base'!$I$17="Retail",IF($K$14="USD",IF(ISNA(VLOOKUP(C37,Items!C$6:F$599,2,0)),"",(VLOOKUP(C37,Items!C$6:F$599,2,0))),IF($K$14="GH₵",IF(ISNA(VLOOKUP(C37,Items!C$6:G$599,2,0)),"",'Customer Base'!J$5*(VLOOKUP(C37,Items!C$6:G$599,2,0))),"")),IF('Customer Base'!$I$17="Super Dealer",IF($K$14="USD",IF(ISNA(VLOOKUP(C37,Items!C$6:I$599,3,0)),"",(VLOOKUP(C37,Items!C$6:I$599,3,0))),IF($K$14="GH₵",IF(ISNA(VLOOKUP(C37,Items!C$6:I$599,3,0)),"",'Customer Base'!J$5*(VLOOKUP(C37,Items!C$6:I$599,3,0))),"")),"")),""))</f>
        <v>216.8</v>
      </c>
      <c r="K37" s="282">
        <f t="shared" ca="1" si="0"/>
        <v>1084</v>
      </c>
      <c r="L37" s="49"/>
      <c r="M37" s="48"/>
      <c r="N37" s="48"/>
      <c r="O37" s="48"/>
      <c r="P37" s="48"/>
      <c r="Q37" s="48"/>
      <c r="R37" s="48"/>
    </row>
    <row r="38" spans="1:18" ht="16" customHeight="1">
      <c r="A38" s="1"/>
      <c r="B38" s="294">
        <f t="array" aca="1" ref="B38" ca="1">IF('Customer Base'!$I$15="MANUAL",IFERROR(INDEX(Items!B$6:B$680,SMALL(IF(Items!B$6:B$680&lt;&gt;"",ROW(Items!B$6:B$680)-MIN(ROW(Items!B$6:B$680))+1),Items!N26)),""),IF('Customer Base'!$I$15="AUTOMATE",IFERROR(INDEX(Items!A$6:A$680,SMALL(IF(Items!A$6:A$680&lt;&gt;"",ROW(Items!A$6:A$680)-MIN(ROW(Items!A$6:A$680))+1),Items!N26)),""),""))</f>
        <v>1</v>
      </c>
      <c r="C38" s="279" t="str">
        <f t="array" aca="1" ref="C38" ca="1">IFERROR(INDEX(Items!O:O,SMALL(IF(Items!$O$6:$O$677&lt;&gt;"",ROW(Items!$O$6:$O$677)),Items!N26)),"")</f>
        <v>Victron VE.Can to CAN-bus BMS type B Cable 1.8m</v>
      </c>
      <c r="D38" s="284"/>
      <c r="E38" s="284"/>
      <c r="F38" s="284"/>
      <c r="G38" s="284"/>
      <c r="H38" s="284"/>
      <c r="I38" s="284"/>
      <c r="J38" s="285">
        <f ca="1">IF('Customer Base'!I$12="DISPLAY TAX",IF('Customer Base'!$I$17="Retail",IF($K$14="USD",IF(ISNA(VLOOKUP(C38,Items!C$6:F$599,4,0)),"",(VLOOKUP(C38,Items!C$6:F$599,4,0))),IF($K$14="GH₵",IF(ISNA(VLOOKUP(C38,Items!C$6:G$599,5,0)),"",(VLOOKUP(C38,Items!C$6:G$599,5,0))),"")),IF('Customer Base'!$I$17="Super Dealer",IF($K$14="USD",IF(ISNA(VLOOKUP(C38,Items!C$6:I$599,6,0)),"",(VLOOKUP(C38,Items!C$6:I$599,6,0))),IF($K$14="GH₵",IF(ISNA(VLOOKUP(C38,Items!C$6:I$599,7,0)),"",(VLOOKUP(C38,Items!C$6:I$599,7,0))),"")),"")),IF('Customer Base'!I$12="DO NOT DISPLAY TAX",IF('Customer Base'!$I$17="Retail",IF($K$14="USD",IF(ISNA(VLOOKUP(C38,Items!C$6:F$599,2,0)),"",(VLOOKUP(C38,Items!C$6:F$599,2,0))),IF($K$14="GH₵",IF(ISNA(VLOOKUP(C38,Items!C$6:G$599,2,0)),"",'Customer Base'!J$5*(VLOOKUP(C38,Items!C$6:G$599,2,0))),"")),IF('Customer Base'!$I$17="Super Dealer",IF($K$14="USD",IF(ISNA(VLOOKUP(C38,Items!C$6:I$599,3,0)),"",(VLOOKUP(C38,Items!C$6:I$599,3,0))),IF($K$14="GH₵",IF(ISNA(VLOOKUP(C38,Items!C$6:I$599,3,0)),"",'Customer Base'!J$5*(VLOOKUP(C38,Items!C$6:I$599,3,0))),"")),"")),""))</f>
        <v>279.68</v>
      </c>
      <c r="K38" s="282">
        <f t="shared" ca="1" si="0"/>
        <v>279.68</v>
      </c>
      <c r="L38" s="49"/>
      <c r="M38" s="48"/>
      <c r="N38" s="48"/>
      <c r="O38" s="48"/>
      <c r="P38" s="48"/>
      <c r="Q38" s="48"/>
      <c r="R38" s="48"/>
    </row>
    <row r="39" spans="1:18" ht="16" customHeight="1">
      <c r="A39" s="1"/>
      <c r="B39" s="294">
        <f t="array" aca="1" ref="B39" ca="1">IF('Customer Base'!$I$15="MANUAL",IFERROR(INDEX(Items!B$6:B$680,SMALL(IF(Items!B$6:B$680&lt;&gt;"",ROW(Items!B$6:B$680)-MIN(ROW(Items!B$6:B$680))+1),Items!N27)),""),IF('Customer Base'!$I$15="AUTOMATE",IFERROR(INDEX(Items!A$6:A$680,SMALL(IF(Items!A$6:A$680&lt;&gt;"",ROW(Items!A$6:A$680)-MIN(ROW(Items!A$6:A$680))+1),Items!N27)),""),""))</f>
        <v>1</v>
      </c>
      <c r="C39" s="279" t="str">
        <f t="array" aca="1" ref="C39" ca="1">IFERROR(INDEX(Items!O:O,SMALL(IF(Items!$O$6:$O$677&lt;&gt;"",ROW(Items!$O$6:$O$677)),Items!N27)),"")</f>
        <v>32A Manual Transfer Switch</v>
      </c>
      <c r="D39" s="284"/>
      <c r="E39" s="284"/>
      <c r="F39" s="284"/>
      <c r="G39" s="284"/>
      <c r="H39" s="284"/>
      <c r="I39" s="284"/>
      <c r="J39" s="285">
        <f ca="1">IF('Customer Base'!I$12="DISPLAY TAX",IF('Customer Base'!$I$17="Retail",IF($K$14="USD",IF(ISNA(VLOOKUP(C39,Items!C$6:F$599,4,0)),"",(VLOOKUP(C39,Items!C$6:F$599,4,0))),IF($K$14="GH₵",IF(ISNA(VLOOKUP(C39,Items!C$6:G$599,5,0)),"",(VLOOKUP(C39,Items!C$6:G$599,5,0))),"")),IF('Customer Base'!$I$17="Super Dealer",IF($K$14="USD",IF(ISNA(VLOOKUP(C39,Items!C$6:I$599,6,0)),"",(VLOOKUP(C39,Items!C$6:I$599,6,0))),IF($K$14="GH₵",IF(ISNA(VLOOKUP(C39,Items!C$6:I$599,7,0)),"",(VLOOKUP(C39,Items!C$6:I$599,7,0))),"")),"")),IF('Customer Base'!I$12="DO NOT DISPLAY TAX",IF('Customer Base'!$I$17="Retail",IF($K$14="USD",IF(ISNA(VLOOKUP(C39,Items!C$6:F$599,2,0)),"",(VLOOKUP(C39,Items!C$6:F$599,2,0))),IF($K$14="GH₵",IF(ISNA(VLOOKUP(C39,Items!C$6:G$599,2,0)),"",'Customer Base'!J$5*(VLOOKUP(C39,Items!C$6:G$599,2,0))),"")),IF('Customer Base'!$I$17="Super Dealer",IF($K$14="USD",IF(ISNA(VLOOKUP(C39,Items!C$6:I$599,3,0)),"",(VLOOKUP(C39,Items!C$6:I$599,3,0))),IF($K$14="GH₵",IF(ISNA(VLOOKUP(C39,Items!C$6:I$599,3,0)),"",'Customer Base'!J$5*(VLOOKUP(C39,Items!C$6:I$599,3,0))),"")),"")),""))</f>
        <v>825.6</v>
      </c>
      <c r="K39" s="282">
        <f t="shared" ca="1" si="0"/>
        <v>825.6</v>
      </c>
      <c r="L39" s="49"/>
      <c r="M39" s="48"/>
      <c r="N39" s="48"/>
      <c r="O39" s="48"/>
      <c r="P39" s="48"/>
      <c r="Q39" s="48"/>
      <c r="R39" s="48"/>
    </row>
    <row r="40" spans="1:18" ht="16" customHeight="1">
      <c r="A40" s="1"/>
      <c r="B40" s="294">
        <f t="array" aca="1" ref="B40" ca="1">IF('Customer Base'!$I$15="MANUAL",IFERROR(INDEX(Items!B$6:B$680,SMALL(IF(Items!B$6:B$680&lt;&gt;"",ROW(Items!B$6:B$680)-MIN(ROW(Items!B$6:B$680))+1),Items!N28)),""),IF('Customer Base'!$I$15="AUTOMATE",IFERROR(INDEX(Items!A$6:A$680,SMALL(IF(Items!A$6:A$680&lt;&gt;"",ROW(Items!A$6:A$680)-MIN(ROW(Items!A$6:A$680))+1),Items!N28)),""),""))</f>
        <v>2</v>
      </c>
      <c r="C40" s="279" t="str">
        <f t="array" aca="1" ref="C40" ca="1">IFERROR(INDEX(Items!O:O,SMALL(IF(Items!$O$6:$O$677&lt;&gt;"",ROW(Items!$O$6:$O$677)),Items!N28)),"")</f>
        <v>32A 4-Pole AC Circuit Breaker</v>
      </c>
      <c r="D40" s="284"/>
      <c r="E40" s="284"/>
      <c r="F40" s="284"/>
      <c r="G40" s="284"/>
      <c r="H40" s="284"/>
      <c r="I40" s="284"/>
      <c r="J40" s="285">
        <f ca="1">IF('Customer Base'!I$12="DISPLAY TAX",IF('Customer Base'!$I$17="Retail",IF($K$14="USD",IF(ISNA(VLOOKUP(C40,Items!C$6:F$599,4,0)),"",(VLOOKUP(C40,Items!C$6:F$599,4,0))),IF($K$14="GH₵",IF(ISNA(VLOOKUP(C40,Items!C$6:G$599,5,0)),"",(VLOOKUP(C40,Items!C$6:G$599,5,0))),"")),IF('Customer Base'!$I$17="Super Dealer",IF($K$14="USD",IF(ISNA(VLOOKUP(C40,Items!C$6:I$599,6,0)),"",(VLOOKUP(C40,Items!C$6:I$599,6,0))),IF($K$14="GH₵",IF(ISNA(VLOOKUP(C40,Items!C$6:I$599,7,0)),"",(VLOOKUP(C40,Items!C$6:I$599,7,0))),"")),"")),IF('Customer Base'!I$12="DO NOT DISPLAY TAX",IF('Customer Base'!$I$17="Retail",IF($K$14="USD",IF(ISNA(VLOOKUP(C40,Items!C$6:F$599,2,0)),"",(VLOOKUP(C40,Items!C$6:F$599,2,0))),IF($K$14="GH₵",IF(ISNA(VLOOKUP(C40,Items!C$6:G$599,2,0)),"",'Customer Base'!J$5*(VLOOKUP(C40,Items!C$6:G$599,2,0))),"")),IF('Customer Base'!$I$17="Super Dealer",IF($K$14="USD",IF(ISNA(VLOOKUP(C40,Items!C$6:I$599,3,0)),"",(VLOOKUP(C40,Items!C$6:I$599,3,0))),IF($K$14="GH₵",IF(ISNA(VLOOKUP(C40,Items!C$6:I$599,3,0)),"",'Customer Base'!J$5*(VLOOKUP(C40,Items!C$6:I$599,3,0))),"")),"")),""))</f>
        <v>800</v>
      </c>
      <c r="K40" s="282">
        <f t="shared" ca="1" si="0"/>
        <v>1600</v>
      </c>
      <c r="L40" s="49"/>
      <c r="M40" s="48"/>
      <c r="N40" s="48"/>
      <c r="O40" s="48"/>
      <c r="P40" s="48"/>
      <c r="Q40" s="48"/>
      <c r="R40" s="48"/>
    </row>
    <row r="41" spans="1:18" ht="16" customHeight="1">
      <c r="A41" s="1"/>
      <c r="B41" s="294">
        <f t="array" aca="1" ref="B41" ca="1">IF('Customer Base'!$I$15="MANUAL",IFERROR(INDEX(Items!B$6:B$680,SMALL(IF(Items!B$6:B$680&lt;&gt;"",ROW(Items!B$6:B$680)-MIN(ROW(Items!B$6:B$680))+1),Items!N29)),""),IF('Customer Base'!$I$15="AUTOMATE",IFERROR(INDEX(Items!A$6:A$680,SMALL(IF(Items!A$6:A$680&lt;&gt;"",ROW(Items!A$6:A$680)-MIN(ROW(Items!A$6:A$680))+1),Items!N29)),""),""))</f>
        <v>21</v>
      </c>
      <c r="C41" s="279" t="str">
        <f t="array" aca="1" ref="C41" ca="1">IFERROR(INDEX(Items!O:O,SMALL(IF(Items!$O$6:$O$677&lt;&gt;"",ROW(Items!$O$6:$O$677)),Items!N29)),"")</f>
        <v>Victron MC4 Solar connector pair MC4, 1x Male/1x Female</v>
      </c>
      <c r="D41" s="284"/>
      <c r="E41" s="284"/>
      <c r="F41" s="284"/>
      <c r="G41" s="284"/>
      <c r="H41" s="284"/>
      <c r="I41" s="284"/>
      <c r="J41" s="285">
        <f ca="1">IF('Customer Base'!I$12="DISPLAY TAX",IF('Customer Base'!$I$17="Retail",IF($K$14="USD",IF(ISNA(VLOOKUP(C41,Items!C$6:F$599,4,0)),"",(VLOOKUP(C41,Items!C$6:F$599,4,0))),IF($K$14="GH₵",IF(ISNA(VLOOKUP(C41,Items!C$6:G$599,5,0)),"",(VLOOKUP(C41,Items!C$6:G$599,5,0))),"")),IF('Customer Base'!$I$17="Super Dealer",IF($K$14="USD",IF(ISNA(VLOOKUP(C41,Items!C$6:I$599,6,0)),"",(VLOOKUP(C41,Items!C$6:I$599,6,0))),IF($K$14="GH₵",IF(ISNA(VLOOKUP(C41,Items!C$6:I$599,7,0)),"",(VLOOKUP(C41,Items!C$6:I$599,7,0))),"")),"")),IF('Customer Base'!I$12="DO NOT DISPLAY TAX",IF('Customer Base'!$I$17="Retail",IF($K$14="USD",IF(ISNA(VLOOKUP(C41,Items!C$6:F$599,2,0)),"",(VLOOKUP(C41,Items!C$6:F$599,2,0))),IF($K$14="GH₵",IF(ISNA(VLOOKUP(C41,Items!C$6:G$599,2,0)),"",'Customer Base'!J$5*(VLOOKUP(C41,Items!C$6:G$599,2,0))),"")),IF('Customer Base'!$I$17="Super Dealer",IF($K$14="USD",IF(ISNA(VLOOKUP(C41,Items!C$6:I$599,3,0)),"",(VLOOKUP(C41,Items!C$6:I$599,3,0))),IF($K$14="GH₵",IF(ISNA(VLOOKUP(C41,Items!C$6:I$599,3,0)),"",'Customer Base'!J$5*(VLOOKUP(C41,Items!C$6:I$599,3,0))),"")),"")),""))</f>
        <v>144.47999999999999</v>
      </c>
      <c r="K41" s="282">
        <f t="shared" ca="1" si="0"/>
        <v>3034.08</v>
      </c>
      <c r="L41" s="49"/>
      <c r="M41" s="48"/>
      <c r="N41" s="48"/>
      <c r="O41" s="48"/>
      <c r="P41" s="48"/>
      <c r="Q41" s="48"/>
      <c r="R41" s="48"/>
    </row>
    <row r="42" spans="1:18" ht="16" customHeight="1">
      <c r="A42" s="1"/>
      <c r="B42" s="294">
        <f t="array" aca="1" ref="B42" ca="1">IF('Customer Base'!$I$15="MANUAL",IFERROR(INDEX(Items!B$6:B$680,SMALL(IF(Items!B$6:B$680&lt;&gt;"",ROW(Items!B$6:B$680)-MIN(ROW(Items!B$6:B$680))+1),Items!N30)),""),IF('Customer Base'!$I$15="AUTOMATE",IFERROR(INDEX(Items!A$6:A$680,SMALL(IF(Items!A$6:A$680&lt;&gt;"",ROW(Items!A$6:A$680)-MIN(ROW(Items!A$6:A$680))+1),Items!N30)),""),""))</f>
        <v>1</v>
      </c>
      <c r="C42" s="279" t="str">
        <f t="array" aca="1" ref="C42" ca="1">IFERROR(INDEX(Items!O:O,SMALL(IF(Items!$O$6:$O$677&lt;&gt;"",ROW(Items!$O$6:$O$677)),Items!N30)),"")</f>
        <v>50x200mm Enclosure with Dinrail</v>
      </c>
      <c r="D42" s="284"/>
      <c r="E42" s="284"/>
      <c r="F42" s="284"/>
      <c r="G42" s="284"/>
      <c r="H42" s="284"/>
      <c r="I42" s="284"/>
      <c r="J42" s="285">
        <f ca="1">IF('Customer Base'!I$12="DISPLAY TAX",IF('Customer Base'!$I$17="Retail",IF($K$14="USD",IF(ISNA(VLOOKUP(C42,Items!C$6:F$599,4,0)),"",(VLOOKUP(C42,Items!C$6:F$599,4,0))),IF($K$14="GH₵",IF(ISNA(VLOOKUP(C42,Items!C$6:G$599,5,0)),"",(VLOOKUP(C42,Items!C$6:G$599,5,0))),"")),IF('Customer Base'!$I$17="Super Dealer",IF($K$14="USD",IF(ISNA(VLOOKUP(C42,Items!C$6:I$599,6,0)),"",(VLOOKUP(C42,Items!C$6:I$599,6,0))),IF($K$14="GH₵",IF(ISNA(VLOOKUP(C42,Items!C$6:I$599,7,0)),"",(VLOOKUP(C42,Items!C$6:I$599,7,0))),"")),"")),IF('Customer Base'!I$12="DO NOT DISPLAY TAX",IF('Customer Base'!$I$17="Retail",IF($K$14="USD",IF(ISNA(VLOOKUP(C42,Items!C$6:F$599,2,0)),"",(VLOOKUP(C42,Items!C$6:F$599,2,0))),IF($K$14="GH₵",IF(ISNA(VLOOKUP(C42,Items!C$6:G$599,2,0)),"",'Customer Base'!J$5*(VLOOKUP(C42,Items!C$6:G$599,2,0))),"")),IF('Customer Base'!$I$17="Super Dealer",IF($K$14="USD",IF(ISNA(VLOOKUP(C42,Items!C$6:I$599,3,0)),"",(VLOOKUP(C42,Items!C$6:I$599,3,0))),IF($K$14="GH₵",IF(ISNA(VLOOKUP(C42,Items!C$6:I$599,3,0)),"",'Customer Base'!J$5*(VLOOKUP(C42,Items!C$6:I$599,3,0))),"")),"")),""))</f>
        <v>271.18644067792002</v>
      </c>
      <c r="K42" s="282">
        <f t="shared" ca="1" si="0"/>
        <v>271.18644067792002</v>
      </c>
      <c r="L42" s="49"/>
      <c r="M42" s="48"/>
      <c r="N42" s="48"/>
      <c r="O42" s="48"/>
      <c r="P42" s="48"/>
      <c r="Q42" s="48"/>
      <c r="R42" s="48"/>
    </row>
    <row r="43" spans="1:18" ht="16" customHeight="1">
      <c r="A43" s="1"/>
      <c r="B43" s="294">
        <f t="array" aca="1" ref="B43" ca="1">IF('Customer Base'!$I$15="MANUAL",IFERROR(INDEX(Items!B$6:B$680,SMALL(IF(Items!B$6:B$680&lt;&gt;"",ROW(Items!B$6:B$680)-MIN(ROW(Items!B$6:B$680))+1),Items!N31)),""),IF('Customer Base'!$I$15="AUTOMATE",IFERROR(INDEX(Items!A$6:A$680,SMALL(IF(Items!A$6:A$680&lt;&gt;"",ROW(Items!A$6:A$680)-MIN(ROW(Items!A$6:A$680))+1),Items!N31)),""),""))</f>
        <v>10</v>
      </c>
      <c r="C43" s="279" t="str">
        <f t="array" aca="1" ref="C43" ca="1">IFERROR(INDEX(Items!O:O,SMALL(IF(Items!$O$6:$O$677&lt;&gt;"",ROW(Items!$O$6:$O$677)),Items!N31)),"")</f>
        <v>Mounting Structure for Metal/ Tile Roof (per set of 4 panels) - 4.64 meter</v>
      </c>
      <c r="D43" s="284"/>
      <c r="E43" s="284"/>
      <c r="F43" s="284"/>
      <c r="G43" s="284"/>
      <c r="H43" s="284"/>
      <c r="I43" s="284"/>
      <c r="J43" s="285">
        <f ca="1">IF('Customer Base'!I$12="DISPLAY TAX",IF('Customer Base'!$I$17="Retail",IF($K$14="USD",IF(ISNA(VLOOKUP(C43,Items!C$6:F$599,4,0)),"",(VLOOKUP(C43,Items!C$6:F$599,4,0))),IF($K$14="GH₵",IF(ISNA(VLOOKUP(C43,Items!C$6:G$599,5,0)),"",(VLOOKUP(C43,Items!C$6:G$599,5,0))),"")),IF('Customer Base'!$I$17="Super Dealer",IF($K$14="USD",IF(ISNA(VLOOKUP(C43,Items!C$6:I$599,6,0)),"",(VLOOKUP(C43,Items!C$6:I$599,6,0))),IF($K$14="GH₵",IF(ISNA(VLOOKUP(C43,Items!C$6:I$599,7,0)),"",(VLOOKUP(C43,Items!C$6:I$599,7,0))),"")),"")),IF('Customer Base'!I$12="DO NOT DISPLAY TAX",IF('Customer Base'!$I$17="Retail",IF($K$14="USD",IF(ISNA(VLOOKUP(C43,Items!C$6:F$599,2,0)),"",(VLOOKUP(C43,Items!C$6:F$599,2,0))),IF($K$14="GH₵",IF(ISNA(VLOOKUP(C43,Items!C$6:G$599,2,0)),"",'Customer Base'!J$5*(VLOOKUP(C43,Items!C$6:G$599,2,0))),"")),IF('Customer Base'!$I$17="Super Dealer",IF($K$14="USD",IF(ISNA(VLOOKUP(C43,Items!C$6:I$599,3,0)),"",(VLOOKUP(C43,Items!C$6:I$599,3,0))),IF($K$14="GH₵",IF(ISNA(VLOOKUP(C43,Items!C$6:I$599,3,0)),"",'Customer Base'!J$5*(VLOOKUP(C43,Items!C$6:I$599,3,0))),"")),"")),""))</f>
        <v>1376</v>
      </c>
      <c r="K43" s="282">
        <f t="shared" ca="1" si="0"/>
        <v>13760</v>
      </c>
      <c r="L43" s="49"/>
      <c r="M43" s="48"/>
      <c r="N43" s="48"/>
      <c r="O43" s="48"/>
      <c r="P43" s="48"/>
      <c r="Q43" s="48"/>
      <c r="R43" s="48"/>
    </row>
    <row r="44" spans="1:18" ht="16" customHeight="1">
      <c r="A44" s="1"/>
      <c r="B44" s="294">
        <f t="array" aca="1" ref="B44" ca="1">IF('Customer Base'!$I$15="MANUAL",IFERROR(INDEX(Items!B$6:B$680,SMALL(IF(Items!B$6:B$680&lt;&gt;"",ROW(Items!B$6:B$680)-MIN(ROW(Items!B$6:B$680))+1),Items!N32)),""),IF('Customer Base'!$I$15="AUTOMATE",IFERROR(INDEX(Items!A$6:A$680,SMALL(IF(Items!A$6:A$680&lt;&gt;"",ROW(Items!A$6:A$680)-MIN(ROW(Items!A$6:A$680))+1),Items!N32)),""),""))</f>
        <v>1</v>
      </c>
      <c r="C44" s="279" t="str">
        <f t="array" aca="1" ref="C44" ca="1">IFERROR(INDEX(Items!O:O,SMALL(IF(Items!$O$6:$O$677&lt;&gt;"",ROW(Items!$O$6:$O$677)),Items!N32)),"")</f>
        <v>PVC Pipes, Trunking, Cable Lugs and Assessories</v>
      </c>
      <c r="D44" s="284"/>
      <c r="E44" s="284"/>
      <c r="F44" s="284"/>
      <c r="G44" s="284"/>
      <c r="H44" s="284"/>
      <c r="I44" s="284"/>
      <c r="J44" s="285">
        <f ca="1">IF('Customer Base'!I$12="DISPLAY TAX",IF('Customer Base'!$I$17="Retail",IF($K$14="USD",IF(ISNA(VLOOKUP(C44,Items!C$6:F$599,4,0)),"",(VLOOKUP(C44,Items!C$6:F$599,4,0))),IF($K$14="GH₵",IF(ISNA(VLOOKUP(C44,Items!C$6:G$599,5,0)),"",(VLOOKUP(C44,Items!C$6:G$599,5,0))),"")),IF('Customer Base'!$I$17="Super Dealer",IF($K$14="USD",IF(ISNA(VLOOKUP(C44,Items!C$6:I$599,6,0)),"",(VLOOKUP(C44,Items!C$6:I$599,6,0))),IF($K$14="GH₵",IF(ISNA(VLOOKUP(C44,Items!C$6:I$599,7,0)),"",(VLOOKUP(C44,Items!C$6:I$599,7,0))),"")),"")),IF('Customer Base'!I$12="DO NOT DISPLAY TAX",IF('Customer Base'!$I$17="Retail",IF($K$14="USD",IF(ISNA(VLOOKUP(C44,Items!C$6:F$599,2,0)),"",(VLOOKUP(C44,Items!C$6:F$599,2,0))),IF($K$14="GH₵",IF(ISNA(VLOOKUP(C44,Items!C$6:G$599,2,0)),"",'Customer Base'!J$5*(VLOOKUP(C44,Items!C$6:G$599,2,0))),"")),IF('Customer Base'!$I$17="Super Dealer",IF($K$14="USD",IF(ISNA(VLOOKUP(C44,Items!C$6:I$599,3,0)),"",(VLOOKUP(C44,Items!C$6:I$599,3,0))),IF($K$14="GH₵",IF(ISNA(VLOOKUP(C44,Items!C$6:I$599,3,0)),"",'Customer Base'!J$5*(VLOOKUP(C44,Items!C$6:I$599,3,0))),"")),"")),""))</f>
        <v>1950.4</v>
      </c>
      <c r="K44" s="282">
        <f t="shared" ca="1" si="0"/>
        <v>1950.4</v>
      </c>
      <c r="L44" s="49"/>
      <c r="M44" s="48"/>
      <c r="N44" s="48"/>
      <c r="O44" s="48"/>
      <c r="P44" s="48"/>
      <c r="Q44" s="48"/>
      <c r="R44" s="48"/>
    </row>
    <row r="45" spans="1:18" ht="16" customHeight="1">
      <c r="A45" s="1"/>
      <c r="B45" s="294">
        <f t="array" aca="1" ref="B45" ca="1">IF('Customer Base'!$I$15="MANUAL",IFERROR(INDEX(Items!B$6:B$680,SMALL(IF(Items!B$6:B$680&lt;&gt;"",ROW(Items!B$6:B$680)-MIN(ROW(Items!B$6:B$680))+1),Items!N33)),""),IF('Customer Base'!$I$15="AUTOMATE",IFERROR(INDEX(Items!A$6:A$680,SMALL(IF(Items!A$6:A$680&lt;&gt;"",ROW(Items!A$6:A$680)-MIN(ROW(Items!A$6:A$680))+1),Items!N33)),""),""))</f>
        <v>1</v>
      </c>
      <c r="C45" s="279" t="str">
        <f t="array" aca="1" ref="C45" ca="1">IFERROR(INDEX(Items!O:O,SMALL(IF(Items!$O$6:$O$677&lt;&gt;"",ROW(Items!$O$6:$O$677)),Items!N33)),"")</f>
        <v>Transportation Expenses</v>
      </c>
      <c r="D45" s="280"/>
      <c r="E45" s="280"/>
      <c r="F45" s="280"/>
      <c r="G45" s="280"/>
      <c r="H45" s="280"/>
      <c r="I45" s="280"/>
      <c r="J45" s="285">
        <f ca="1">IF('Customer Base'!I$12="DISPLAY TAX",IF('Customer Base'!$I$17="Retail",IF($K$14="USD",IF(ISNA(VLOOKUP(C45,Items!C$6:F$599,4,0)),"",(VLOOKUP(C45,Items!C$6:F$599,4,0))),IF($K$14="GH₵",IF(ISNA(VLOOKUP(C45,Items!C$6:G$599,5,0)),"",(VLOOKUP(C45,Items!C$6:G$599,5,0))),"")),IF('Customer Base'!$I$17="Super Dealer",IF($K$14="USD",IF(ISNA(VLOOKUP(C45,Items!C$6:I$599,6,0)),"",(VLOOKUP(C45,Items!C$6:I$599,6,0))),IF($K$14="GH₵",IF(ISNA(VLOOKUP(C45,Items!C$6:I$599,7,0)),"",(VLOOKUP(C45,Items!C$6:I$599,7,0))),"")),"")),IF('Customer Base'!I$12="DO NOT DISPLAY TAX",IF('Customer Base'!$I$17="Retail",IF($K$14="USD",IF(ISNA(VLOOKUP(C45,Items!C$6:F$599,2,0)),"",(VLOOKUP(C45,Items!C$6:F$599,2,0))),IF($K$14="GH₵",IF(ISNA(VLOOKUP(C45,Items!C$6:G$599,2,0)),"",'Customer Base'!J$5*(VLOOKUP(C45,Items!C$6:G$599,2,0))),"")),IF('Customer Base'!$I$17="Super Dealer",IF($K$14="USD",IF(ISNA(VLOOKUP(C45,Items!C$6:I$599,3,0)),"",(VLOOKUP(C45,Items!C$6:I$599,3,0))),IF($K$14="GH₵",IF(ISNA(VLOOKUP(C45,Items!C$6:I$599,3,0)),"",'Customer Base'!J$5*(VLOOKUP(C45,Items!C$6:I$599,3,0))),"")),"")),""))</f>
        <v>5567.4382544</v>
      </c>
      <c r="K45" s="282">
        <f t="shared" ca="1" si="0"/>
        <v>5567.4382544</v>
      </c>
      <c r="L45" s="49"/>
      <c r="M45" s="48"/>
      <c r="N45" s="48"/>
      <c r="O45" s="48"/>
      <c r="P45" s="48"/>
      <c r="Q45" s="48"/>
      <c r="R45" s="48"/>
    </row>
    <row r="46" spans="1:18" ht="16" customHeight="1">
      <c r="A46" s="1"/>
      <c r="B46" s="294">
        <f t="array" aca="1" ref="B46" ca="1">IF('Customer Base'!$I$15="MANUAL",IFERROR(INDEX(Items!B$6:B$680,SMALL(IF(Items!B$6:B$680&lt;&gt;"",ROW(Items!B$6:B$680)-MIN(ROW(Items!B$6:B$680))+1),Items!N34)),""),IF('Customer Base'!$I$15="AUTOMATE",IFERROR(INDEX(Items!A$6:A$680,SMALL(IF(Items!A$6:A$680&lt;&gt;"",ROW(Items!A$6:A$680)-MIN(ROW(Items!A$6:A$680))+1),Items!N34)),""),""))</f>
        <v>1</v>
      </c>
      <c r="C46" s="279" t="str">
        <f t="array" aca="1" ref="C46" ca="1">IFERROR(INDEX(Items!O:O,SMALL(IF(Items!$O$6:$O$677&lt;&gt;"",ROW(Items!$O$6:$O$677)),Items!N34)),"")</f>
        <v>Engineering and Installation Works</v>
      </c>
      <c r="D46" s="280"/>
      <c r="E46" s="280"/>
      <c r="F46" s="280"/>
      <c r="G46" s="280"/>
      <c r="H46" s="280"/>
      <c r="I46" s="280"/>
      <c r="J46" s="285">
        <f ca="1">IF('Customer Base'!I$12="DISPLAY TAX",IF('Customer Base'!$I$17="Retail",IF($K$14="USD",IF(ISNA(VLOOKUP(C46,Items!C$6:F$599,4,0)),"",(VLOOKUP(C46,Items!C$6:F$599,4,0))),IF($K$14="GH₵",IF(ISNA(VLOOKUP(C46,Items!C$6:G$599,5,0)),"",(VLOOKUP(C46,Items!C$6:G$599,5,0))),"")),IF('Customer Base'!$I$17="Super Dealer",IF($K$14="USD",IF(ISNA(VLOOKUP(C46,Items!C$6:I$599,6,0)),"",(VLOOKUP(C46,Items!C$6:I$599,6,0))),IF($K$14="GH₵",IF(ISNA(VLOOKUP(C46,Items!C$6:I$599,7,0)),"",(VLOOKUP(C46,Items!C$6:I$599,7,0))),"")),"")),IF('Customer Base'!I$12="DO NOT DISPLAY TAX",IF('Customer Base'!$I$17="Retail",IF($K$14="USD",IF(ISNA(VLOOKUP(C46,Items!C$6:F$599,2,0)),"",(VLOOKUP(C46,Items!C$6:F$599,2,0))),IF($K$14="GH₵",IF(ISNA(VLOOKUP(C46,Items!C$6:G$599,2,0)),"",'Customer Base'!J$5*(VLOOKUP(C46,Items!C$6:G$599,2,0))),"")),IF('Customer Base'!$I$17="Super Dealer",IF($K$14="USD",IF(ISNA(VLOOKUP(C46,Items!C$6:I$599,3,0)),"",(VLOOKUP(C46,Items!C$6:I$599,3,0))),IF($K$14="GH₵",IF(ISNA(VLOOKUP(C46,Items!C$6:I$599,3,0)),"",'Customer Base'!J$5*(VLOOKUP(C46,Items!C$6:I$599,3,0))),"")),"")),""))</f>
        <v>6486.4000000000005</v>
      </c>
      <c r="K46" s="282">
        <f t="shared" ca="1" si="0"/>
        <v>6486.4000000000005</v>
      </c>
      <c r="L46" s="49"/>
      <c r="M46" s="48"/>
      <c r="N46" s="48"/>
      <c r="O46" s="48"/>
      <c r="P46" s="48"/>
      <c r="Q46" s="48"/>
      <c r="R46" s="48"/>
    </row>
    <row r="47" spans="1:18" ht="16" customHeight="1">
      <c r="A47" s="1"/>
      <c r="B47" s="294" t="str">
        <f t="array" aca="1" ref="B47" ca="1">IF('Customer Base'!$I$15="MANUAL",IFERROR(INDEX(Items!B$6:B$680,SMALL(IF(Items!B$6:B$680&lt;&gt;"",ROW(Items!B$6:B$680)-MIN(ROW(Items!B$6:B$680))+1),Items!N35)),""),IF('Customer Base'!$I$15="AUTOMATE",IFERROR(INDEX(Items!A$6:A$680,SMALL(IF(Items!A$6:A$680&lt;&gt;"",ROW(Items!A$6:A$680)-MIN(ROW(Items!A$6:A$680))+1),Items!N35)),""),""))</f>
        <v/>
      </c>
      <c r="C47" s="279" t="str">
        <f t="array" aca="1" ref="C47" ca="1">IFERROR(INDEX(Items!O:O,SMALL(IF(Items!$O$6:$O$677&lt;&gt;"",ROW(Items!$O$6:$O$677)),Items!N35)),"")</f>
        <v/>
      </c>
      <c r="D47" s="280"/>
      <c r="E47" s="280"/>
      <c r="F47" s="280"/>
      <c r="G47" s="280"/>
      <c r="H47" s="280"/>
      <c r="I47" s="280"/>
      <c r="J47" s="285" t="str">
        <f ca="1">IF('Customer Base'!I$12="DISPLAY TAX",IF('Customer Base'!$I$17="Retail",IF($K$14="USD",IF(ISNA(VLOOKUP(C47,Items!C$6:F$599,4,0)),"",(VLOOKUP(C47,Items!C$6:F$599,4,0))),IF($K$14="GH₵",IF(ISNA(VLOOKUP(C47,Items!C$6:G$599,5,0)),"",(VLOOKUP(C47,Items!C$6:G$599,5,0))),"")),IF('Customer Base'!$I$17="Super Dealer",IF($K$14="USD",IF(ISNA(VLOOKUP(C47,Items!C$6:I$599,6,0)),"",(VLOOKUP(C47,Items!C$6:I$599,6,0))),IF($K$14="GH₵",IF(ISNA(VLOOKUP(C47,Items!C$6:I$599,7,0)),"",(VLOOKUP(C47,Items!C$6:I$599,7,0))),"")),"")),IF('Customer Base'!I$12="DO NOT DISPLAY TAX",IF('Customer Base'!$I$17="Retail",IF($K$14="USD",IF(ISNA(VLOOKUP(C47,Items!C$6:F$599,2,0)),"",(VLOOKUP(C47,Items!C$6:F$599,2,0))),IF($K$14="GH₵",IF(ISNA(VLOOKUP(C47,Items!C$6:G$599,2,0)),"",'Customer Base'!J$5*(VLOOKUP(C47,Items!C$6:G$599,2,0))),"")),IF('Customer Base'!$I$17="Super Dealer",IF($K$14="USD",IF(ISNA(VLOOKUP(C47,Items!C$6:I$599,3,0)),"",(VLOOKUP(C47,Items!C$6:I$599,3,0))),IF($K$14="GH₵",IF(ISNA(VLOOKUP(C47,Items!C$6:I$599,3,0)),"",'Customer Base'!J$5*(VLOOKUP(C47,Items!C$6:I$599,3,0))),"")),"")),""))</f>
        <v/>
      </c>
      <c r="K47" s="282" t="str">
        <f t="shared" ca="1" si="0"/>
        <v/>
      </c>
      <c r="L47" s="49"/>
      <c r="M47" s="48"/>
      <c r="N47" s="48"/>
      <c r="O47" s="48"/>
      <c r="P47" s="48"/>
      <c r="Q47" s="48"/>
      <c r="R47" s="48"/>
    </row>
    <row r="48" spans="1:18" ht="16" customHeight="1">
      <c r="A48" s="1"/>
      <c r="B48" s="294" t="str">
        <f t="array" aca="1" ref="B48" ca="1">IF('Customer Base'!$I$15="MANUAL",IFERROR(INDEX(Items!B$6:B$680,SMALL(IF(Items!B$6:B$680&lt;&gt;"",ROW(Items!B$6:B$680)-MIN(ROW(Items!B$6:B$680))+1),Items!N36)),""),IF('Customer Base'!$I$15="AUTOMATE",IFERROR(INDEX(Items!A$6:A$680,SMALL(IF(Items!A$6:A$680&lt;&gt;"",ROW(Items!A$6:A$680)-MIN(ROW(Items!A$6:A$680))+1),Items!N36)),""),""))</f>
        <v/>
      </c>
      <c r="C48" s="279" t="str">
        <f t="array" aca="1" ref="C48" ca="1">IFERROR(INDEX(Items!O:O,SMALL(IF(Items!$O$6:$O$677&lt;&gt;"",ROW(Items!$O$6:$O$677)),Items!N36)),"")</f>
        <v/>
      </c>
      <c r="D48" s="280"/>
      <c r="E48" s="280"/>
      <c r="F48" s="280"/>
      <c r="G48" s="280"/>
      <c r="H48" s="280"/>
      <c r="I48" s="280"/>
      <c r="J48" s="285" t="str">
        <f ca="1">IF('Customer Base'!I$12="DISPLAY TAX",IF('Customer Base'!$I$17="Retail",IF($K$14="USD",IF(ISNA(VLOOKUP(C48,Items!C$6:F$599,4,0)),"",(VLOOKUP(C48,Items!C$6:F$599,4,0))),IF($K$14="GH₵",IF(ISNA(VLOOKUP(C48,Items!C$6:G$599,5,0)),"",(VLOOKUP(C48,Items!C$6:G$599,5,0))),"")),IF('Customer Base'!$I$17="Super Dealer",IF($K$14="USD",IF(ISNA(VLOOKUP(C48,Items!C$6:I$599,6,0)),"",(VLOOKUP(C48,Items!C$6:I$599,6,0))),IF($K$14="GH₵",IF(ISNA(VLOOKUP(C48,Items!C$6:I$599,7,0)),"",(VLOOKUP(C48,Items!C$6:I$599,7,0))),"")),"")),IF('Customer Base'!I$12="DO NOT DISPLAY TAX",IF('Customer Base'!$I$17="Retail",IF($K$14="USD",IF(ISNA(VLOOKUP(C48,Items!C$6:F$599,2,0)),"",(VLOOKUP(C48,Items!C$6:F$599,2,0))),IF($K$14="GH₵",IF(ISNA(VLOOKUP(C48,Items!C$6:G$599,2,0)),"",'Customer Base'!J$5*(VLOOKUP(C48,Items!C$6:G$599,2,0))),"")),IF('Customer Base'!$I$17="Super Dealer",IF($K$14="USD",IF(ISNA(VLOOKUP(C48,Items!C$6:I$599,3,0)),"",(VLOOKUP(C48,Items!C$6:I$599,3,0))),IF($K$14="GH₵",IF(ISNA(VLOOKUP(C48,Items!C$6:I$599,3,0)),"",'Customer Base'!J$5*(VLOOKUP(C48,Items!C$6:I$599,3,0))),"")),"")),""))</f>
        <v/>
      </c>
      <c r="K48" s="282" t="str">
        <f t="shared" ca="1" si="0"/>
        <v/>
      </c>
      <c r="L48" s="49"/>
      <c r="M48" s="48"/>
      <c r="N48" s="48"/>
      <c r="O48" s="48"/>
      <c r="P48" s="48"/>
      <c r="Q48" s="48"/>
      <c r="R48" s="48"/>
    </row>
    <row r="49" spans="1:118" ht="16" customHeight="1">
      <c r="A49" s="1"/>
      <c r="B49" s="294" t="str">
        <f t="array" aca="1" ref="B49" ca="1">IF('Customer Base'!$I$15="MANUAL",IFERROR(INDEX(Items!B$6:B$680,SMALL(IF(Items!B$6:B$680&lt;&gt;"",ROW(Items!B$6:B$680)-MIN(ROW(Items!B$6:B$680))+1),Items!N37)),""),IF('Customer Base'!$I$15="AUTOMATE",IFERROR(INDEX(Items!A$6:A$680,SMALL(IF(Items!A$6:A$680&lt;&gt;"",ROW(Items!A$6:A$680)-MIN(ROW(Items!A$6:A$680))+1),Items!N37)),""),""))</f>
        <v/>
      </c>
      <c r="C49" s="279" t="str">
        <f t="array" aca="1" ref="C49" ca="1">IFERROR(INDEX(Items!O:O,SMALL(IF(Items!$O$6:$O$677&lt;&gt;"",ROW(Items!$O$6:$O$677)),Items!N37)),"")</f>
        <v/>
      </c>
      <c r="D49" s="280"/>
      <c r="E49" s="280"/>
      <c r="F49" s="280"/>
      <c r="G49" s="280"/>
      <c r="H49" s="280"/>
      <c r="I49" s="280"/>
      <c r="J49" s="285" t="str">
        <f ca="1">IF('Customer Base'!I$12="DISPLAY TAX",IF('Customer Base'!$I$17="Retail",IF($K$14="USD",IF(ISNA(VLOOKUP(C49,Items!C$6:F$599,4,0)),"",(VLOOKUP(C49,Items!C$6:F$599,4,0))),IF($K$14="GH₵",IF(ISNA(VLOOKUP(C49,Items!C$6:G$599,5,0)),"",(VLOOKUP(C49,Items!C$6:G$599,5,0))),"")),IF('Customer Base'!$I$17="Super Dealer",IF($K$14="USD",IF(ISNA(VLOOKUP(C49,Items!C$6:I$599,6,0)),"",(VLOOKUP(C49,Items!C$6:I$599,6,0))),IF($K$14="GH₵",IF(ISNA(VLOOKUP(C49,Items!C$6:I$599,7,0)),"",(VLOOKUP(C49,Items!C$6:I$599,7,0))),"")),"")),IF('Customer Base'!I$12="DO NOT DISPLAY TAX",IF('Customer Base'!$I$17="Retail",IF($K$14="USD",IF(ISNA(VLOOKUP(C49,Items!C$6:F$599,2,0)),"",(VLOOKUP(C49,Items!C$6:F$599,2,0))),IF($K$14="GH₵",IF(ISNA(VLOOKUP(C49,Items!C$6:G$599,2,0)),"",'Customer Base'!J$5*(VLOOKUP(C49,Items!C$6:G$599,2,0))),"")),IF('Customer Base'!$I$17="Super Dealer",IF($K$14="USD",IF(ISNA(VLOOKUP(C49,Items!C$6:I$599,3,0)),"",(VLOOKUP(C49,Items!C$6:I$599,3,0))),IF($K$14="GH₵",IF(ISNA(VLOOKUP(C49,Items!C$6:I$599,3,0)),"",'Customer Base'!J$5*(VLOOKUP(C49,Items!C$6:I$599,3,0))),"")),"")),""))</f>
        <v/>
      </c>
      <c r="K49" s="282" t="str">
        <f t="shared" ca="1" si="0"/>
        <v/>
      </c>
      <c r="L49" s="49"/>
      <c r="M49" s="48"/>
      <c r="N49" s="48"/>
      <c r="O49" s="48"/>
      <c r="P49" s="48"/>
      <c r="Q49" s="48"/>
      <c r="R49" s="48"/>
    </row>
    <row r="50" spans="1:118" ht="16" customHeight="1">
      <c r="A50" s="1"/>
      <c r="B50" s="294" t="str">
        <f t="array" aca="1" ref="B50" ca="1">IF('Customer Base'!$I$15="MANUAL",IFERROR(INDEX(Items!B$6:B$680,SMALL(IF(Items!B$6:B$680&lt;&gt;"",ROW(Items!B$6:B$680)-MIN(ROW(Items!B$6:B$680))+1),Items!N38)),""),IF('Customer Base'!$I$15="AUTOMATE",IFERROR(INDEX(Items!A$6:A$680,SMALL(IF(Items!A$6:A$680&lt;&gt;"",ROW(Items!A$6:A$680)-MIN(ROW(Items!A$6:A$680))+1),Items!N38)),""),""))</f>
        <v/>
      </c>
      <c r="C50" s="279" t="str">
        <f t="array" aca="1" ref="C50" ca="1">IFERROR(INDEX(Items!O:O,SMALL(IF(Items!$O$6:$O$677&lt;&gt;"",ROW(Items!$O$6:$O$677)),Items!N38)),"")</f>
        <v/>
      </c>
      <c r="D50" s="280"/>
      <c r="E50" s="280"/>
      <c r="F50" s="280"/>
      <c r="G50" s="280"/>
      <c r="H50" s="280"/>
      <c r="I50" s="280"/>
      <c r="J50" s="285" t="str">
        <f ca="1">IF('Customer Base'!I$12="DISPLAY TAX",IF('Customer Base'!$I$17="Retail",IF($K$14="USD",IF(ISNA(VLOOKUP(C50,Items!C$6:F$599,4,0)),"",(VLOOKUP(C50,Items!C$6:F$599,4,0))),IF($K$14="GH₵",IF(ISNA(VLOOKUP(C50,Items!C$6:G$599,5,0)),"",(VLOOKUP(C50,Items!C$6:G$599,5,0))),"")),IF('Customer Base'!$I$17="Super Dealer",IF($K$14="USD",IF(ISNA(VLOOKUP(C50,Items!C$6:I$599,6,0)),"",(VLOOKUP(C50,Items!C$6:I$599,6,0))),IF($K$14="GH₵",IF(ISNA(VLOOKUP(C50,Items!C$6:I$599,7,0)),"",(VLOOKUP(C50,Items!C$6:I$599,7,0))),"")),"")),IF('Customer Base'!I$12="DO NOT DISPLAY TAX",IF('Customer Base'!$I$17="Retail",IF($K$14="USD",IF(ISNA(VLOOKUP(C50,Items!C$6:F$599,2,0)),"",(VLOOKUP(C50,Items!C$6:F$599,2,0))),IF($K$14="GH₵",IF(ISNA(VLOOKUP(C50,Items!C$6:G$599,2,0)),"",'Customer Base'!J$5*(VLOOKUP(C50,Items!C$6:G$599,2,0))),"")),IF('Customer Base'!$I$17="Super Dealer",IF($K$14="USD",IF(ISNA(VLOOKUP(C50,Items!C$6:I$599,3,0)),"",(VLOOKUP(C50,Items!C$6:I$599,3,0))),IF($K$14="GH₵",IF(ISNA(VLOOKUP(C50,Items!C$6:I$599,3,0)),"",'Customer Base'!J$5*(VLOOKUP(C50,Items!C$6:I$599,3,0))),"")),"")),""))</f>
        <v/>
      </c>
      <c r="K50" s="282" t="str">
        <f t="shared" ca="1" si="0"/>
        <v/>
      </c>
      <c r="L50" s="49"/>
      <c r="M50" s="48"/>
      <c r="N50" s="48"/>
      <c r="O50" s="48"/>
      <c r="P50" s="48"/>
      <c r="Q50" s="48"/>
      <c r="R50" s="48"/>
    </row>
    <row r="51" spans="1:118" ht="16" customHeight="1">
      <c r="A51" s="1"/>
      <c r="B51" s="294" t="str">
        <f t="array" aca="1" ref="B51" ca="1">IF('Customer Base'!$I$15="MANUAL",IFERROR(INDEX(Items!B$6:B$680,SMALL(IF(Items!B$6:B$680&lt;&gt;"",ROW(Items!B$6:B$680)-MIN(ROW(Items!B$6:B$680))+1),Items!N39)),""),IF('Customer Base'!$I$15="AUTOMATE",IFERROR(INDEX(Items!A$6:A$680,SMALL(IF(Items!A$6:A$680&lt;&gt;"",ROW(Items!A$6:A$680)-MIN(ROW(Items!A$6:A$680))+1),Items!N39)),""),""))</f>
        <v/>
      </c>
      <c r="C51" s="279" t="str">
        <f t="array" aca="1" ref="C51" ca="1">IFERROR(INDEX(Items!O:O,SMALL(IF(Items!$O$6:$O$677&lt;&gt;"",ROW(Items!$O$6:$O$677)),Items!N39)),"")</f>
        <v/>
      </c>
      <c r="D51" s="280"/>
      <c r="E51" s="280"/>
      <c r="F51" s="280"/>
      <c r="G51" s="280"/>
      <c r="H51" s="280"/>
      <c r="I51" s="280"/>
      <c r="J51" s="285" t="str">
        <f ca="1">IF('Customer Base'!I$12="DISPLAY TAX",IF('Customer Base'!$I$17="Retail",IF($K$14="USD",IF(ISNA(VLOOKUP(C51,Items!C$6:F$599,4,0)),"",(VLOOKUP(C51,Items!C$6:F$599,4,0))),IF($K$14="GH₵",IF(ISNA(VLOOKUP(C51,Items!C$6:G$599,5,0)),"",(VLOOKUP(C51,Items!C$6:G$599,5,0))),"")),IF('Customer Base'!$I$17="Super Dealer",IF($K$14="USD",IF(ISNA(VLOOKUP(C51,Items!C$6:I$599,6,0)),"",(VLOOKUP(C51,Items!C$6:I$599,6,0))),IF($K$14="GH₵",IF(ISNA(VLOOKUP(C51,Items!C$6:I$599,7,0)),"",(VLOOKUP(C51,Items!C$6:I$599,7,0))),"")),"")),IF('Customer Base'!I$12="DO NOT DISPLAY TAX",IF('Customer Base'!$I$17="Retail",IF($K$14="USD",IF(ISNA(VLOOKUP(C51,Items!C$6:F$599,2,0)),"",(VLOOKUP(C51,Items!C$6:F$599,2,0))),IF($K$14="GH₵",IF(ISNA(VLOOKUP(C51,Items!C$6:G$599,2,0)),"",'Customer Base'!J$5*(VLOOKUP(C51,Items!C$6:G$599,2,0))),"")),IF('Customer Base'!$I$17="Super Dealer",IF($K$14="USD",IF(ISNA(VLOOKUP(C51,Items!C$6:I$599,3,0)),"",(VLOOKUP(C51,Items!C$6:I$599,3,0))),IF($K$14="GH₵",IF(ISNA(VLOOKUP(C51,Items!C$6:I$599,3,0)),"",'Customer Base'!J$5*(VLOOKUP(C51,Items!C$6:I$599,3,0))),"")),"")),""))</f>
        <v/>
      </c>
      <c r="K51" s="282" t="str">
        <f t="shared" ca="1" si="0"/>
        <v/>
      </c>
      <c r="L51" s="49"/>
      <c r="M51" s="48"/>
      <c r="N51" s="48"/>
      <c r="O51" s="48"/>
      <c r="P51" s="48"/>
      <c r="Q51" s="48"/>
      <c r="R51" s="48"/>
    </row>
    <row r="52" spans="1:118" ht="16" customHeight="1">
      <c r="A52" s="1"/>
      <c r="B52" s="294" t="str">
        <f t="array" aca="1" ref="B52" ca="1">IF('Customer Base'!$I$15="MANUAL",IFERROR(INDEX(Items!B$6:B$680,SMALL(IF(Items!B$6:B$680&lt;&gt;"",ROW(Items!B$6:B$680)-MIN(ROW(Items!B$6:B$680))+1),Items!N40)),""),IF('Customer Base'!$I$15="AUTOMATE",IFERROR(INDEX(Items!A$6:A$680,SMALL(IF(Items!A$6:A$680&lt;&gt;"",ROW(Items!A$6:A$680)-MIN(ROW(Items!A$6:A$680))+1),Items!N40)),""),""))</f>
        <v/>
      </c>
      <c r="C52" s="279" t="str">
        <f t="array" aca="1" ref="C52" ca="1">IFERROR(INDEX(Items!O:O,SMALL(IF(Items!$O$6:$O$677&lt;&gt;"",ROW(Items!$O$6:$O$677)),Items!N40)),"")</f>
        <v/>
      </c>
      <c r="D52" s="280"/>
      <c r="E52" s="280"/>
      <c r="F52" s="280"/>
      <c r="G52" s="280"/>
      <c r="H52" s="280"/>
      <c r="I52" s="280"/>
      <c r="J52" s="285" t="str">
        <f ca="1">IF('Customer Base'!I$12="DISPLAY TAX",IF('Customer Base'!$I$17="Retail",IF($K$14="USD",IF(ISNA(VLOOKUP(C52,Items!C$6:F$599,4,0)),"",(VLOOKUP(C52,Items!C$6:F$599,4,0))),IF($K$14="GH₵",IF(ISNA(VLOOKUP(C52,Items!C$6:G$599,5,0)),"",(VLOOKUP(C52,Items!C$6:G$599,5,0))),"")),IF('Customer Base'!$I$17="Super Dealer",IF($K$14="USD",IF(ISNA(VLOOKUP(C52,Items!C$6:I$599,6,0)),"",(VLOOKUP(C52,Items!C$6:I$599,6,0))),IF($K$14="GH₵",IF(ISNA(VLOOKUP(C52,Items!C$6:I$599,7,0)),"",(VLOOKUP(C52,Items!C$6:I$599,7,0))),"")),"")),IF('Customer Base'!I$12="DO NOT DISPLAY TAX",IF('Customer Base'!$I$17="Retail",IF($K$14="USD",IF(ISNA(VLOOKUP(C52,Items!C$6:F$599,2,0)),"",(VLOOKUP(C52,Items!C$6:F$599,2,0))),IF($K$14="GH₵",IF(ISNA(VLOOKUP(C52,Items!C$6:G$599,2,0)),"",'Customer Base'!J$5*(VLOOKUP(C52,Items!C$6:G$599,2,0))),"")),IF('Customer Base'!$I$17="Super Dealer",IF($K$14="USD",IF(ISNA(VLOOKUP(C52,Items!C$6:I$599,3,0)),"",(VLOOKUP(C52,Items!C$6:I$599,3,0))),IF($K$14="GH₵",IF(ISNA(VLOOKUP(C52,Items!C$6:I$599,3,0)),"",'Customer Base'!J$5*(VLOOKUP(C52,Items!C$6:I$599,3,0))),"")),"")),""))</f>
        <v/>
      </c>
      <c r="K52" s="282" t="str">
        <f t="shared" ca="1" si="0"/>
        <v/>
      </c>
      <c r="L52" s="49"/>
      <c r="M52" s="48"/>
      <c r="N52" s="48"/>
      <c r="O52" s="48"/>
      <c r="P52" s="48"/>
      <c r="Q52" s="48"/>
      <c r="R52" s="48"/>
    </row>
    <row r="53" spans="1:118" ht="16" customHeight="1">
      <c r="A53" s="1"/>
      <c r="B53" s="294" t="str">
        <f t="array" aca="1" ref="B53" ca="1">IF('Customer Base'!$I$15="MANUAL",IFERROR(INDEX(Items!B$6:B$680,SMALL(IF(Items!B$6:B$680&lt;&gt;"",ROW(Items!B$6:B$680)-MIN(ROW(Items!B$6:B$680))+1),Items!N41)),""),IF('Customer Base'!$I$15="AUTOMATE",IFERROR(INDEX(Items!A$6:A$680,SMALL(IF(Items!A$6:A$680&lt;&gt;"",ROW(Items!A$6:A$680)-MIN(ROW(Items!A$6:A$680))+1),Items!N41)),""),""))</f>
        <v/>
      </c>
      <c r="C53" s="279" t="str">
        <f t="array" aca="1" ref="C53" ca="1">IFERROR(INDEX(Items!O:O,SMALL(IF(Items!$O$6:$O$677&lt;&gt;"",ROW(Items!$O$6:$O$677)),Items!N41)),"")</f>
        <v/>
      </c>
      <c r="D53" s="280"/>
      <c r="E53" s="280"/>
      <c r="F53" s="280"/>
      <c r="G53" s="280"/>
      <c r="H53" s="280"/>
      <c r="I53" s="280"/>
      <c r="J53" s="285" t="str">
        <f ca="1">IF('Customer Base'!I$12="DISPLAY TAX",IF('Customer Base'!$I$17="Retail",IF($K$14="USD",IF(ISNA(VLOOKUP(C53,Items!C$6:F$599,4,0)),"",(VLOOKUP(C53,Items!C$6:F$599,4,0))),IF($K$14="GH₵",IF(ISNA(VLOOKUP(C53,Items!C$6:G$599,5,0)),"",(VLOOKUP(C53,Items!C$6:G$599,5,0))),"")),IF('Customer Base'!$I$17="Super Dealer",IF($K$14="USD",IF(ISNA(VLOOKUP(C53,Items!C$6:I$599,6,0)),"",(VLOOKUP(C53,Items!C$6:I$599,6,0))),IF($K$14="GH₵",IF(ISNA(VLOOKUP(C53,Items!C$6:I$599,7,0)),"",(VLOOKUP(C53,Items!C$6:I$599,7,0))),"")),"")),IF('Customer Base'!I$12="DO NOT DISPLAY TAX",IF('Customer Base'!$I$17="Retail",IF($K$14="USD",IF(ISNA(VLOOKUP(C53,Items!C$6:F$599,2,0)),"",(VLOOKUP(C53,Items!C$6:F$599,2,0))),IF($K$14="GH₵",IF(ISNA(VLOOKUP(C53,Items!C$6:G$599,2,0)),"",'Customer Base'!J$5*(VLOOKUP(C53,Items!C$6:G$599,2,0))),"")),IF('Customer Base'!$I$17="Super Dealer",IF($K$14="USD",IF(ISNA(VLOOKUP(C53,Items!C$6:I$599,3,0)),"",(VLOOKUP(C53,Items!C$6:I$599,3,0))),IF($K$14="GH₵",IF(ISNA(VLOOKUP(C53,Items!C$6:I$599,3,0)),"",'Customer Base'!J$5*(VLOOKUP(C53,Items!C$6:I$599,3,0))),"")),"")),""))</f>
        <v/>
      </c>
      <c r="K53" s="282" t="str">
        <f t="shared" ca="1" si="0"/>
        <v/>
      </c>
      <c r="L53" s="49"/>
      <c r="M53" s="48"/>
      <c r="N53" s="48"/>
      <c r="O53" s="48"/>
      <c r="P53" s="48"/>
      <c r="Q53" s="48"/>
      <c r="R53" s="48"/>
    </row>
    <row r="54" spans="1:118" ht="16" customHeight="1">
      <c r="A54" s="1"/>
      <c r="B54" s="294" t="str">
        <f t="array" aca="1" ref="B54" ca="1">IF('Customer Base'!$I$15="MANUAL",IFERROR(INDEX(Items!B$6:B$680,SMALL(IF(Items!B$6:B$680&lt;&gt;"",ROW(Items!B$6:B$680)-MIN(ROW(Items!B$6:B$680))+1),Items!N42)),""),IF('Customer Base'!$I$15="AUTOMATE",IFERROR(INDEX(Items!A$6:A$680,SMALL(IF(Items!A$6:A$680&lt;&gt;"",ROW(Items!A$6:A$680)-MIN(ROW(Items!A$6:A$680))+1),Items!N42)),""),""))</f>
        <v/>
      </c>
      <c r="C54" s="279" t="str">
        <f t="array" aca="1" ref="C54" ca="1">IFERROR(INDEX(Items!O:O,SMALL(IF(Items!$O$6:$O$677&lt;&gt;"",ROW(Items!$O$6:$O$677)),Items!N42)),"")</f>
        <v/>
      </c>
      <c r="D54" s="280"/>
      <c r="E54" s="280"/>
      <c r="F54" s="280"/>
      <c r="G54" s="280"/>
      <c r="H54" s="280"/>
      <c r="I54" s="280"/>
      <c r="J54" s="285" t="str">
        <f ca="1">IF('Customer Base'!I$12="DISPLAY TAX",IF('Customer Base'!$I$17="Retail",IF($K$14="USD",IF(ISNA(VLOOKUP(C54,Items!C$6:F$599,4,0)),"",(VLOOKUP(C54,Items!C$6:F$599,4,0))),IF($K$14="GH₵",IF(ISNA(VLOOKUP(C54,Items!C$6:G$599,5,0)),"",(VLOOKUP(C54,Items!C$6:G$599,5,0))),"")),IF('Customer Base'!$I$17="Super Dealer",IF($K$14="USD",IF(ISNA(VLOOKUP(C54,Items!C$6:I$599,6,0)),"",(VLOOKUP(C54,Items!C$6:I$599,6,0))),IF($K$14="GH₵",IF(ISNA(VLOOKUP(C54,Items!C$6:I$599,7,0)),"",(VLOOKUP(C54,Items!C$6:I$599,7,0))),"")),"")),IF('Customer Base'!I$12="DO NOT DISPLAY TAX",IF('Customer Base'!$I$17="Retail",IF($K$14="USD",IF(ISNA(VLOOKUP(C54,Items!C$6:F$599,2,0)),"",(VLOOKUP(C54,Items!C$6:F$599,2,0))),IF($K$14="GH₵",IF(ISNA(VLOOKUP(C54,Items!C$6:G$599,2,0)),"",'Customer Base'!J$5*(VLOOKUP(C54,Items!C$6:G$599,2,0))),"")),IF('Customer Base'!$I$17="Super Dealer",IF($K$14="USD",IF(ISNA(VLOOKUP(C54,Items!C$6:I$599,3,0)),"",(VLOOKUP(C54,Items!C$6:I$599,3,0))),IF($K$14="GH₵",IF(ISNA(VLOOKUP(C54,Items!C$6:I$599,3,0)),"",'Customer Base'!J$5*(VLOOKUP(C54,Items!C$6:I$599,3,0))),"")),"")),""))</f>
        <v/>
      </c>
      <c r="K54" s="282" t="str">
        <f t="shared" ca="1" si="0"/>
        <v/>
      </c>
      <c r="L54" s="49"/>
      <c r="M54" s="48"/>
      <c r="N54" s="48"/>
      <c r="O54" s="48"/>
      <c r="P54" s="48"/>
      <c r="Q54" s="48"/>
      <c r="R54" s="48"/>
    </row>
    <row r="55" spans="1:118" ht="16" customHeight="1">
      <c r="A55" s="1"/>
      <c r="B55" s="294" t="str">
        <f t="array" aca="1" ref="B55" ca="1">IF('Customer Base'!$I$15="MANUAL",IFERROR(INDEX(Items!B$6:B$680,SMALL(IF(Items!B$6:B$680&lt;&gt;"",ROW(Items!B$6:B$680)-MIN(ROW(Items!B$6:B$680))+1),Items!N43)),""),IF('Customer Base'!$I$15="AUTOMATE",IFERROR(INDEX(Items!A$6:A$680,SMALL(IF(Items!A$6:A$680&lt;&gt;"",ROW(Items!A$6:A$680)-MIN(ROW(Items!A$6:A$680))+1),Items!N43)),""),""))</f>
        <v/>
      </c>
      <c r="C55" s="279" t="str">
        <f t="array" aca="1" ref="C55" ca="1">IFERROR(INDEX(Items!O:O,SMALL(IF(Items!$O$6:$O$677&lt;&gt;"",ROW(Items!$O$6:$O$677)),Items!N43)),"")</f>
        <v/>
      </c>
      <c r="D55" s="280"/>
      <c r="E55" s="280"/>
      <c r="F55" s="280"/>
      <c r="G55" s="280"/>
      <c r="H55" s="280"/>
      <c r="I55" s="280"/>
      <c r="J55" s="285" t="str">
        <f ca="1">IF('Customer Base'!I$12="DISPLAY TAX",IF('Customer Base'!$I$17="Retail",IF($K$14="USD",IF(ISNA(VLOOKUP(C55,Items!C$6:F$599,4,0)),"",(VLOOKUP(C55,Items!C$6:F$599,4,0))),IF($K$14="GH₵",IF(ISNA(VLOOKUP(C55,Items!C$6:G$599,5,0)),"",(VLOOKUP(C55,Items!C$6:G$599,5,0))),"")),IF('Customer Base'!$I$17="Super Dealer",IF($K$14="USD",IF(ISNA(VLOOKUP(C55,Items!C$6:I$599,6,0)),"",(VLOOKUP(C55,Items!C$6:I$599,6,0))),IF($K$14="GH₵",IF(ISNA(VLOOKUP(C55,Items!C$6:I$599,7,0)),"",(VLOOKUP(C55,Items!C$6:I$599,7,0))),"")),"")),IF('Customer Base'!I$12="DO NOT DISPLAY TAX",IF('Customer Base'!$I$17="Retail",IF($K$14="USD",IF(ISNA(VLOOKUP(C55,Items!C$6:F$599,2,0)),"",(VLOOKUP(C55,Items!C$6:F$599,2,0))),IF($K$14="GH₵",IF(ISNA(VLOOKUP(C55,Items!C$6:G$599,2,0)),"",'Customer Base'!J$5*(VLOOKUP(C55,Items!C$6:G$599,2,0))),"")),IF('Customer Base'!$I$17="Super Dealer",IF($K$14="USD",IF(ISNA(VLOOKUP(C55,Items!C$6:I$599,3,0)),"",(VLOOKUP(C55,Items!C$6:I$599,3,0))),IF($K$14="GH₵",IF(ISNA(VLOOKUP(C55,Items!C$6:I$599,3,0)),"",'Customer Base'!J$5*(VLOOKUP(C55,Items!C$6:I$599,3,0))),"")),"")),""))</f>
        <v/>
      </c>
      <c r="K55" s="282" t="str">
        <f t="shared" ca="1" si="0"/>
        <v/>
      </c>
      <c r="L55" s="49"/>
      <c r="M55" s="48"/>
      <c r="N55" s="48"/>
      <c r="O55" s="48"/>
      <c r="P55" s="48"/>
      <c r="Q55" s="48"/>
      <c r="R55" s="48"/>
    </row>
    <row r="56" spans="1:118" ht="16" customHeight="1">
      <c r="A56" s="1"/>
      <c r="B56" s="294" t="str">
        <f t="array" aca="1" ref="B56" ca="1">IF('Customer Base'!$I$15="MANUAL",IFERROR(INDEX(Items!B$6:B$680,SMALL(IF(Items!B$6:B$680&lt;&gt;"",ROW(Items!B$6:B$680)-MIN(ROW(Items!B$6:B$680))+1),Items!N44)),""),IF('Customer Base'!$I$15="AUTOMATE",IFERROR(INDEX(Items!A$6:A$680,SMALL(IF(Items!A$6:A$680&lt;&gt;"",ROW(Items!A$6:A$680)-MIN(ROW(Items!A$6:A$680))+1),Items!N44)),""),""))</f>
        <v/>
      </c>
      <c r="C56" s="279" t="str">
        <f t="array" aca="1" ref="C56" ca="1">IFERROR(INDEX(Items!O:O,SMALL(IF(Items!$O$6:$O$677&lt;&gt;"",ROW(Items!$O$6:$O$677)),Items!N44)),"")</f>
        <v/>
      </c>
      <c r="D56" s="280"/>
      <c r="E56" s="280"/>
      <c r="F56" s="280"/>
      <c r="G56" s="280"/>
      <c r="H56" s="280"/>
      <c r="I56" s="280"/>
      <c r="J56" s="285" t="str">
        <f ca="1">IF('Customer Base'!I$12="DISPLAY TAX",IF('Customer Base'!$I$17="Retail",IF($K$14="USD",IF(ISNA(VLOOKUP(C56,Items!C$6:F$599,4,0)),"",(VLOOKUP(C56,Items!C$6:F$599,4,0))),IF($K$14="GH₵",IF(ISNA(VLOOKUP(C56,Items!C$6:G$599,5,0)),"",(VLOOKUP(C56,Items!C$6:G$599,5,0))),"")),IF('Customer Base'!$I$17="Super Dealer",IF($K$14="USD",IF(ISNA(VLOOKUP(C56,Items!C$6:I$599,6,0)),"",(VLOOKUP(C56,Items!C$6:I$599,6,0))),IF($K$14="GH₵",IF(ISNA(VLOOKUP(C56,Items!C$6:I$599,7,0)),"",(VLOOKUP(C56,Items!C$6:I$599,7,0))),"")),"")),IF('Customer Base'!I$12="DO NOT DISPLAY TAX",IF('Customer Base'!$I$17="Retail",IF($K$14="USD",IF(ISNA(VLOOKUP(C56,Items!C$6:F$599,2,0)),"",(VLOOKUP(C56,Items!C$6:F$599,2,0))),IF($K$14="GH₵",IF(ISNA(VLOOKUP(C56,Items!C$6:G$599,2,0)),"",'Customer Base'!J$5*(VLOOKUP(C56,Items!C$6:G$599,2,0))),"")),IF('Customer Base'!$I$17="Super Dealer",IF($K$14="USD",IF(ISNA(VLOOKUP(C56,Items!C$6:I$599,3,0)),"",(VLOOKUP(C56,Items!C$6:I$599,3,0))),IF($K$14="GH₵",IF(ISNA(VLOOKUP(C56,Items!C$6:I$599,3,0)),"",'Customer Base'!J$5*(VLOOKUP(C56,Items!C$6:I$599,3,0))),"")),"")),""))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Base'!$I$17="Retail",IF($K$14="USD",IF(ISNA(VLOOKUP(C57,Items!C$6:F$599,4,0)),"",(VLOOKUP(C57,Items!C$6:F$599,4,0))),IF($K$14="GH₵",IF(ISNA(VLOOKUP(C57,Items!C$6:G$599,5,0)),"",(VLOOKUP(C57,Items!C$6:G$599,5,0))),"")),IF('Customer Base'!$I$17="Super Dealer",IF($K$14="USD",IF(ISNA(VLOOKUP(C57,Items!C$6:I$599,6,0)),"",(VLOOKUP(C57,Items!C$6:I$599,6,0))),IF($K$14="GH₵",IF(ISNA(VLOOKUP(C57,Items!C$6:I$599,7,0)),"",(VLOOKUP(C57,Items!C$6:I$599,7,0))),"")),"")),IF('Customer Base'!I$12="DO NOT DISPLAY TAX",IF('Customer Base'!$I$17="Retail",IF($K$14="USD",IF(ISNA(VLOOKUP(C57,Items!C$6:F$599,2,0)),"",(VLOOKUP(C57,Items!C$6:F$599,2,0))),IF($K$14="GH₵",IF(ISNA(VLOOKUP(C57,Items!C$6:G$599,2,0)),"",'Customer Base'!J$5*(VLOOKUP(C57,Items!C$6:G$599,2,0))),"")),IF('Customer Base'!$I$17="Super Dealer",IF($K$14="USD",IF(ISNA(VLOOKUP(C57,Items!C$6:I$599,3,0)),"",(VLOOKUP(C57,Items!C$6:I$599,3,0))),IF($K$14="GH₵",IF(ISNA(VLOOKUP(C57,Items!C$6:I$599,3,0)),"",'Customer Base'!J$5*(VLOOKUP(C57,Items!C$6:I$599,3,0))),"")),"")),""))</f>
        <v/>
      </c>
      <c r="K57" s="282" t="str">
        <f t="shared" ref="K57:K62" si="1">IFERROR(SUM(B57*J57),"")</f>
        <v/>
      </c>
      <c r="L57" s="49"/>
      <c r="M57" s="48"/>
      <c r="N57" s="48"/>
      <c r="O57" s="48"/>
      <c r="P57" s="48"/>
      <c r="Q57" s="48"/>
      <c r="R57" s="48"/>
    </row>
    <row r="58" spans="1:118">
      <c r="A58" s="1"/>
      <c r="B58" s="295"/>
      <c r="C58" s="30" t="s">
        <v>1909</v>
      </c>
      <c r="D58" s="29"/>
      <c r="E58" s="29"/>
      <c r="F58" s="29"/>
      <c r="G58" s="29"/>
      <c r="H58" s="29"/>
      <c r="I58" s="29"/>
      <c r="J58" s="285" t="str">
        <f>IF('Customer Base'!I$12="DISPLAY TAX",IF('Customer Base'!$I$17="Retail",IF($K$14="USD",IF(ISNA(VLOOKUP(C58,Items!C$6:F$599,4,0)),"",(VLOOKUP(C58,Items!C$6:F$599,4,0))),IF($K$14="GH₵",IF(ISNA(VLOOKUP(C58,Items!C$6:G$599,5,0)),"",(VLOOKUP(C58,Items!C$6:G$599,5,0))),"")),IF('Customer Base'!$I$17="Super Dealer",IF($K$14="USD",IF(ISNA(VLOOKUP(C58,Items!C$6:I$599,6,0)),"",(VLOOKUP(C58,Items!C$6:I$599,6,0))),IF($K$14="GH₵",IF(ISNA(VLOOKUP(C58,Items!C$6:I$599,7,0)),"",(VLOOKUP(C58,Items!C$6:I$599,7,0))),"")),"")),IF('Customer Base'!I$12="DO NOT DISPLAY TAX",IF('Customer Base'!$I$17="Retail",IF($K$14="USD",IF(ISNA(VLOOKUP(C58,Items!C$6:F$599,2,0)),"",(VLOOKUP(C58,Items!C$6:F$599,2,0))),IF($K$14="GH₵",IF(ISNA(VLOOKUP(C58,Items!C$6:G$599,2,0)),"",'Customer Base'!J$5*(VLOOKUP(C58,Items!C$6:G$599,2,0))),"")),IF('Customer Base'!$I$17="Super Dealer",IF($K$14="USD",IF(ISNA(VLOOKUP(C58,Items!C$6:I$599,3,0)),"",(VLOOKUP(C58,Items!C$6:I$599,3,0))),IF($K$14="GH₵",IF(ISNA(VLOOKUP(C58,Items!C$6:I$599,3,0)),"",'Customer Base'!J$5*(VLOOKUP(C58,Items!C$6:I$599,3,0))),"")),"")),""))</f>
        <v/>
      </c>
      <c r="K58" s="282" t="str">
        <f t="shared" si="1"/>
        <v/>
      </c>
      <c r="L58" s="49"/>
      <c r="M58" s="48"/>
      <c r="N58" s="48"/>
      <c r="O58" s="48"/>
      <c r="P58" s="48"/>
      <c r="Q58" s="48"/>
      <c r="R58" s="48"/>
    </row>
    <row r="59" spans="1:118" s="20" customFormat="1" ht="13">
      <c r="A59" s="4"/>
      <c r="B59" s="295"/>
      <c r="C59" s="30" t="s">
        <v>2616</v>
      </c>
      <c r="D59" s="29"/>
      <c r="E59" s="29"/>
      <c r="F59" s="29"/>
      <c r="G59" s="29"/>
      <c r="H59" s="29"/>
      <c r="I59" s="29"/>
      <c r="J59" s="285" t="str">
        <f>IF('Customer Base'!I$12="DISPLAY TAX",IF('Customer Base'!$I$17="Retail",IF($K$14="USD",IF(ISNA(VLOOKUP(C59,Items!C$6:F$599,4,0)),"",(VLOOKUP(C59,Items!C$6:F$599,4,0))),IF($K$14="GH₵",IF(ISNA(VLOOKUP(C59,Items!C$6:G$599,5,0)),"",(VLOOKUP(C59,Items!C$6:G$599,5,0))),"")),IF('Customer Base'!$I$17="Super Dealer",IF($K$14="USD",IF(ISNA(VLOOKUP(C59,Items!C$6:I$599,6,0)),"",(VLOOKUP(C59,Items!C$6:I$599,6,0))),IF($K$14="GH₵",IF(ISNA(VLOOKUP(C59,Items!C$6:I$599,7,0)),"",(VLOOKUP(C59,Items!C$6:I$599,7,0))),"")),"")),IF('Customer Base'!I$12="DO NOT DISPLAY TAX",IF('Customer Base'!$I$17="Retail",IF($K$14="USD",IF(ISNA(VLOOKUP(C59,Items!C$6:F$599,2,0)),"",(VLOOKUP(C59,Items!C$6:F$599,2,0))),IF($K$14="GH₵",IF(ISNA(VLOOKUP(C59,Items!C$6:G$599,2,0)),"",'Customer Base'!J$5*(VLOOKUP(C59,Items!C$6:G$599,2,0))),"")),IF('Customer Base'!$I$17="Super Dealer",IF($K$14="USD",IF(ISNA(VLOOKUP(C59,Items!C$6:I$599,3,0)),"",(VLOOKUP(C59,Items!C$6:I$599,3,0))),IF($K$14="GH₵",IF(ISNA(VLOOKUP(C59,Items!C$6:I$599,3,0)),"",'Customer Base'!J$5*(VLOOKUP(C59,Items!C$6:I$599,3,0))),"")),"")),""))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2773</v>
      </c>
      <c r="D60" s="29"/>
      <c r="E60" s="29"/>
      <c r="F60" s="29"/>
      <c r="G60" s="29"/>
      <c r="H60" s="29"/>
      <c r="I60" s="29"/>
      <c r="J60" s="285"/>
      <c r="K60" s="282">
        <f t="shared" si="1"/>
        <v>0</v>
      </c>
      <c r="L60" s="49"/>
      <c r="M60" s="48"/>
      <c r="N60" s="48"/>
      <c r="O60" s="48"/>
      <c r="P60" s="48"/>
      <c r="Q60" s="48"/>
      <c r="R60" s="48"/>
    </row>
    <row r="61" spans="1:118">
      <c r="A61" s="1"/>
      <c r="B61" s="295"/>
      <c r="C61" s="30" t="s">
        <v>2839</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1207</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2829</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1449</v>
      </c>
      <c r="D66" s="13"/>
      <c r="E66" s="13"/>
      <c r="F66" s="13"/>
      <c r="G66" s="13"/>
      <c r="H66" s="13"/>
      <c r="I66" s="13"/>
      <c r="J66" s="25" t="s">
        <v>15</v>
      </c>
      <c r="K66" s="288">
        <f ca="1">IF(NOW()&gt;Q13,"",IF(SUM(K17:K65)&gt;0,ROUND(SUM(K17:K65),2),""))</f>
        <v>524671.57999999996</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524,671.58</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2796</v>
      </c>
      <c r="C77" s="13"/>
      <c r="D77" s="13"/>
      <c r="E77" s="13"/>
      <c r="F77" s="13"/>
      <c r="G77" s="13"/>
      <c r="H77" s="13"/>
      <c r="I77" s="13"/>
      <c r="J77" s="13"/>
      <c r="K77" s="13"/>
      <c r="M77" s="48"/>
      <c r="N77" s="48"/>
      <c r="O77" s="48"/>
      <c r="P77" s="48"/>
      <c r="Q77" s="48"/>
      <c r="R77" s="48"/>
    </row>
    <row r="78" spans="1:18" ht="16" thickTop="1">
      <c r="A78" s="1"/>
      <c r="B78" s="355" t="s">
        <v>2795</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7" priority="2" operator="equal">
      <formula>0</formula>
    </cfRule>
  </conditionalFormatting>
  <conditionalFormatting sqref="K1:K1048576 C78:J78">
    <cfRule type="cellIs" dxfId="46"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103" zoomScaleNormal="100" workbookViewId="0">
      <selection activeCell="D21" sqref="D21"/>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1738</v>
      </c>
      <c r="J2" s="299"/>
      <c r="K2" s="83" t="s">
        <v>1739</v>
      </c>
      <c r="L2" s="359"/>
    </row>
    <row r="3" spans="2:27" ht="20" thickTop="1" thickBot="1">
      <c r="B3" s="60"/>
      <c r="C3" s="376" t="s">
        <v>2498</v>
      </c>
      <c r="D3" s="377"/>
      <c r="E3" s="377"/>
      <c r="F3" s="378"/>
      <c r="G3" s="61"/>
      <c r="I3" s="84"/>
      <c r="J3" s="79"/>
      <c r="K3" s="85"/>
    </row>
    <row r="4" spans="2:27" ht="19" thickTop="1">
      <c r="B4" s="60"/>
      <c r="C4" s="66"/>
      <c r="D4" s="66"/>
      <c r="E4" s="66"/>
      <c r="F4" s="66"/>
      <c r="G4" s="61"/>
      <c r="I4" s="86" t="s">
        <v>1273</v>
      </c>
      <c r="J4" s="291" t="str">
        <f ca="1">IFERROR(INVOICE!K14&amp;" "&amp;TEXT(IF(I12="DISPLAY TAX",ROUND(SUM(INVOICE!K68:K69)/J9,2),ROUND(INVOICE!K66/J9,2)),"#,##0.00"),"")</f>
        <v>GH₵ 21,680.64</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3kVA inverter, 90kWh Battery, 24.2kWp Solar Panels and Remote Monitoring</v>
      </c>
      <c r="D5" s="380"/>
      <c r="E5" s="380"/>
      <c r="F5" s="381"/>
      <c r="G5" s="61"/>
      <c r="I5" s="86" t="s">
        <v>1239</v>
      </c>
      <c r="J5" s="296">
        <v>16</v>
      </c>
      <c r="K5" s="87"/>
      <c r="U5" s="360" t="s">
        <v>2475</v>
      </c>
    </row>
    <row r="6" spans="2:27" ht="14" customHeight="1">
      <c r="B6" s="60"/>
      <c r="C6" s="382"/>
      <c r="D6" s="383"/>
      <c r="E6" s="383"/>
      <c r="F6" s="384"/>
      <c r="G6" s="61"/>
      <c r="I6" s="88"/>
      <c r="J6" s="81"/>
      <c r="K6" s="87"/>
    </row>
    <row r="7" spans="2:27">
      <c r="B7" s="60"/>
      <c r="C7" s="69" t="s">
        <v>2457</v>
      </c>
      <c r="D7" s="274" t="s">
        <v>2459</v>
      </c>
      <c r="F7" s="61"/>
      <c r="G7" s="61"/>
      <c r="I7" s="89" t="s">
        <v>1214</v>
      </c>
      <c r="J7" s="290">
        <f>'Customer Base'!D$14*'Customer Base'!D$15</f>
        <v>3</v>
      </c>
      <c r="K7" s="90" t="s">
        <v>1228</v>
      </c>
      <c r="M7" s="52" t="s">
        <v>2708</v>
      </c>
      <c r="N7" s="52" t="s">
        <v>2461</v>
      </c>
      <c r="O7" s="52" t="s">
        <v>2197</v>
      </c>
      <c r="P7" s="52" t="s">
        <v>2474</v>
      </c>
      <c r="Q7" s="52" t="s">
        <v>2462</v>
      </c>
      <c r="R7" s="52" t="s">
        <v>2663</v>
      </c>
      <c r="S7" s="52" t="s">
        <v>2662</v>
      </c>
      <c r="T7" s="52" t="s">
        <v>2466</v>
      </c>
      <c r="U7" s="52" t="s">
        <v>2463</v>
      </c>
      <c r="V7" s="52" t="s">
        <v>1215</v>
      </c>
      <c r="W7" s="52" t="s">
        <v>2469</v>
      </c>
      <c r="X7" s="52" t="s">
        <v>2660</v>
      </c>
      <c r="Y7" s="52" t="s">
        <v>2489</v>
      </c>
      <c r="Z7" s="53" t="s">
        <v>2493</v>
      </c>
      <c r="AA7" s="52"/>
    </row>
    <row r="8" spans="2:27">
      <c r="B8" s="60"/>
      <c r="C8" s="69" t="s">
        <v>2468</v>
      </c>
      <c r="D8" s="274">
        <v>48</v>
      </c>
      <c r="F8" s="61"/>
      <c r="G8" s="61"/>
      <c r="I8" s="86" t="s">
        <v>1215</v>
      </c>
      <c r="J8" s="291">
        <f>SUM(Items!AO205:AO236)</f>
        <v>90</v>
      </c>
      <c r="K8" s="91" t="s">
        <v>1229</v>
      </c>
      <c r="M8" s="50" t="s">
        <v>2195</v>
      </c>
      <c r="N8" s="50" t="s">
        <v>2198</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2472</v>
      </c>
      <c r="X8" s="50" t="str">
        <f>IF(D$25="Victron",115,"")</f>
        <v/>
      </c>
      <c r="Y8" s="50" t="s">
        <v>2490</v>
      </c>
      <c r="Z8" s="50" t="s">
        <v>2492</v>
      </c>
    </row>
    <row r="9" spans="2:27">
      <c r="B9" s="60"/>
      <c r="C9" s="69" t="s">
        <v>2474</v>
      </c>
      <c r="D9" s="275">
        <v>3</v>
      </c>
      <c r="F9" s="61"/>
      <c r="G9" s="61"/>
      <c r="I9" s="92" t="s">
        <v>1216</v>
      </c>
      <c r="J9" s="292">
        <f>SUM(Items!AO242:AO255)</f>
        <v>24.2</v>
      </c>
      <c r="K9" s="93" t="s">
        <v>1230</v>
      </c>
      <c r="M9" s="50" t="s">
        <v>2199</v>
      </c>
      <c r="N9" s="50" t="s">
        <v>2458</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2465</v>
      </c>
      <c r="X9" s="50" t="str">
        <f>IF(D$25="Victron",270,"")</f>
        <v/>
      </c>
      <c r="Y9" s="50" t="s">
        <v>2491</v>
      </c>
      <c r="Z9" s="50" t="s">
        <v>2494</v>
      </c>
    </row>
    <row r="10" spans="2:27">
      <c r="B10" s="60"/>
      <c r="C10" s="70"/>
      <c r="D10" s="71"/>
      <c r="E10" s="64"/>
      <c r="F10" s="65"/>
      <c r="G10" s="61"/>
      <c r="I10" s="94"/>
      <c r="J10" s="80"/>
      <c r="K10" s="95"/>
      <c r="M10" s="50" t="s">
        <v>2200</v>
      </c>
      <c r="N10" s="50" t="s">
        <v>2459</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2464</v>
      </c>
      <c r="X10" s="50" t="str">
        <f>IF(D$25="Victron",305,"")</f>
        <v/>
      </c>
      <c r="Z10" s="50" t="s">
        <v>2495</v>
      </c>
    </row>
    <row r="11" spans="2:27">
      <c r="B11" s="60"/>
      <c r="C11" s="54"/>
      <c r="D11" s="55"/>
      <c r="G11" s="61"/>
      <c r="I11" s="88"/>
      <c r="J11" s="98" t="str">
        <f>IF(AND(D7&lt;&gt;"Mini-Grid",D7&lt;&gt;"Grid-Tied"),"","AC DC ratio")</f>
        <v/>
      </c>
      <c r="K11" s="91">
        <v>1.2</v>
      </c>
      <c r="N11" s="50" t="s">
        <v>2460</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1824</v>
      </c>
      <c r="X11" s="50" t="str">
        <f>IF(D$25="Victron",330,"")</f>
        <v/>
      </c>
    </row>
    <row r="12" spans="2:27">
      <c r="B12" s="60"/>
      <c r="C12" s="67"/>
      <c r="D12" s="68"/>
      <c r="E12" s="58"/>
      <c r="F12" s="59"/>
      <c r="G12" s="61"/>
      <c r="I12" s="297" t="s">
        <v>1463</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2473</v>
      </c>
      <c r="X12" s="50" t="str">
        <f>IF(D$25="Sharp",415,"")</f>
        <v/>
      </c>
    </row>
    <row r="13" spans="2:27">
      <c r="B13" s="60"/>
      <c r="C13" s="69" t="s">
        <v>2456</v>
      </c>
      <c r="D13" s="274" t="s">
        <v>1824</v>
      </c>
      <c r="E13" s="316" t="s">
        <v>2199</v>
      </c>
      <c r="F13" s="274" t="s">
        <v>2667</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3</v>
      </c>
      <c r="E14" s="56"/>
      <c r="F14" s="317">
        <v>20</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2467</v>
      </c>
      <c r="D15" s="276">
        <v>1</v>
      </c>
      <c r="F15" s="318">
        <v>1</v>
      </c>
      <c r="G15" s="61"/>
      <c r="I15" s="297" t="s">
        <v>2832</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c r="X18" s="50">
        <f>IF(D$25="JA Solar",605,"")</f>
        <v>605</v>
      </c>
    </row>
    <row r="19" spans="2:24" ht="15" thickTop="1">
      <c r="B19" s="60"/>
      <c r="C19" s="69" t="s">
        <v>2466</v>
      </c>
      <c r="D19" s="274" t="s">
        <v>1823</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2668</v>
      </c>
      <c r="D20" s="274" t="s">
        <v>2464</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2669</v>
      </c>
      <c r="D21" s="276">
        <v>18</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4">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4">
      <c r="B25" s="60"/>
      <c r="C25" s="69" t="s">
        <v>2470</v>
      </c>
      <c r="D25" s="277" t="s">
        <v>2472</v>
      </c>
      <c r="E25" s="273">
        <f ca="1">IF(D13="Victron",SUM(Items!A242:A255)-IF('Client List'!IL474="",0,'Client List'!IL474),SUM(Items!A242:A255))</f>
        <v>40</v>
      </c>
      <c r="F25" s="61" t="s">
        <v>2508</v>
      </c>
      <c r="G25" s="61"/>
      <c r="R25" s="50" t="str" cm="1">
        <f t="array" ref="R25">IF(AND(ISNUMBER(SEARCH({"Fronius"},D$13)),ISNUMBER(SEARCH({"230/400"},D$8))),25,"")</f>
        <v/>
      </c>
      <c r="S25" s="50" t="str" cm="1">
        <f t="array" ref="S25">IF(AND(ISNUMBER(SEARCH({"Fronius"},F$13)),ISNUMBER(SEARCH({"Mini-Grid"},D$7))),25,"")</f>
        <v/>
      </c>
      <c r="V25" s="50" t="str">
        <f>IF(AND(D$19="Lithium",D$20="Jinko"),4.8,"")</f>
        <v/>
      </c>
    </row>
    <row r="26" spans="2:24">
      <c r="B26" s="60"/>
      <c r="C26" s="69" t="s">
        <v>2661</v>
      </c>
      <c r="D26" s="277">
        <v>605</v>
      </c>
      <c r="E26" s="305"/>
      <c r="F26" s="61"/>
      <c r="G26" s="61"/>
      <c r="R26" s="50" t="str" cm="1">
        <f t="array" ref="R26">IF(AND(ISNUMBER(SEARCH({"Fronius"},D$13)),ISNUMBER(SEARCH({"230/400"},D$8))),27,"")</f>
        <v/>
      </c>
      <c r="S26" s="50" t="str" cm="1">
        <f t="array" ref="S26">IF(AND(ISNUMBER(SEARCH({"Fronius"},F$13)),ISNUMBER(SEARCH({"Mini-Grid"},D$7))),27,"")</f>
        <v/>
      </c>
    </row>
    <row r="27" spans="2:24">
      <c r="B27" s="60"/>
      <c r="C27" s="69" t="s">
        <v>2471</v>
      </c>
      <c r="D27" s="276">
        <v>24</v>
      </c>
      <c r="E27" s="308">
        <f>IF(D7="Grid-Tied",ROUNDUP(1.2*((D14*D15)),0),(D21*IF(D19="Lithium",E20,IF(OR(D19="2V OPzV",D19="2V OPzS"),E20*2/1000,IF(D19="12V Lead-Acid",E20*12/1000,0)))/4)+(0.5*((D14*D15))))</f>
        <v>24</v>
      </c>
      <c r="F27" s="61" t="s">
        <v>2507</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4">
      <c r="B31" s="60"/>
      <c r="C31" s="69" t="s">
        <v>2476</v>
      </c>
      <c r="D31" s="276">
        <v>20</v>
      </c>
      <c r="F31" s="61"/>
      <c r="G31" s="61"/>
      <c r="R31" s="50" t="str" cm="1">
        <f t="array" ref="R31">IF(AND(ISNUMBER(SEARCH({"Fronius"},D$13)),ISNUMBER(SEARCH({"230/400"},D$8))),100,"")</f>
        <v/>
      </c>
    </row>
    <row r="32" spans="2:24">
      <c r="B32" s="60"/>
      <c r="C32" s="69" t="s">
        <v>2477</v>
      </c>
      <c r="D32" s="276">
        <v>15</v>
      </c>
      <c r="F32" s="61"/>
      <c r="G32" s="61"/>
    </row>
    <row r="33" spans="2:7">
      <c r="B33" s="60"/>
      <c r="C33" s="69"/>
      <c r="D33" s="54"/>
      <c r="F33" s="61"/>
      <c r="G33" s="61"/>
    </row>
    <row r="34" spans="2:7">
      <c r="B34" s="60"/>
      <c r="C34" s="69" t="str">
        <f>IF(D7="Grid-Tied","Hybrid Controller:","Remote Monitoring:")</f>
        <v>Remote Monitoring:</v>
      </c>
      <c r="D34" s="274" t="s">
        <v>2490</v>
      </c>
      <c r="E34" s="315">
        <v>1</v>
      </c>
      <c r="F34" s="61" t="s">
        <v>2649</v>
      </c>
      <c r="G34" s="61"/>
    </row>
    <row r="35" spans="2:7">
      <c r="B35" s="60"/>
      <c r="C35" s="69"/>
      <c r="D35" s="54"/>
      <c r="F35" s="61"/>
      <c r="G35" s="61"/>
    </row>
    <row r="36" spans="2:7">
      <c r="B36" s="60"/>
      <c r="C36" s="69" t="s">
        <v>2493</v>
      </c>
      <c r="D36" s="274" t="s">
        <v>2492</v>
      </c>
      <c r="F36" s="61"/>
      <c r="G36" s="61"/>
    </row>
    <row r="37" spans="2:7">
      <c r="B37" s="60"/>
      <c r="C37" s="73"/>
      <c r="D37" s="63"/>
      <c r="E37" s="64"/>
      <c r="F37" s="65"/>
      <c r="G37" s="61"/>
    </row>
    <row r="38" spans="2:7">
      <c r="B38" s="60"/>
      <c r="G38" s="61"/>
    </row>
    <row r="39" spans="2:7">
      <c r="B39" s="60"/>
      <c r="C39" s="54" t="s">
        <v>2499</v>
      </c>
      <c r="D39" s="272" t="str">
        <f ca="1">INVOICE!K70</f>
        <v>GH₵ 524,671.58</v>
      </c>
      <c r="G39" s="61"/>
    </row>
    <row r="40" spans="2:7">
      <c r="B40" s="62"/>
      <c r="C40" s="63"/>
      <c r="D40" s="63"/>
      <c r="E40" s="64"/>
      <c r="F40" s="64"/>
      <c r="G40" s="65"/>
    </row>
  </sheetData>
  <mergeCells count="3">
    <mergeCell ref="C3:F3"/>
    <mergeCell ref="C5:F5"/>
    <mergeCell ref="C6:F6"/>
  </mergeCells>
  <conditionalFormatting sqref="C31">
    <cfRule type="expression" dxfId="45" priority="19">
      <formula>ISERROR(MATCH($D$7,$N$8:$N$10,0))</formula>
    </cfRule>
  </conditionalFormatting>
  <conditionalFormatting sqref="D8">
    <cfRule type="expression" dxfId="43" priority="28">
      <formula>ISERROR(MATCH($D$8,$O$8:$O$11,0))</formula>
    </cfRule>
  </conditionalFormatting>
  <conditionalFormatting sqref="D13">
    <cfRule type="expression" dxfId="42" priority="13">
      <formula>ISERROR(MATCH($D$13,$Q$8:$Q$12,0))</formula>
    </cfRule>
  </conditionalFormatting>
  <conditionalFormatting sqref="D14">
    <cfRule type="expression" dxfId="41" priority="12">
      <formula>ISERROR(MATCH($D$14,$R$8:$R$31,0))</formula>
    </cfRule>
  </conditionalFormatting>
  <conditionalFormatting sqref="D19">
    <cfRule type="expression" dxfId="40" priority="32">
      <formula>ISERROR(MATCH($D$19,$T$8:$T$11,0))</formula>
    </cfRule>
  </conditionalFormatting>
  <conditionalFormatting sqref="D19:D20">
    <cfRule type="expression" dxfId="39" priority="16">
      <formula>ISERROR(MATCH($D$7,$N$9:$N$11,0))</formula>
    </cfRule>
  </conditionalFormatting>
  <conditionalFormatting sqref="D20">
    <cfRule type="expression" dxfId="38" priority="33">
      <formula>ISERROR(MATCH($D$20,$U$8:$U$12,0))</formula>
    </cfRule>
  </conditionalFormatting>
  <conditionalFormatting sqref="D21">
    <cfRule type="expression" dxfId="37" priority="24">
      <formula>ISERROR(MATCH($D$19,$T$8:$T$11,0))</formula>
    </cfRule>
    <cfRule type="expression" dxfId="36" priority="31">
      <formula>ISERROR(MATCH($D$7,$N$9:$N$11,0))</formula>
    </cfRule>
  </conditionalFormatting>
  <conditionalFormatting sqref="D25">
    <cfRule type="expression" dxfId="35" priority="8">
      <formula>ISERROR(MATCH($D$7,$N$8:$N$10,0))</formula>
    </cfRule>
  </conditionalFormatting>
  <conditionalFormatting sqref="D26">
    <cfRule type="expression" dxfId="33" priority="35" stopIfTrue="1">
      <formula>ISERROR(MATCH($D$26,$X$8:$X$18,0))</formula>
    </cfRule>
    <cfRule type="expression" dxfId="32" priority="38">
      <formula>ISERROR(MATCH($D$7,$N$8:$N$10,0))</formula>
    </cfRule>
  </conditionalFormatting>
  <conditionalFormatting sqref="D27">
    <cfRule type="expression" dxfId="31" priority="36">
      <formula>ISERROR(MATCH($D$7,$N$8:$N$10,0))</formula>
    </cfRule>
  </conditionalFormatting>
  <conditionalFormatting sqref="D31">
    <cfRule type="expression" dxfId="30" priority="18">
      <formula>ISERROR(MATCH($D$7,$N$8:$N$10,0))</formula>
    </cfRule>
  </conditionalFormatting>
  <conditionalFormatting sqref="E13">
    <cfRule type="expression" dxfId="27" priority="7">
      <formula>$D$13&lt;&gt;"Victron"</formula>
    </cfRule>
  </conditionalFormatting>
  <conditionalFormatting sqref="E20">
    <cfRule type="expression" dxfId="26" priority="34">
      <formula>ISERROR(MATCH($E$20,$V$8:$V$25,0))</formula>
    </cfRule>
  </conditionalFormatting>
  <conditionalFormatting sqref="E27">
    <cfRule type="expression" dxfId="23" priority="23">
      <formula>ISERROR(MATCH($D$7,$N$8:$N$10,0))</formula>
    </cfRule>
  </conditionalFormatting>
  <conditionalFormatting sqref="E34">
    <cfRule type="expression" dxfId="22" priority="15">
      <formula>OR($C$34="Remote Monitoring:",AND($D$34="No",$C$34="Hybrid Controller:"))</formula>
    </cfRule>
  </conditionalFormatting>
  <conditionalFormatting sqref="E20:F20">
    <cfRule type="expression" dxfId="21" priority="29">
      <formula>$D$7="Grid-Tied"</formula>
    </cfRule>
  </conditionalFormatting>
  <conditionalFormatting sqref="E25:F25">
    <cfRule type="expression" dxfId="20" priority="20">
      <formula>ISERROR(MATCH($D$7,$N$8:$N$10,0))</formula>
    </cfRule>
  </conditionalFormatting>
  <conditionalFormatting sqref="F13">
    <cfRule type="expression" dxfId="19" priority="26">
      <formula>ISERROR(MATCH($F$13,$Q$8:$Q$12,0))</formula>
    </cfRule>
    <cfRule type="expression" dxfId="18" priority="11" stopIfTrue="1">
      <formula>OR($D$7="Hybrid",$D$7="Grid-Tied",$D$7="Backup")</formula>
    </cfRule>
  </conditionalFormatting>
  <conditionalFormatting sqref="F14">
    <cfRule type="expression" dxfId="17" priority="27" stopIfTrue="1">
      <formula>ISERROR(MATCH($F$14,$S$8:$S$30,0))</formula>
    </cfRule>
    <cfRule type="expression" dxfId="16" priority="10">
      <formula>OR($D$7="Hybrid",$D$7="Grid-Tied",$D$7="Backup")</formula>
    </cfRule>
  </conditionalFormatting>
  <conditionalFormatting sqref="F15">
    <cfRule type="expression" dxfId="15" priority="9" stopIfTrue="1">
      <formula>OR($D$7="Hybrid",$D$7="Grid-Tied",$D$7="Backup")</formula>
    </cfRule>
  </conditionalFormatting>
  <conditionalFormatting sqref="F27">
    <cfRule type="expression" dxfId="14" priority="22">
      <formula>ISERROR(MATCH($D$7,$N$8:$N$10,0))</formula>
    </cfRule>
  </conditionalFormatting>
  <conditionalFormatting sqref="F34">
    <cfRule type="expression" dxfId="13" priority="14">
      <formula>OR($C$34="Remote Monitoring:",AND($D$34="No",$C$34="Hybrid Controller:"))</formula>
    </cfRule>
  </conditionalFormatting>
  <conditionalFormatting sqref="K11">
    <cfRule type="expression" dxfId="12" priority="2" stopIfTrue="1">
      <formula>$J$11=""</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6"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7"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41" id="{959F3578-A66A-8846-B7A8-B2C96C8D8A5E}">
            <xm:f>'CABLE SIZING TOOL'!$H$104&gt;=3%</xm:f>
            <x14:dxf>
              <font>
                <color rgb="FF9C0006"/>
              </font>
              <fill>
                <patternFill>
                  <bgColor rgb="FFFFC7CE"/>
                </patternFill>
              </fill>
            </x14:dxf>
          </x14:cfRule>
          <x14:cfRule type="expression" priority="40"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6" id="{6E760702-88E6-F242-A506-1F9C98051E08}">
            <xm:f>$E$25&gt;SUM(Items!$A$242:$A$255)</xm:f>
            <x14:dxf>
              <font>
                <color rgb="FF9C5700"/>
              </font>
              <fill>
                <patternFill>
                  <bgColor rgb="FFFFEB9C"/>
                </patternFill>
              </fill>
            </x14:dxf>
          </x14:cfRule>
          <x14:cfRule type="expression" priority="9947" stopIfTrue="1" id="{278B350F-99A4-2245-80E8-F663818AB25B}">
            <xm:f>$E$25&lt;SUM(Items!$A$242:$A$255)</xm:f>
            <x14:dxf>
              <font>
                <color rgb="FF9C0006"/>
              </font>
              <fill>
                <patternFill>
                  <bgColor rgb="FFFFC7CE"/>
                </patternFill>
              </fill>
            </x14:dxf>
          </x14:cfRule>
          <xm:sqref>E25</xm:sqref>
        </x14:conditionalFormatting>
        <x14:conditionalFormatting xmlns:xm="http://schemas.microsoft.com/office/excel/2006/main">
          <x14:cfRule type="expression" priority="1" id="{E01D7DD8-FC82-014A-B301-AD9AFC969E46}">
            <xm:f>AND('Client List'!$N$1&lt;=0,OR($D$7="Mini-Grid",$D$7="Grid-Tied"))</xm:f>
            <x14:dxf>
              <font>
                <color rgb="FF9C0006"/>
              </font>
              <fill>
                <patternFill>
                  <bgColor rgb="FFFFC7CE"/>
                </patternFill>
              </fill>
            </x14:dxf>
          </x14:cfRule>
          <xm:sqref>K11</xm:sqref>
        </x14:conditionalFormatting>
        <x14:conditionalFormatting xmlns:xm="http://schemas.microsoft.com/office/excel/2006/main">
          <x14:cfRule type="expression" priority="5"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H1"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1945</v>
      </c>
      <c r="P3" s="106" t="s">
        <v>1946</v>
      </c>
      <c r="U3" s="105" t="s">
        <v>1947</v>
      </c>
    </row>
    <row r="4" spans="2:29">
      <c r="I4" s="107"/>
      <c r="AB4" s="107"/>
    </row>
    <row r="5" spans="2:29" ht="68">
      <c r="B5" s="108" t="s">
        <v>1948</v>
      </c>
      <c r="C5" s="108" t="s">
        <v>1949</v>
      </c>
      <c r="D5" s="108" t="s">
        <v>1950</v>
      </c>
      <c r="E5" s="108" t="s">
        <v>1951</v>
      </c>
      <c r="F5" s="108" t="s">
        <v>1952</v>
      </c>
      <c r="G5" s="108" t="s">
        <v>1953</v>
      </c>
      <c r="H5" s="108" t="s">
        <v>1954</v>
      </c>
      <c r="I5" s="108" t="s">
        <v>1955</v>
      </c>
      <c r="J5" s="108" t="s">
        <v>1956</v>
      </c>
      <c r="K5" s="108" t="s">
        <v>1957</v>
      </c>
      <c r="L5" s="108" t="s">
        <v>1958</v>
      </c>
      <c r="M5" s="109" t="s">
        <v>1959</v>
      </c>
      <c r="P5" s="105" t="s">
        <v>1960</v>
      </c>
      <c r="Q5" s="105" t="s">
        <v>1961</v>
      </c>
      <c r="U5" s="108" t="s">
        <v>1948</v>
      </c>
      <c r="V5" s="108" t="s">
        <v>1949</v>
      </c>
      <c r="W5" s="108" t="s">
        <v>1950</v>
      </c>
      <c r="X5" s="108" t="s">
        <v>1951</v>
      </c>
      <c r="Y5" s="108" t="s">
        <v>1962</v>
      </c>
      <c r="Z5" s="108" t="s">
        <v>1963</v>
      </c>
      <c r="AA5" s="108" t="s">
        <v>1964</v>
      </c>
      <c r="AB5" s="108" t="s">
        <v>1965</v>
      </c>
      <c r="AC5" s="108" t="s">
        <v>1959</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1966</v>
      </c>
      <c r="U30" s="105" t="s">
        <v>1967</v>
      </c>
    </row>
    <row r="31" spans="2:29">
      <c r="I31" s="107"/>
    </row>
    <row r="32" spans="2:29" ht="51">
      <c r="B32" s="108" t="s">
        <v>1948</v>
      </c>
      <c r="C32" s="108" t="s">
        <v>1949</v>
      </c>
      <c r="D32" s="108" t="s">
        <v>1950</v>
      </c>
      <c r="E32" s="108" t="s">
        <v>1951</v>
      </c>
      <c r="F32" s="108" t="s">
        <v>1962</v>
      </c>
      <c r="G32" s="108" t="s">
        <v>1963</v>
      </c>
      <c r="H32" s="108" t="s">
        <v>1964</v>
      </c>
      <c r="I32" s="108" t="s">
        <v>1965</v>
      </c>
      <c r="J32" s="108" t="s">
        <v>1959</v>
      </c>
      <c r="U32" s="108" t="s">
        <v>1968</v>
      </c>
      <c r="V32" s="108" t="s">
        <v>1969</v>
      </c>
      <c r="W32" s="108" t="s">
        <v>1970</v>
      </c>
      <c r="X32" s="108" t="s">
        <v>1959</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1971</v>
      </c>
      <c r="P53" s="106" t="s">
        <v>1972</v>
      </c>
      <c r="U53" s="105" t="s">
        <v>1973</v>
      </c>
    </row>
    <row r="54" spans="2:28">
      <c r="I54" s="107"/>
      <c r="AB54" s="107"/>
    </row>
    <row r="55" spans="2:28" ht="68">
      <c r="B55" s="108" t="s">
        <v>1952</v>
      </c>
      <c r="C55" s="108" t="s">
        <v>1974</v>
      </c>
      <c r="D55" s="108" t="s">
        <v>1954</v>
      </c>
      <c r="E55" s="108" t="s">
        <v>1955</v>
      </c>
      <c r="F55" s="108" t="s">
        <v>1956</v>
      </c>
      <c r="G55" s="108" t="s">
        <v>1975</v>
      </c>
      <c r="H55" s="108" t="s">
        <v>1976</v>
      </c>
      <c r="I55" s="108" t="s">
        <v>1977</v>
      </c>
      <c r="J55" s="108" t="s">
        <v>1978</v>
      </c>
      <c r="K55" s="108" t="s">
        <v>1979</v>
      </c>
      <c r="L55" s="108" t="s">
        <v>1980</v>
      </c>
      <c r="M55" s="109" t="s">
        <v>1959</v>
      </c>
      <c r="P55" s="105" t="s">
        <v>1960</v>
      </c>
      <c r="Q55" s="105" t="s">
        <v>1961</v>
      </c>
      <c r="U55" s="108" t="s">
        <v>1948</v>
      </c>
      <c r="V55" s="108" t="s">
        <v>1949</v>
      </c>
      <c r="W55" s="108" t="s">
        <v>1950</v>
      </c>
      <c r="X55" s="108" t="s">
        <v>1951</v>
      </c>
      <c r="Y55" s="108" t="s">
        <v>1962</v>
      </c>
      <c r="Z55" s="108" t="s">
        <v>1963</v>
      </c>
      <c r="AA55" s="108" t="s">
        <v>1959</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1981</v>
      </c>
      <c r="P71" s="105">
        <v>960</v>
      </c>
      <c r="U71" s="105" t="s">
        <v>1982</v>
      </c>
    </row>
    <row r="72" spans="2:27">
      <c r="I72" s="107"/>
      <c r="P72" s="105">
        <v>1200</v>
      </c>
    </row>
    <row r="73" spans="2:27" ht="51">
      <c r="B73" s="108" t="s">
        <v>1962</v>
      </c>
      <c r="C73" s="108" t="s">
        <v>1983</v>
      </c>
      <c r="D73" s="108" t="s">
        <v>1964</v>
      </c>
      <c r="E73" s="108" t="s">
        <v>1984</v>
      </c>
      <c r="F73" s="108" t="s">
        <v>1985</v>
      </c>
      <c r="G73" s="108" t="s">
        <v>1986</v>
      </c>
      <c r="H73" s="108" t="s">
        <v>1959</v>
      </c>
      <c r="U73" s="108" t="s">
        <v>1968</v>
      </c>
      <c r="V73" s="108" t="s">
        <v>1969</v>
      </c>
      <c r="W73" s="108" t="s">
        <v>1970</v>
      </c>
      <c r="X73" s="108" t="s">
        <v>1959</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1987</v>
      </c>
    </row>
    <row r="94" spans="2:24">
      <c r="I94" s="107"/>
    </row>
    <row r="95" spans="2:24" ht="34">
      <c r="B95" s="108" t="s">
        <v>1988</v>
      </c>
      <c r="C95" s="108" t="s">
        <v>1989</v>
      </c>
      <c r="D95" s="108" t="s">
        <v>1990</v>
      </c>
      <c r="E95" s="108" t="s">
        <v>1991</v>
      </c>
      <c r="F95" s="108" t="s">
        <v>1992</v>
      </c>
      <c r="G95" s="108" t="s">
        <v>1993</v>
      </c>
      <c r="H95" s="108" t="s">
        <v>1994</v>
      </c>
      <c r="I95" s="109" t="s">
        <v>1959</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1995</v>
      </c>
      <c r="U105" s="105" t="s">
        <v>1996</v>
      </c>
    </row>
    <row r="106" spans="2:29">
      <c r="I106" s="107"/>
      <c r="P106" s="105" t="s">
        <v>1997</v>
      </c>
      <c r="AB106" s="107"/>
    </row>
    <row r="107" spans="2:29" ht="68">
      <c r="B107" s="108" t="s">
        <v>1948</v>
      </c>
      <c r="C107" s="108" t="s">
        <v>1949</v>
      </c>
      <c r="D107" s="108" t="s">
        <v>1950</v>
      </c>
      <c r="E107" s="108" t="s">
        <v>1951</v>
      </c>
      <c r="F107" s="108" t="s">
        <v>1952</v>
      </c>
      <c r="G107" s="108" t="s">
        <v>1953</v>
      </c>
      <c r="H107" s="108" t="s">
        <v>1954</v>
      </c>
      <c r="I107" s="108" t="s">
        <v>1955</v>
      </c>
      <c r="J107" s="108" t="s">
        <v>1956</v>
      </c>
      <c r="K107" s="108" t="s">
        <v>1998</v>
      </c>
      <c r="L107" s="108" t="s">
        <v>1958</v>
      </c>
      <c r="M107" s="109" t="s">
        <v>1959</v>
      </c>
      <c r="U107" s="108" t="s">
        <v>1948</v>
      </c>
      <c r="V107" s="108" t="s">
        <v>1949</v>
      </c>
      <c r="W107" s="108" t="s">
        <v>1950</v>
      </c>
      <c r="X107" s="108" t="s">
        <v>1951</v>
      </c>
      <c r="Y107" s="108" t="s">
        <v>1962</v>
      </c>
      <c r="Z107" s="108" t="s">
        <v>1963</v>
      </c>
      <c r="AA107" s="108" t="s">
        <v>1964</v>
      </c>
      <c r="AB107" s="108" t="s">
        <v>1965</v>
      </c>
      <c r="AC107" s="108" t="s">
        <v>1959</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1999</v>
      </c>
      <c r="P132" s="105">
        <v>1600</v>
      </c>
      <c r="U132" s="105" t="s">
        <v>2000</v>
      </c>
    </row>
    <row r="133" spans="2:29">
      <c r="I133" s="107"/>
    </row>
    <row r="134" spans="2:29" ht="51">
      <c r="B134" s="108" t="s">
        <v>1948</v>
      </c>
      <c r="C134" s="108" t="s">
        <v>1949</v>
      </c>
      <c r="D134" s="108" t="s">
        <v>1950</v>
      </c>
      <c r="E134" s="108" t="s">
        <v>1951</v>
      </c>
      <c r="F134" s="108" t="s">
        <v>1962</v>
      </c>
      <c r="G134" s="108" t="s">
        <v>2001</v>
      </c>
      <c r="H134" s="108" t="s">
        <v>1964</v>
      </c>
      <c r="I134" s="108" t="s">
        <v>2002</v>
      </c>
      <c r="J134" s="108" t="s">
        <v>1959</v>
      </c>
      <c r="U134" s="108" t="s">
        <v>1968</v>
      </c>
      <c r="V134" s="108" t="s">
        <v>1969</v>
      </c>
      <c r="W134" s="108" t="s">
        <v>1970</v>
      </c>
      <c r="X134" s="108" t="s">
        <v>1959</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2003</v>
      </c>
      <c r="U155" s="105" t="s">
        <v>2004</v>
      </c>
    </row>
    <row r="156" spans="2:28">
      <c r="I156" s="107"/>
      <c r="AB156" s="107"/>
    </row>
    <row r="157" spans="2:28" ht="68">
      <c r="B157" s="108" t="s">
        <v>1952</v>
      </c>
      <c r="C157" s="108" t="s">
        <v>1974</v>
      </c>
      <c r="D157" s="108" t="s">
        <v>1954</v>
      </c>
      <c r="E157" s="108" t="s">
        <v>1955</v>
      </c>
      <c r="F157" s="108" t="s">
        <v>1956</v>
      </c>
      <c r="G157" s="108" t="s">
        <v>1975</v>
      </c>
      <c r="H157" s="108" t="s">
        <v>1976</v>
      </c>
      <c r="I157" s="108" t="s">
        <v>1977</v>
      </c>
      <c r="J157" s="108" t="s">
        <v>1978</v>
      </c>
      <c r="K157" s="108" t="s">
        <v>1979</v>
      </c>
      <c r="L157" s="108" t="s">
        <v>1980</v>
      </c>
      <c r="M157" s="109" t="s">
        <v>1959</v>
      </c>
      <c r="U157" s="108" t="s">
        <v>1948</v>
      </c>
      <c r="V157" s="108" t="s">
        <v>1949</v>
      </c>
      <c r="W157" s="108" t="s">
        <v>1950</v>
      </c>
      <c r="X157" s="108" t="s">
        <v>1951</v>
      </c>
      <c r="Y157" s="108" t="s">
        <v>1962</v>
      </c>
      <c r="Z157" s="108" t="s">
        <v>1963</v>
      </c>
      <c r="AA157" s="108" t="s">
        <v>1959</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2005</v>
      </c>
      <c r="U173" s="105" t="s">
        <v>2006</v>
      </c>
    </row>
    <row r="175" spans="2:27" ht="51">
      <c r="B175" s="108" t="s">
        <v>1962</v>
      </c>
      <c r="C175" s="108" t="s">
        <v>1983</v>
      </c>
      <c r="D175" s="108" t="s">
        <v>1964</v>
      </c>
      <c r="E175" s="108" t="s">
        <v>1984</v>
      </c>
      <c r="F175" s="108" t="s">
        <v>1985</v>
      </c>
      <c r="G175" s="108" t="s">
        <v>1986</v>
      </c>
      <c r="H175" s="108" t="s">
        <v>1959</v>
      </c>
      <c r="U175" s="108" t="s">
        <v>1968</v>
      </c>
      <c r="V175" s="108" t="s">
        <v>1969</v>
      </c>
      <c r="W175" s="108" t="s">
        <v>1970</v>
      </c>
      <c r="X175" s="108" t="s">
        <v>1959</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2007</v>
      </c>
      <c r="U195" s="105" t="s">
        <v>2008</v>
      </c>
    </row>
    <row r="197" spans="2:26" ht="51">
      <c r="B197" s="108" t="s">
        <v>1968</v>
      </c>
      <c r="C197" s="108" t="s">
        <v>1969</v>
      </c>
      <c r="D197" s="108" t="s">
        <v>1970</v>
      </c>
      <c r="E197" s="108" t="s">
        <v>1959</v>
      </c>
      <c r="U197" s="108" t="s">
        <v>1948</v>
      </c>
      <c r="V197" s="108" t="s">
        <v>1949</v>
      </c>
      <c r="W197" s="108" t="s">
        <v>1950</v>
      </c>
      <c r="X197" s="108" t="s">
        <v>1951</v>
      </c>
      <c r="Y197" s="108" t="s">
        <v>1962</v>
      </c>
      <c r="Z197" s="108" t="s">
        <v>1959</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2009</v>
      </c>
      <c r="U217" s="105" t="s">
        <v>2010</v>
      </c>
    </row>
    <row r="219" spans="2:26" ht="51">
      <c r="B219" s="108" t="s">
        <v>1968</v>
      </c>
      <c r="C219" s="108" t="s">
        <v>1969</v>
      </c>
      <c r="D219" s="108" t="s">
        <v>1970</v>
      </c>
      <c r="E219" s="108" t="s">
        <v>1959</v>
      </c>
      <c r="U219" s="108" t="s">
        <v>1948</v>
      </c>
      <c r="V219" s="108" t="s">
        <v>1949</v>
      </c>
      <c r="W219" s="108" t="s">
        <v>1950</v>
      </c>
      <c r="X219" s="108" t="s">
        <v>1951</v>
      </c>
      <c r="Y219" s="108" t="s">
        <v>1959</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2011</v>
      </c>
      <c r="U239" s="105" t="s">
        <v>2012</v>
      </c>
    </row>
    <row r="241" spans="2:28" ht="34">
      <c r="B241" s="108" t="s">
        <v>2013</v>
      </c>
      <c r="C241" s="108" t="s">
        <v>1969</v>
      </c>
      <c r="D241" s="108" t="s">
        <v>2014</v>
      </c>
      <c r="E241" s="108" t="s">
        <v>1959</v>
      </c>
      <c r="U241" s="108" t="s">
        <v>1948</v>
      </c>
      <c r="V241" s="108" t="s">
        <v>1949</v>
      </c>
      <c r="W241" s="108" t="s">
        <v>1959</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2015</v>
      </c>
      <c r="U251" s="105" t="s">
        <v>2016</v>
      </c>
    </row>
    <row r="252" spans="2:28">
      <c r="I252" s="107"/>
      <c r="AB252" s="107"/>
    </row>
    <row r="253" spans="2:28" ht="85">
      <c r="B253" s="108" t="s">
        <v>1962</v>
      </c>
      <c r="C253" s="108" t="s">
        <v>2017</v>
      </c>
      <c r="D253" s="108" t="s">
        <v>2018</v>
      </c>
      <c r="E253" s="108" t="s">
        <v>2019</v>
      </c>
      <c r="F253" s="108" t="s">
        <v>2020</v>
      </c>
      <c r="G253" s="108" t="s">
        <v>2021</v>
      </c>
      <c r="H253" s="108" t="s">
        <v>2022</v>
      </c>
      <c r="I253" s="108" t="s">
        <v>2023</v>
      </c>
      <c r="J253" s="109" t="s">
        <v>1959</v>
      </c>
      <c r="U253" s="108" t="s">
        <v>1948</v>
      </c>
      <c r="V253" s="108" t="s">
        <v>1949</v>
      </c>
      <c r="W253" s="108" t="s">
        <v>1950</v>
      </c>
      <c r="X253" s="108" t="s">
        <v>1951</v>
      </c>
      <c r="Y253" s="108" t="s">
        <v>1962</v>
      </c>
      <c r="Z253" s="108" t="s">
        <v>1963</v>
      </c>
      <c r="AA253" s="108" t="s">
        <v>1959</v>
      </c>
    </row>
    <row r="254" spans="2:28">
      <c r="B254" s="106" t="s">
        <v>2024</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2025</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2026</v>
      </c>
      <c r="U278" s="105" t="s">
        <v>2027</v>
      </c>
    </row>
    <row r="279" spans="2:27">
      <c r="I279" s="107"/>
    </row>
    <row r="280" spans="2:27" ht="85">
      <c r="B280" s="108" t="s">
        <v>1962</v>
      </c>
      <c r="C280" s="108" t="s">
        <v>2017</v>
      </c>
      <c r="D280" s="108" t="s">
        <v>2018</v>
      </c>
      <c r="E280" s="108" t="s">
        <v>2019</v>
      </c>
      <c r="F280" s="108" t="s">
        <v>2020</v>
      </c>
      <c r="G280" s="108" t="s">
        <v>2021</v>
      </c>
      <c r="H280" s="108" t="s">
        <v>2022</v>
      </c>
      <c r="I280" s="108" t="s">
        <v>2023</v>
      </c>
      <c r="J280" s="109" t="s">
        <v>1959</v>
      </c>
      <c r="U280" s="108" t="s">
        <v>1948</v>
      </c>
      <c r="V280" s="108" t="s">
        <v>1949</v>
      </c>
      <c r="W280" s="108" t="s">
        <v>1950</v>
      </c>
      <c r="X280" s="108" t="s">
        <v>1951</v>
      </c>
      <c r="Y280" s="108" t="s">
        <v>1962</v>
      </c>
      <c r="Z280" s="108" t="s">
        <v>1963</v>
      </c>
      <c r="AA280" s="108" t="s">
        <v>1959</v>
      </c>
    </row>
    <row r="281" spans="2:27">
      <c r="B281" s="106" t="s">
        <v>2024</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2025</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2028</v>
      </c>
      <c r="U305" s="105" t="s">
        <v>2029</v>
      </c>
    </row>
    <row r="306" spans="2:29">
      <c r="I306" s="107"/>
    </row>
    <row r="307" spans="2:29" ht="68">
      <c r="B307" s="108" t="s">
        <v>1948</v>
      </c>
      <c r="C307" s="108" t="s">
        <v>1949</v>
      </c>
      <c r="D307" s="108" t="s">
        <v>1950</v>
      </c>
      <c r="E307" s="108" t="s">
        <v>1951</v>
      </c>
      <c r="F307" s="108" t="s">
        <v>1952</v>
      </c>
      <c r="G307" s="108" t="s">
        <v>1953</v>
      </c>
      <c r="H307" s="108" t="s">
        <v>1954</v>
      </c>
      <c r="I307" s="108" t="s">
        <v>1955</v>
      </c>
      <c r="J307" s="108" t="s">
        <v>1956</v>
      </c>
      <c r="K307" s="108" t="s">
        <v>1957</v>
      </c>
      <c r="L307" s="108" t="s">
        <v>1958</v>
      </c>
      <c r="M307" s="109" t="s">
        <v>1959</v>
      </c>
      <c r="U307" s="108" t="s">
        <v>1948</v>
      </c>
      <c r="V307" s="108" t="s">
        <v>1949</v>
      </c>
      <c r="W307" s="108" t="s">
        <v>1950</v>
      </c>
      <c r="X307" s="108" t="s">
        <v>1951</v>
      </c>
      <c r="Y307" s="108" t="s">
        <v>1962</v>
      </c>
      <c r="Z307" s="108" t="s">
        <v>1963</v>
      </c>
      <c r="AA307" s="108" t="s">
        <v>2030</v>
      </c>
      <c r="AB307" s="108" t="s">
        <v>2031</v>
      </c>
      <c r="AC307" s="108" t="s">
        <v>1959</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2032</v>
      </c>
      <c r="U324" s="105" t="s">
        <v>2033</v>
      </c>
    </row>
    <row r="325" spans="2:29">
      <c r="I325" s="107"/>
    </row>
    <row r="326" spans="2:29" ht="34">
      <c r="B326" s="108" t="s">
        <v>1948</v>
      </c>
      <c r="C326" s="108" t="s">
        <v>1949</v>
      </c>
      <c r="D326" s="108" t="s">
        <v>1950</v>
      </c>
      <c r="E326" s="108" t="s">
        <v>1951</v>
      </c>
      <c r="F326" s="108" t="s">
        <v>1962</v>
      </c>
      <c r="G326" s="108" t="s">
        <v>1963</v>
      </c>
      <c r="H326" s="108" t="s">
        <v>1964</v>
      </c>
      <c r="I326" s="108" t="s">
        <v>1965</v>
      </c>
      <c r="J326" s="108" t="s">
        <v>1959</v>
      </c>
      <c r="U326" s="108" t="s">
        <v>1948</v>
      </c>
      <c r="V326" s="108" t="s">
        <v>1949</v>
      </c>
      <c r="W326" s="108" t="s">
        <v>1950</v>
      </c>
      <c r="X326" s="108" t="s">
        <v>1959</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2034</v>
      </c>
      <c r="U340" s="105" t="s">
        <v>2035</v>
      </c>
    </row>
    <row r="341" spans="2:27">
      <c r="I341" s="107"/>
    </row>
    <row r="342" spans="2:27" ht="68">
      <c r="B342" s="108" t="s">
        <v>1952</v>
      </c>
      <c r="C342" s="108" t="s">
        <v>1974</v>
      </c>
      <c r="D342" s="108" t="s">
        <v>1954</v>
      </c>
      <c r="E342" s="108" t="s">
        <v>1955</v>
      </c>
      <c r="F342" s="108" t="s">
        <v>1956</v>
      </c>
      <c r="G342" s="108" t="s">
        <v>1975</v>
      </c>
      <c r="H342" s="108" t="s">
        <v>1976</v>
      </c>
      <c r="I342" s="108" t="s">
        <v>1977</v>
      </c>
      <c r="J342" s="108" t="s">
        <v>1978</v>
      </c>
      <c r="K342" s="108" t="s">
        <v>1979</v>
      </c>
      <c r="L342" s="108" t="s">
        <v>1980</v>
      </c>
      <c r="M342" s="109" t="s">
        <v>1959</v>
      </c>
      <c r="U342" s="108" t="s">
        <v>1948</v>
      </c>
      <c r="V342" s="108" t="s">
        <v>1949</v>
      </c>
      <c r="W342" s="108" t="s">
        <v>1950</v>
      </c>
      <c r="X342" s="108" t="s">
        <v>1951</v>
      </c>
      <c r="Y342" s="108" t="s">
        <v>1962</v>
      </c>
      <c r="Z342" s="108" t="s">
        <v>1963</v>
      </c>
      <c r="AA342" s="108" t="s">
        <v>1959</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2036</v>
      </c>
      <c r="U359" s="105" t="s">
        <v>2037</v>
      </c>
    </row>
    <row r="360" spans="2:27">
      <c r="I360" s="107"/>
    </row>
    <row r="361" spans="2:27" ht="34">
      <c r="B361" s="108" t="s">
        <v>1962</v>
      </c>
      <c r="C361" s="108" t="s">
        <v>1983</v>
      </c>
      <c r="D361" s="108" t="s">
        <v>1964</v>
      </c>
      <c r="E361" s="108" t="s">
        <v>1984</v>
      </c>
      <c r="F361" s="108" t="s">
        <v>1985</v>
      </c>
      <c r="G361" s="108" t="s">
        <v>1986</v>
      </c>
      <c r="H361" s="108" t="s">
        <v>1959</v>
      </c>
      <c r="U361" s="108" t="s">
        <v>1948</v>
      </c>
      <c r="V361" s="108" t="s">
        <v>1949</v>
      </c>
      <c r="W361" s="108" t="s">
        <v>1950</v>
      </c>
      <c r="X361" s="108" t="s">
        <v>1959</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2038</v>
      </c>
      <c r="U375" s="105" t="s">
        <v>2039</v>
      </c>
    </row>
    <row r="376" spans="2:29">
      <c r="I376" s="107"/>
    </row>
    <row r="377" spans="2:29" ht="68">
      <c r="B377" s="108" t="s">
        <v>1948</v>
      </c>
      <c r="C377" s="108" t="s">
        <v>1949</v>
      </c>
      <c r="D377" s="108" t="s">
        <v>1950</v>
      </c>
      <c r="E377" s="108" t="s">
        <v>1951</v>
      </c>
      <c r="F377" s="108" t="s">
        <v>1952</v>
      </c>
      <c r="G377" s="108" t="s">
        <v>1953</v>
      </c>
      <c r="H377" s="108" t="s">
        <v>1954</v>
      </c>
      <c r="I377" s="108" t="s">
        <v>1955</v>
      </c>
      <c r="J377" s="108" t="s">
        <v>1956</v>
      </c>
      <c r="K377" s="108" t="s">
        <v>1998</v>
      </c>
      <c r="L377" s="108" t="s">
        <v>1958</v>
      </c>
      <c r="M377" s="109" t="s">
        <v>1959</v>
      </c>
      <c r="U377" s="108" t="s">
        <v>1948</v>
      </c>
      <c r="V377" s="108" t="s">
        <v>1949</v>
      </c>
      <c r="W377" s="108" t="s">
        <v>1950</v>
      </c>
      <c r="X377" s="108" t="s">
        <v>1951</v>
      </c>
      <c r="Y377" s="108" t="s">
        <v>1962</v>
      </c>
      <c r="Z377" s="108" t="s">
        <v>1963</v>
      </c>
      <c r="AA377" s="108" t="s">
        <v>2030</v>
      </c>
      <c r="AB377" s="108" t="s">
        <v>2031</v>
      </c>
      <c r="AC377" s="108" t="s">
        <v>1959</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2040</v>
      </c>
      <c r="U394" s="105" t="s">
        <v>2041</v>
      </c>
    </row>
    <row r="395" spans="2:29">
      <c r="I395" s="107"/>
    </row>
    <row r="396" spans="2:29" ht="34">
      <c r="B396" s="108" t="s">
        <v>1948</v>
      </c>
      <c r="C396" s="108" t="s">
        <v>1949</v>
      </c>
      <c r="D396" s="108" t="s">
        <v>1950</v>
      </c>
      <c r="E396" s="108" t="s">
        <v>1951</v>
      </c>
      <c r="F396" s="108" t="s">
        <v>1962</v>
      </c>
      <c r="G396" s="108" t="s">
        <v>2001</v>
      </c>
      <c r="H396" s="108" t="s">
        <v>1964</v>
      </c>
      <c r="I396" s="108" t="s">
        <v>2002</v>
      </c>
      <c r="J396" s="108" t="s">
        <v>1959</v>
      </c>
      <c r="U396" s="108" t="s">
        <v>1948</v>
      </c>
      <c r="V396" s="108" t="s">
        <v>1949</v>
      </c>
      <c r="W396" s="108" t="s">
        <v>1950</v>
      </c>
      <c r="X396" s="108" t="s">
        <v>1959</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2042</v>
      </c>
      <c r="U410" s="105" t="s">
        <v>2043</v>
      </c>
    </row>
    <row r="411" spans="2:27">
      <c r="I411" s="107"/>
    </row>
    <row r="412" spans="2:27" ht="68">
      <c r="B412" s="108" t="s">
        <v>1952</v>
      </c>
      <c r="C412" s="108" t="s">
        <v>1974</v>
      </c>
      <c r="D412" s="108" t="s">
        <v>1954</v>
      </c>
      <c r="E412" s="108" t="s">
        <v>1955</v>
      </c>
      <c r="F412" s="108" t="s">
        <v>1956</v>
      </c>
      <c r="G412" s="108" t="s">
        <v>1975</v>
      </c>
      <c r="H412" s="108" t="s">
        <v>1976</v>
      </c>
      <c r="I412" s="108" t="s">
        <v>1977</v>
      </c>
      <c r="J412" s="108" t="s">
        <v>1978</v>
      </c>
      <c r="K412" s="108" t="s">
        <v>1979</v>
      </c>
      <c r="L412" s="108" t="s">
        <v>1980</v>
      </c>
      <c r="M412" s="109" t="s">
        <v>1959</v>
      </c>
      <c r="U412" s="108" t="s">
        <v>1948</v>
      </c>
      <c r="V412" s="108" t="s">
        <v>1949</v>
      </c>
      <c r="W412" s="108" t="s">
        <v>1950</v>
      </c>
      <c r="X412" s="108" t="s">
        <v>1951</v>
      </c>
      <c r="Y412" s="108" t="s">
        <v>1962</v>
      </c>
      <c r="Z412" s="108" t="s">
        <v>1963</v>
      </c>
      <c r="AA412" s="108" t="s">
        <v>1959</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2044</v>
      </c>
      <c r="U429" s="105" t="s">
        <v>2045</v>
      </c>
    </row>
    <row r="431" spans="2:27" ht="34">
      <c r="B431" s="108" t="s">
        <v>1962</v>
      </c>
      <c r="C431" s="108" t="s">
        <v>1983</v>
      </c>
      <c r="D431" s="108" t="s">
        <v>1964</v>
      </c>
      <c r="E431" s="108" t="s">
        <v>1984</v>
      </c>
      <c r="F431" s="108" t="s">
        <v>1985</v>
      </c>
      <c r="G431" s="108" t="s">
        <v>1986</v>
      </c>
      <c r="H431" s="108" t="s">
        <v>1959</v>
      </c>
      <c r="U431" s="108" t="s">
        <v>1948</v>
      </c>
      <c r="V431" s="108" t="s">
        <v>1949</v>
      </c>
      <c r="W431" s="108" t="s">
        <v>1950</v>
      </c>
      <c r="X431" s="108" t="s">
        <v>1959</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1" activePane="bottomRight" state="frozen"/>
      <selection activeCell="O51" sqref="O51"/>
      <selection pane="topRight" activeCell="O51" sqref="O51"/>
      <selection pane="bottomLeft" activeCell="O51" sqref="O51"/>
      <selection pane="bottomRight" activeCell="I23" sqref="I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2046</v>
      </c>
    </row>
    <row r="2" spans="1:43" ht="15.75" customHeight="1">
      <c r="B2" s="115" t="s">
        <v>2047</v>
      </c>
      <c r="I2" s="116"/>
      <c r="J2" s="117"/>
      <c r="K2" s="117"/>
      <c r="L2" s="116"/>
      <c r="M2" s="116"/>
      <c r="N2" s="118">
        <f ca="1">NOW()</f>
        <v>45797.666954398148</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2048</v>
      </c>
      <c r="D7" s="130" t="s">
        <v>2049</v>
      </c>
      <c r="E7" s="130" t="s">
        <v>2050</v>
      </c>
      <c r="F7" s="130" t="s">
        <v>2051</v>
      </c>
      <c r="G7" s="130" t="s">
        <v>2052</v>
      </c>
      <c r="H7" s="130" t="s">
        <v>2053</v>
      </c>
      <c r="I7" s="130" t="s">
        <v>2054</v>
      </c>
      <c r="J7" s="130" t="s">
        <v>2055</v>
      </c>
      <c r="K7" s="130" t="s">
        <v>2056</v>
      </c>
      <c r="L7" s="130" t="s">
        <v>2057</v>
      </c>
      <c r="M7" s="131"/>
      <c r="N7" s="132" t="s">
        <v>1807</v>
      </c>
      <c r="O7" s="133" t="s">
        <v>2058</v>
      </c>
      <c r="AQ7" s="112"/>
    </row>
    <row r="8" spans="1:43" ht="68">
      <c r="A8" s="134"/>
      <c r="B8" s="135"/>
      <c r="C8" s="136"/>
      <c r="D8" s="137" t="s">
        <v>2590</v>
      </c>
      <c r="E8" s="137" t="s">
        <v>2591</v>
      </c>
      <c r="F8" s="137" t="s">
        <v>2592</v>
      </c>
      <c r="G8" s="137" t="s">
        <v>2593</v>
      </c>
      <c r="H8" s="137" t="s">
        <v>2594</v>
      </c>
      <c r="I8" s="137" t="s">
        <v>2595</v>
      </c>
      <c r="J8" s="137" t="s">
        <v>2596</v>
      </c>
      <c r="K8" s="137" t="s">
        <v>2700</v>
      </c>
      <c r="L8" s="137" t="s">
        <v>2699</v>
      </c>
      <c r="M8" s="135"/>
      <c r="N8" s="135"/>
      <c r="O8" s="138"/>
      <c r="AQ8" s="112"/>
    </row>
    <row r="9" spans="1:43" ht="16">
      <c r="A9" s="131"/>
      <c r="B9" s="148" t="s">
        <v>2059</v>
      </c>
      <c r="C9" s="149"/>
      <c r="D9" s="150">
        <f>'Customer Base'!J7/'Customer Base'!D15</f>
        <v>3</v>
      </c>
      <c r="E9" s="150">
        <f ca="1">IF(SUMPRODUCT(Items!A$6:A$120,Items!AP$6:AP$120)&gt;0,('Customer Base'!J$7/'Customer Base'!D$15),IF(SUMPRODUCT(Items!A$258:A$290,Items!AP$258:AP$290)&gt;0,('Customer Base'!J$7/'Customer Base'!D$15),""))</f>
        <v>3</v>
      </c>
      <c r="F9" s="150">
        <f ca="1">E9</f>
        <v>3</v>
      </c>
      <c r="G9" s="150">
        <f ca="1">E9</f>
        <v>3</v>
      </c>
      <c r="H9" s="150">
        <f ca="1">E9</f>
        <v>3</v>
      </c>
      <c r="I9" s="150">
        <v>162</v>
      </c>
      <c r="J9" s="150">
        <f>D9*'Customer Base'!D15</f>
        <v>3</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2060</v>
      </c>
      <c r="C11" s="152"/>
      <c r="D11" s="154">
        <f>D9*100%</f>
        <v>3</v>
      </c>
      <c r="E11" s="154">
        <f ca="1">IFERROR(E9*100%,0)</f>
        <v>3</v>
      </c>
      <c r="F11" s="154">
        <f t="shared" ref="F11:H11" ca="1" si="0">IFERROR(F9*100%,0)</f>
        <v>3</v>
      </c>
      <c r="G11" s="154">
        <f t="shared" ca="1" si="0"/>
        <v>3</v>
      </c>
      <c r="H11" s="154">
        <f t="shared" ca="1" si="0"/>
        <v>3</v>
      </c>
      <c r="I11" s="154">
        <f t="shared" ref="I11:L11" si="1">I9*100%</f>
        <v>162</v>
      </c>
      <c r="J11" s="154">
        <f t="shared" si="1"/>
        <v>3</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2061</v>
      </c>
      <c r="C13" s="152"/>
      <c r="D13" s="152">
        <f>D11/0.8</f>
        <v>3.75</v>
      </c>
      <c r="E13" s="152">
        <f ca="1">E11/1</f>
        <v>3</v>
      </c>
      <c r="F13" s="152">
        <f t="shared" ref="F13:H13" ca="1" si="2">F11/1</f>
        <v>3</v>
      </c>
      <c r="G13" s="152">
        <f t="shared" ca="1" si="2"/>
        <v>3</v>
      </c>
      <c r="H13" s="152">
        <f t="shared" ca="1" si="2"/>
        <v>3</v>
      </c>
      <c r="I13" s="152">
        <f t="shared" ref="I13:L13" si="3">I11/0.8</f>
        <v>202.5</v>
      </c>
      <c r="J13" s="152">
        <f t="shared" si="3"/>
        <v>3.75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2062</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2063</v>
      </c>
      <c r="C17" s="152"/>
      <c r="D17" s="146">
        <f>SUM(D13,D15)</f>
        <v>3.75</v>
      </c>
      <c r="E17" s="146">
        <f ca="1">SUM(E13,E15)</f>
        <v>3</v>
      </c>
      <c r="F17" s="146">
        <f t="shared" ref="F17:L17" ca="1" si="5">SUM(F13,F15)</f>
        <v>3</v>
      </c>
      <c r="G17" s="146">
        <f t="shared" ca="1" si="5"/>
        <v>3</v>
      </c>
      <c r="H17" s="146">
        <f ca="1">SUM(H13,H15)</f>
        <v>3</v>
      </c>
      <c r="I17" s="146">
        <f t="shared" si="5"/>
        <v>202.5</v>
      </c>
      <c r="J17" s="146">
        <f t="shared" si="5"/>
        <v>3.75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2064</v>
      </c>
      <c r="B19" s="127" t="s">
        <v>2065</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2066</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2067</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2068</v>
      </c>
      <c r="B23" s="151" t="s">
        <v>2069</v>
      </c>
      <c r="C23" s="152"/>
      <c r="D23" s="152">
        <f>IF(D55&lt;&gt;"",D$17*1000/(IF(D57=1,230,IF(D57=3,(SQRT(3)*400)))),"")</f>
        <v>16.304347826086957</v>
      </c>
      <c r="E23" s="152">
        <f ca="1">IFERROR(IF(E55&lt;&gt;"",(SUMPRODUCT(Items!A$242:A$255,Items!AP$242:AP$255)/SUM(Items!A$242:A$255))*IF(OR('Client List'!EE474&gt;0,'Client List'!AA501&gt;0),MAX('Client List'!EE474,'Client List'!IM474,IF(AND('Client List'!EE474=0,'Client List'!IM474=0),'Client List'!EC474,0)),IF(OR('Customer Base'!D7="Grid-Tied",AND('Customer Base'!D7="Hybrid",SUMPRODUCT(Items!A6:A132,Items!AP6:AP132)&gt;0)),1,Items!L1)),0),"")</f>
        <v>48</v>
      </c>
      <c r="F23" s="152">
        <f ca="1">E23</f>
        <v>48</v>
      </c>
      <c r="G23" s="152">
        <f ca="1">E23</f>
        <v>48</v>
      </c>
      <c r="H23" s="152">
        <f ca="1">E23</f>
        <v>48</v>
      </c>
      <c r="I23" s="152">
        <f>MAX((SUMPRODUCT(Items!A$6:A$132,Items!AW$6:AW$132)/'Customer Base'!D15),('Customer Base'!D14*1000/'Customer Base'!D8))</f>
        <v>62.5</v>
      </c>
      <c r="J23" s="152">
        <f>IF(J55&lt;&gt;"",J$17*1000/(IF(J57=1,230,IF(J57=3,(SQRT(3)*400)))),"")</f>
        <v>5.4126587736527414</v>
      </c>
      <c r="K23" s="152">
        <f>SUMPRODUCT(Items!A$242:A$255,Items!AP$242:AP$255)/SUM(Items!A$242:A$255)</f>
        <v>16</v>
      </c>
      <c r="L23" s="152">
        <f>SUMPRODUCT(Items!A$242:A$255,Items!AP$242:AP$255)/SUM(Items!A$242:A$255)</f>
        <v>16</v>
      </c>
      <c r="M23" s="152" t="str">
        <f>IF(M55&lt;&gt;"",M$17*1000/(IF(M57=1,230,IF(M57=3,(SQRT(3)*400)))),"")</f>
        <v/>
      </c>
      <c r="N23" s="152">
        <f>IF(N55&lt;&gt;"",N$17*1000/(IF(N57=1,230,IF(N57=3,(SQRT(3)*400)))),"")</f>
        <v>324.7595264191645</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2070</v>
      </c>
      <c r="C25" s="152"/>
      <c r="D25" s="152">
        <f>IF(ISNUMBER(SEARCH("CU",D$7)),SUM(D19:D21),MAX(D19:D21))</f>
        <v>1</v>
      </c>
      <c r="E25" s="152">
        <f t="shared" ref="E25:L25" si="6">IF(ISNUMBER(SEARCH("CU",E$7)),SUM(E19:E21),MAX(E19:E21))</f>
        <v>1</v>
      </c>
      <c r="F25" s="152">
        <f t="shared" si="6"/>
        <v>1</v>
      </c>
      <c r="G25" s="152">
        <f t="shared" si="6"/>
        <v>1</v>
      </c>
      <c r="H25" s="152">
        <f>IF(ISNUMBER(SEARCH("CU",H$7)),SUM(H19:H21),MAX(H19:H21))</f>
        <v>1</v>
      </c>
      <c r="I25" s="152">
        <f t="shared" si="6"/>
        <v>1</v>
      </c>
      <c r="J25" s="152">
        <f t="shared" si="6"/>
        <v>1</v>
      </c>
      <c r="K25" s="152">
        <f>IF(ISNUMBER(SEARCH("CU",K$7)),SUM(K19:K21),MAX(K19:K21))</f>
        <v>1</v>
      </c>
      <c r="L25" s="152">
        <f t="shared" si="6"/>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2071</v>
      </c>
      <c r="B27" s="151" t="s">
        <v>2072</v>
      </c>
      <c r="C27" s="152"/>
      <c r="D27" s="152">
        <f>IF(D$23&lt;&gt;0,IF(D$23*1.2&lt;3,3,IF(D$23*1.2&lt;6,6,IF(D$23*1.2&lt;10,10,IF(D$23*1.2&lt;16,16,IF(D$23*1.2&lt;20,20,IF(D$23*1.2&lt;25,25,IF(D$23*1.2&lt;32,32,IF(D$23*1.2&lt;40,40,IF(D$23*1.2&lt;50,50,IF(D$23*1.2&lt;63,63,IF(D$23*1.2&lt;80,80,IF(D$23*1.2&lt;100,100,IF(D$23*1.2&lt;125,125,IF(D$23*1.2&lt;160,160,IF(D$23*1.2&lt;200,200,IF(D$23*1.2&lt;250,250,IF(D$23*1.2&lt;320,320,IF(D$23*1.2&lt;400,400,IF(D$23*1.2&lt;500,500,IF(D$23*1.2&lt;630,630,IF(D$23*1.2&lt;800,800,IF(D$23*1.2&lt;1000,1000,IF(D$23*1.2&lt;1200,1200,IF(D$23*1.2&lt;1400,1400,IF(D$23*1.2&lt;1600,1600,""))))))))))))))))))))))))),"")</f>
        <v>20</v>
      </c>
      <c r="E27" s="152">
        <f ca="1">IF(E$23&lt;&gt;0,IF(E$23&lt;3,3,IF(E$23&lt;6,6,IF(E$23&lt;10,10,IF(E$23&lt;16,16,IF(E$23&lt;20,20,IF(E$23&lt;25,25,IF(E$23&lt;32,32,IF(E$23&lt;40,40,IF(E$23&lt;50,50,IF(E$23&lt;63,63,IF(E$23&lt;80,80,IF(E$23&lt;100,100,IF(E$23&lt;125,125,IF(E$23&lt;160,160,IF(E$23&lt;200,200,IF(E$23&lt;250,250,IF(E$23&lt;320,320,IF(E$23&lt;400,400,IF(E$23&lt;500,500,IF(E$23&lt;630,630,IF(E$23&lt;800,800,IF(E$23&lt;1000,1000,IF(E$23&lt;1200,1200,IF(E$23&lt;1400,1400,IF(E$23&lt;1600,1600,""))))))))))))))))))))))))),"")</f>
        <v>50</v>
      </c>
      <c r="F27" s="152">
        <f ca="1">IF(F$23&lt;&gt;0,IF(F$23&lt;3,3,IF(F$23&lt;6,6,IF(F$23&lt;10,10,IF(F$23&lt;16,16,IF(F$23&lt;20,20,IF(F$23&lt;25,25,IF(F$23&lt;32,32,IF(F$23&lt;40,40,IF(F$23&lt;50,50,IF(F$23&lt;63,63,IF(F$23&lt;80,80,IF(F$23&lt;100,100,IF(F$23&lt;125,125,IF(F$23&lt;160,160,IF(F$23&lt;200,200,IF(F$23&lt;250,250,IF(F$23&lt;320,320,IF(F$23&lt;400,400,IF(F$23&lt;500,500,IF(F$23&lt;630,630,IF(F$23&lt;800,800,IF(F$23&lt;1000,1000,IF(F$23&lt;1200,1200,IF(F$23&lt;1400,1400,IF(F$23&lt;1600,1600,""))))))))))))))))))))))))),"")</f>
        <v>50</v>
      </c>
      <c r="G27" s="152">
        <f ca="1">IF(G$23&lt;&gt;0,IF(G$23&lt;3,3,IF(G$23&lt;6,6,IF(G$23&lt;10,10,IF(G$23&lt;16,16,IF(G$23&lt;20,20,IF(G$23&lt;25,25,IF(G$23&lt;32,32,IF(G$23&lt;40,40,IF(G$23&lt;50,50,IF(G$23&lt;63,63,IF(G$23&lt;80,80,IF(G$23&lt;100,100,IF(G$23&lt;125,125,IF(G$23&lt;160,160,IF(G$23&lt;200,200,IF(G$23&lt;250,250,IF(G$23&lt;320,320,IF(G$23&lt;400,400,IF(G$23&lt;500,500,IF(G$23&lt;630,630,IF(G$23&lt;800,800,IF(G$23&lt;1000,1000,IF(G$23&lt;1200,1200,IF(G$23&lt;1400,1400,IF(G$23&lt;1600,1600,""))))))))))))))))))))))))),"")</f>
        <v>50</v>
      </c>
      <c r="H27" s="152">
        <f ca="1">IF(H$23&lt;&gt;0,IF(H$23&lt;3,3,IF(H$23&lt;6,6,IF(H$23&lt;10,10,IF(H$23&lt;16,16,IF(H$23&lt;20,20,IF(H$23&lt;25,25,IF(H$23&lt;32,32,IF(H$23&lt;40,40,IF(H$23&lt;50,50,IF(H$23&lt;63,63,IF(H$23&lt;80,80,IF(H$23&lt;100,100,IF(H$23&lt;125,125,IF(H$23&lt;160,160,IF(H$23&lt;200,200,IF(H$23&lt;250,250,IF(H$23&lt;320,320,IF(H$23&lt;400,400,IF(H$23&lt;500,500,IF(H$23&lt;630,630,IF(H$23&lt;800,800,IF(H$23&lt;1000,1000,IF(H$23&lt;1200,1200,IF(H$23&lt;1400,1400,IF(H$23&lt;1600,1600,""))))))))))))))))))))))))),"")</f>
        <v>50</v>
      </c>
      <c r="I27" s="152">
        <f>IF(I$23&lt;&gt;0,IF(I$23&lt;=3,3,IF(I$23&lt;=6,6,IF(I$23&lt;=10,10,IF(I$23&lt;=16,16,IF(I$23&lt;=20,20,IF(I$23&lt;=25,25,IF(I$23&lt;=32,32,IF(I$23&lt;=40,40,IF(I$23&lt;=50,50,IF(I$23&lt;=63,63,IF(I$23&lt;=80,80,IF(I$23&lt;=100,100,IF(I$23&lt;=125,125,IF(I$23&lt;=160,160,IF(I$23&lt;=200,200,IF(I$23&lt;=250,250,IF(I$23&lt;=320,320,IF(I$23&lt;=400,400,IF(I$23&lt;=500,500,IF(I$23&lt;=630,630,IF(I$23&lt;=800,800,IF(I$23&lt;=1000,1000,IF(I$23&lt;=1200,1200,IF(I$23&lt;=1400,1400,IF(I$23&lt;=1600,1600,""))))))))))))))))))))))))),"")</f>
        <v>63</v>
      </c>
      <c r="J27" s="152">
        <f>IF(J$23&lt;&gt;0,IF(J$23*1.2&lt;3,3,IF(J$23*1.2&lt;6,6,IF(J$23*1.2&lt;10,10,IF(J$23*1.2&lt;16,16,IF(J$23*1.2&lt;20,20,IF(J$23*1.2&lt;25,25,IF(J$23*1.2&lt;32,32,IF(J$23*1.2&lt;40,40,IF(J$23*1.2&lt;50,50,IF(J$23*1.2&lt;63,63,IF(J$23*1.2&lt;80,80,IF(J$23*1.2&lt;100,100,IF(J$23*1.2&lt;125,125,IF(J$23*1.2&lt;160,160,IF(J$23*1.2&lt;200,200,IF(J$23*1.2&lt;250,250,IF(J$23*1.2&lt;320,320,IF(J$23*1.2&lt;400,400,IF(J$23*1.2&lt;500,500,IF(J$23*1.2&lt;630,630,IF(J$23*1.2&lt;800,800,IF(J$23*1.2&lt;1000,1000,IF(J$23*1.2&lt;1200,1200,IF(J$23*1.2&lt;1400,1400,IF(J$23*1.2&lt;1600,1600,""))))))))))))))))))))))))),"")</f>
        <v>10</v>
      </c>
      <c r="K27" s="152">
        <f>IF(K$23&lt;&gt;0,IF(K$23&lt;3,3,IF(K$23&lt;6,6,IF(K$23&lt;10,10,IF(K$23&lt;16,16,IF(K$23&lt;20,20,IF(K$23&lt;25,25,IF(K$23&lt;32,32,IF(K$23&lt;40,40,IF(K$23&lt;50,50,IF(K$23&lt;63,63,IF(K$23&lt;80,80,IF(K$23&lt;100,100,IF(K$23&lt;125,125,IF(K$23&lt;160,160,IF(K$23&lt;200,200,IF(K$23&lt;250,250,IF(K$23&lt;320,320,IF(K$23&lt;400,400,IF(K$23&lt;500,500,IF(K$23&lt;630,630,IF(K$23&lt;800,800,IF(K$23&lt;1000,1000,IF(K$23&lt;1200,1200,IF(K$23&lt;1400,1400,IF(K$23&lt;1600,1600,""))))))))))))))))))))))))),"")</f>
        <v>20</v>
      </c>
      <c r="L27" s="152">
        <f>IF(L$23&lt;&gt;0,IF(L$23&lt;3,3,IF(L$23&lt;6,6,IF(L$23&lt;10,10,IF(L$23&lt;16,16,IF(L$23&lt;20,20,IF(L$23&lt;25,25,IF(L$23&lt;32,32,IF(L$23&lt;40,40,IF(L$23&lt;50,50,IF(L$23&lt;63,63,IF(L$23&lt;80,80,IF(L$23&lt;100,100,IF(L$23&lt;125,125,IF(L$23&lt;160,160,IF(L$23&lt;200,200,IF(L$23&lt;250,250,IF(L$23&lt;320,320,IF(L$23&lt;400,400,IF(L$23&lt;500,500,IF(L$23&lt;630,630,IF(L$23&lt;800,800,IF(L$23&lt;1000,1000,IF(L$23&lt;1200,1200,IF(L$23&lt;1400,1400,IF(L$23&lt;1600,1600,""))))))))))))))))))))))))),"")</f>
        <v>20</v>
      </c>
      <c r="M27" s="152" t="str">
        <f>IF(M$23&lt;&gt;0,IF(M$23&lt;3,3,IF(M$23&lt;6,6,IF(M$23&lt;10,10,IF(M$23&lt;16,16,IF(M$23&lt;20,20,IF(M$23&lt;25,25,IF(M$23&lt;32,32,IF(M$23&lt;40,40,IF(M$23&lt;50,50,IF(M$23&lt;63,63,IF(M$23&lt;80,80,IF(M$23&lt;100,100,IF(M$23&lt;125,125,IF(M$23&lt;160,160,IF(M$23&lt;200,200,IF(M$23&lt;250,250,IF(M$23&lt;320,320,IF(M$23&lt;400,400,IF(M$23&lt;500,500,IF(M$23&lt;630,630,IF(M$23&lt;800,800,IF(M$23&lt;1000,1000,IF(M$23&lt;1200,1200,IF(M$23&lt;1400,1400,IF(M$23&lt;1600,1600,""))))))))))))))))))))))))),"")</f>
        <v/>
      </c>
      <c r="N27" s="162">
        <f>IF(N$23&lt;&gt;0,IF(N$23&lt;3,3,IF(N$23&lt;6,6,IF(N$23&lt;10,10,IF(N$23&lt;16,16,IF(N$23&lt;20,20,IF(N$23&lt;25,25,IF(N$23&lt;32,32,IF(N$23&lt;40,40,IF(N$23&lt;50,50,IF(N$23&lt;63,63,IF(N$23&lt;80,80,IF(N$23&lt;100,100,IF(N$23&lt;125,125,IF(N$23&lt;160,160,IF(N$23&lt;200,200,IF(N$23&lt;250,250,IF(N$23&lt;320,320,IF(N$23&lt;400,400,IF(N$23&lt;500,500,IF(N$23&lt;630,630,IF(N$23&lt;800,800,IF(N$23&lt;1000,1000,IF(N$23&lt;1200,1200,IF(N$23&lt;1400,1400,IF(N$23&lt;1600,1600,""))))))))))))))))))))))))),"")</f>
        <v>400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2073</v>
      </c>
      <c r="B29" s="151" t="s">
        <v>2074</v>
      </c>
      <c r="C29" s="152"/>
      <c r="D29" s="152">
        <f>IF(D$25=0,"",D27/(PRODUCT(D61:D67)))</f>
        <v>22.222222222222221</v>
      </c>
      <c r="E29" s="152">
        <f ca="1">IFERROR(IF(E$25=0,"",E27/(PRODUCT(E61:E67))),"")</f>
        <v>50</v>
      </c>
      <c r="F29" s="152">
        <f t="shared" ref="F29:H29" ca="1" si="7">IFERROR(IF(F$25=0,"",F27/(PRODUCT(F61:F67))),"")</f>
        <v>50</v>
      </c>
      <c r="G29" s="152">
        <f t="shared" ca="1" si="7"/>
        <v>50</v>
      </c>
      <c r="H29" s="152">
        <f t="shared" ca="1" si="7"/>
        <v>50</v>
      </c>
      <c r="I29" s="152">
        <f t="shared" ref="I29:L29" si="8">IF(I$25=0,"",I27/(PRODUCT(I61:I67)))</f>
        <v>66.31578947368422</v>
      </c>
      <c r="J29" s="152">
        <f t="shared" si="8"/>
        <v>10</v>
      </c>
      <c r="K29" s="152">
        <f>IF(K$25=0,"",K27/(PRODUCT(K61:K67)))</f>
        <v>20</v>
      </c>
      <c r="L29" s="152">
        <f t="shared" si="8"/>
        <v>20</v>
      </c>
      <c r="M29" s="152" t="str">
        <f>IF(M$25=0,"",M23/(PRODUCT(M61:M67)))</f>
        <v/>
      </c>
      <c r="N29" s="152">
        <f>IF(N$25=0,"",N27/(PRODUCT(N61:N67)))</f>
        <v>444.44444444444446</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2075</v>
      </c>
      <c r="B31" s="151" t="s">
        <v>2076</v>
      </c>
      <c r="C31" s="152"/>
      <c r="D31" s="152">
        <f>IF(D$25=0,"",MAX(D33:D35)*(PRODUCT(D61:D67)))</f>
        <v>24.3</v>
      </c>
      <c r="E31" s="152">
        <f t="shared" ref="E31:L31" ca="1" si="9">IF(E$25=0,"",MAX(E33:E35)*(PRODUCT(E61:E67)))</f>
        <v>37</v>
      </c>
      <c r="F31" s="152">
        <f t="shared" ca="1" si="9"/>
        <v>47</v>
      </c>
      <c r="G31" s="152">
        <f t="shared" ca="1" si="9"/>
        <v>65</v>
      </c>
      <c r="H31" s="152">
        <f ca="1">IF(H$25=0,"",MAX(H33:H35)*(PRODUCT(H61:H67)))</f>
        <v>87</v>
      </c>
      <c r="I31" s="152">
        <f t="shared" si="9"/>
        <v>138.69999999999999</v>
      </c>
      <c r="J31" s="152">
        <f t="shared" si="9"/>
        <v>13.5</v>
      </c>
      <c r="K31" s="152">
        <f>IF(K$25=0,"",MAX(K33:K35)*(PRODUCT(K61:K67)))</f>
        <v>37</v>
      </c>
      <c r="L31" s="152">
        <f t="shared" si="9"/>
        <v>47</v>
      </c>
      <c r="M31" s="152" t="str">
        <f>IF(M$25=0,"",MAX(M33:M35)*(PRODUCT(M61:M67)))</f>
        <v/>
      </c>
      <c r="N31" s="152">
        <f>IF(N$25=0,"",MAX(N33:N35)*(PRODUCT(N61:N67)))</f>
        <v>410.40000000000003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27</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146</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13.5</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456</v>
      </c>
      <c r="O33" s="128" t="str">
        <f>IF(L33&lt;&gt;"","A","")</f>
        <v>A</v>
      </c>
    </row>
    <row r="34" spans="1:15" s="124" customFormat="1" ht="18">
      <c r="A34" s="152" t="s">
        <v>2077</v>
      </c>
      <c r="B34" s="151" t="s">
        <v>2078</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2079</v>
      </c>
      <c r="C37" s="152"/>
      <c r="D37" s="152" t="s">
        <v>2080</v>
      </c>
      <c r="E37" s="152" t="s">
        <v>2080</v>
      </c>
      <c r="F37" s="152" t="s">
        <v>2080</v>
      </c>
      <c r="G37" s="152" t="s">
        <v>2080</v>
      </c>
      <c r="H37" s="152" t="s">
        <v>2080</v>
      </c>
      <c r="I37" s="152" t="s">
        <v>2080</v>
      </c>
      <c r="J37" s="152" t="s">
        <v>2080</v>
      </c>
      <c r="K37" s="152" t="s">
        <v>2080</v>
      </c>
      <c r="L37" s="152" t="s">
        <v>2080</v>
      </c>
      <c r="M37" s="152"/>
      <c r="N37" s="152" t="s">
        <v>2080</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2081</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0">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0"/>
        <v>50</v>
      </c>
      <c r="H39" s="152">
        <f t="shared" ca="1" si="10"/>
        <v>50</v>
      </c>
      <c r="I39" s="152">
        <f t="shared" si="10"/>
        <v>250</v>
      </c>
      <c r="J39" s="152">
        <f t="shared" si="10"/>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0"/>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2082</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5</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5</v>
      </c>
      <c r="F41" s="152">
        <f t="shared" ref="F41:M41" ca="1" si="11">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5</v>
      </c>
      <c r="G41" s="152">
        <f t="shared" ca="1" si="11"/>
        <v>5</v>
      </c>
      <c r="H41" s="152">
        <f t="shared" ca="1" si="11"/>
        <v>5</v>
      </c>
      <c r="I41" s="152">
        <f t="shared" si="11"/>
        <v>300</v>
      </c>
      <c r="J41" s="152">
        <f t="shared" si="11"/>
        <v>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1"/>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2083</v>
      </c>
      <c r="C43" s="152"/>
      <c r="D43" s="152">
        <f t="shared" ref="D43:J43" si="12">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2.5</v>
      </c>
      <c r="E43" s="152">
        <f t="shared" ca="1" si="12"/>
        <v>4</v>
      </c>
      <c r="F43" s="152">
        <f t="shared" ca="1" si="12"/>
        <v>6</v>
      </c>
      <c r="G43" s="152">
        <f t="shared" ca="1" si="12"/>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f t="shared" si="12"/>
        <v>16</v>
      </c>
      <c r="J43" s="152">
        <f t="shared" si="12"/>
        <v>1</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95</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2084</v>
      </c>
      <c r="C45" s="129"/>
      <c r="D45" s="129">
        <f>IF(COUNT(D78:D79)&gt;=1,D84,IF(COUNT(D80)&gt;=1,D83,""))</f>
        <v>2.5</v>
      </c>
      <c r="E45" s="129">
        <f ca="1">IF(COUNT(E78:E79)&gt;=1,E84,IF(COUNT(E80)&gt;=1,E83,""))</f>
        <v>4</v>
      </c>
      <c r="F45" s="129">
        <f t="shared" ref="F45:M45" ca="1" si="13">IF(COUNT(F78:F79)&gt;=1,F84,IF(COUNT(F80)&gt;=1,F83,""))</f>
        <v>6</v>
      </c>
      <c r="G45" s="129">
        <f t="shared" ca="1" si="13"/>
        <v>10</v>
      </c>
      <c r="H45" s="129">
        <f ca="1">IF(COUNT(H78:H79)&gt;=1,H84,IF(COUNT(H80)&gt;=1,H83,""))</f>
        <v>16</v>
      </c>
      <c r="I45" s="129">
        <f t="shared" si="13"/>
        <v>25</v>
      </c>
      <c r="J45" s="129">
        <f t="shared" si="13"/>
        <v>1</v>
      </c>
      <c r="K45" s="129">
        <f>IF(COUNT(K78:K79)&gt;=1,K84,IF(COUNT(K80)&gt;=1,K83,""))</f>
        <v>4</v>
      </c>
      <c r="L45" s="129">
        <f>IF(COUNT(L78:L79)&gt;=1,L84,IF(COUNT(L80)&gt;=1,L83,""))</f>
        <v>6</v>
      </c>
      <c r="M45" s="129" t="str">
        <f t="shared" si="13"/>
        <v/>
      </c>
      <c r="N45" s="164">
        <f>IF(COUNT(N78:N79)&gt;=1,N84,IF(COUNT(N80)&gt;=1,N83,""))</f>
        <v>150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2085</v>
      </c>
      <c r="B47" s="167" t="s">
        <v>2086</v>
      </c>
      <c r="C47" s="156"/>
      <c r="D47" s="156" t="str">
        <f t="shared" ref="D47:M47" si="14">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4"/>
        <v>2No.   Single Core, Non-Armour, Ref C, 2_Cables Touching Flat</v>
      </c>
      <c r="F47" s="156" t="str">
        <f t="shared" ca="1" si="14"/>
        <v>2No.   Single Core, Non-Armour, Ref C, 2_Cables Touching Flat</v>
      </c>
      <c r="G47" s="156" t="str">
        <f t="shared" ca="1" si="14"/>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4"/>
        <v>1No.   Single Core, Non-Armour, Ref_F,     2 or 3 Cables Spaced Flat Horizontal</v>
      </c>
      <c r="J47" s="156" t="str">
        <f t="shared" si="14"/>
        <v>1No.   Multi Core, Thermo-plastic Sheath, Non-Armour, Ref_C,   3 or 4 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4"/>
        <v>1No.   Single Core, Non-Armour, Ref C, 2_Cables Touching Flat</v>
      </c>
      <c r="M47" s="156" t="str">
        <f t="shared" si="14"/>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2087</v>
      </c>
      <c r="B48" s="170" t="s">
        <v>2086</v>
      </c>
      <c r="C48" s="159"/>
      <c r="D48" s="159" t="str">
        <f t="shared" ref="D48:M48" si="15">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5"/>
        <v/>
      </c>
      <c r="F48" s="159" t="str">
        <f t="shared" ca="1" si="15"/>
        <v/>
      </c>
      <c r="G48" s="159" t="str">
        <f t="shared" ca="1" si="15"/>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5"/>
        <v/>
      </c>
      <c r="J48" s="159" t="str">
        <f t="shared" si="15"/>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5"/>
        <v/>
      </c>
      <c r="M48" s="159" t="str">
        <f t="shared" si="15"/>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2088</v>
      </c>
      <c r="B51" s="127" t="s">
        <v>2089</v>
      </c>
      <c r="C51" s="128"/>
      <c r="D51" s="172" t="str">
        <f>IF(AND(D57=3,D23&lt;225),"4D2",IF(AND(D57=1,D23&lt;251),"4D2",IF(AND(D57=3,D23&gt;=225),"4D1",IF(AND(D57=1,D23&gt;=251),"4D1",""))))</f>
        <v>4D2</v>
      </c>
      <c r="E51" s="173" t="s">
        <v>2091</v>
      </c>
      <c r="F51" s="173" t="s">
        <v>2091</v>
      </c>
      <c r="G51" s="173" t="s">
        <v>2091</v>
      </c>
      <c r="H51" s="173" t="s">
        <v>2091</v>
      </c>
      <c r="I51" s="173" t="s">
        <v>2091</v>
      </c>
      <c r="J51" s="172" t="str">
        <f>IF(AND(J57=3,J23&lt;225),"4D2",IF(AND(J57=1,J23&lt;251),"4D2",IF(AND(J57=3,J23&gt;=225),"4D1",IF(AND(J57=1,J23&gt;=251),"4D1",""))))</f>
        <v>4D2</v>
      </c>
      <c r="K51" s="173" t="s">
        <v>2091</v>
      </c>
      <c r="L51" s="173" t="s">
        <v>2091</v>
      </c>
      <c r="M51" s="174"/>
      <c r="N51" s="173" t="s">
        <v>2091</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2092</v>
      </c>
      <c r="C53" s="143"/>
      <c r="D53" s="140">
        <f>IF(AND(D57=3,D51="4D2"),7,IF(AND(D57=1,D51="4D2"),6,IF(AND(D57=3,D51="4D1"),9,IF(AND(D57=1,D51="4D1"),8,""))))</f>
        <v>6</v>
      </c>
      <c r="E53" s="140">
        <v>6</v>
      </c>
      <c r="F53" s="140">
        <v>6</v>
      </c>
      <c r="G53" s="140">
        <v>6</v>
      </c>
      <c r="H53" s="140">
        <v>6</v>
      </c>
      <c r="I53" s="140">
        <v>11</v>
      </c>
      <c r="J53" s="140">
        <f>IF(AND(J57=3,J51="4D2"),7,IF(AND(J57=1,J51="4D2"),6,IF(AND(J57=3,J23&gt;=100),9,IF(AND(J57=1,J23&gt;=101),8,""))))</f>
        <v>7</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2093</v>
      </c>
      <c r="C55" s="143"/>
      <c r="D55" s="175" t="s">
        <v>2094</v>
      </c>
      <c r="E55" s="175" t="s">
        <v>2147</v>
      </c>
      <c r="F55" s="175" t="s">
        <v>2147</v>
      </c>
      <c r="G55" s="175" t="s">
        <v>2147</v>
      </c>
      <c r="H55" s="175" t="s">
        <v>2147</v>
      </c>
      <c r="I55" s="175" t="s">
        <v>2147</v>
      </c>
      <c r="J55" s="175" t="s">
        <v>2094</v>
      </c>
      <c r="K55" s="175" t="s">
        <v>2147</v>
      </c>
      <c r="L55" s="175" t="s">
        <v>2094</v>
      </c>
      <c r="M55" s="143"/>
      <c r="N55" s="175" t="s">
        <v>2094</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2095</v>
      </c>
      <c r="C57" s="143"/>
      <c r="D57" s="175">
        <f>IF(AND(OR('Customer Base'!D7="Grid-tied",'Customer Base'!D$13="Deye"),'Customer Base'!D$14&gt;=10),'Customer Base'!D$9,1)</f>
        <v>1</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2096</v>
      </c>
      <c r="C59" s="143"/>
      <c r="D59" s="175" t="s">
        <v>2097</v>
      </c>
      <c r="E59" s="175" t="s">
        <v>2097</v>
      </c>
      <c r="F59" s="175" t="s">
        <v>2097</v>
      </c>
      <c r="G59" s="175" t="s">
        <v>2097</v>
      </c>
      <c r="H59" s="175" t="s">
        <v>2097</v>
      </c>
      <c r="I59" s="175" t="s">
        <v>2097</v>
      </c>
      <c r="J59" s="175" t="s">
        <v>2097</v>
      </c>
      <c r="K59" s="175" t="s">
        <v>2097</v>
      </c>
      <c r="L59" s="175" t="s">
        <v>2097</v>
      </c>
      <c r="M59" s="143"/>
      <c r="N59" s="175" t="s">
        <v>2097</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2098</v>
      </c>
      <c r="B61" s="176" t="s">
        <v>2099</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2100</v>
      </c>
      <c r="C62" s="152"/>
      <c r="D62" s="140">
        <f>IF(D27&lt;125,0.9,1)</f>
        <v>0.9</v>
      </c>
      <c r="E62" s="140">
        <v>1</v>
      </c>
      <c r="F62" s="140">
        <v>1</v>
      </c>
      <c r="G62" s="140">
        <v>1</v>
      </c>
      <c r="H62" s="140">
        <v>1</v>
      </c>
      <c r="I62" s="140">
        <v>1</v>
      </c>
      <c r="J62" s="140">
        <v>1</v>
      </c>
      <c r="K62" s="140">
        <v>1</v>
      </c>
      <c r="L62" s="140">
        <v>1</v>
      </c>
      <c r="M62" s="152"/>
      <c r="N62" s="140">
        <v>0.9</v>
      </c>
      <c r="O62" s="152"/>
    </row>
    <row r="63" spans="1:43" s="123" customFormat="1" ht="18.75" customHeight="1">
      <c r="A63" s="386"/>
      <c r="B63" s="178" t="s">
        <v>2101</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2102</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2103</v>
      </c>
      <c r="C65" s="152"/>
      <c r="D65" s="140">
        <v>1</v>
      </c>
      <c r="E65" s="140">
        <v>1</v>
      </c>
      <c r="F65" s="140">
        <v>1</v>
      </c>
      <c r="G65" s="140">
        <v>1</v>
      </c>
      <c r="H65" s="140">
        <v>1</v>
      </c>
      <c r="I65" s="140">
        <v>0.95</v>
      </c>
      <c r="J65" s="140">
        <v>1</v>
      </c>
      <c r="K65" s="140">
        <v>1</v>
      </c>
      <c r="L65" s="140">
        <v>1</v>
      </c>
      <c r="M65" s="152"/>
      <c r="N65" s="140">
        <v>1</v>
      </c>
      <c r="O65" s="152"/>
    </row>
    <row r="66" spans="1:43" s="123" customFormat="1" ht="18.75" customHeight="1">
      <c r="A66" s="386"/>
      <c r="B66" s="178" t="s">
        <v>2104</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2105</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2106</v>
      </c>
      <c r="C69" s="156"/>
      <c r="D69" s="180">
        <f>'Customer Base'!D32</f>
        <v>15</v>
      </c>
      <c r="E69" s="180">
        <f>'Customer Base'!D31</f>
        <v>20</v>
      </c>
      <c r="F69" s="180">
        <f>E69</f>
        <v>20</v>
      </c>
      <c r="G69" s="180">
        <f>E69</f>
        <v>20</v>
      </c>
      <c r="H69" s="180">
        <f>E69</f>
        <v>20</v>
      </c>
      <c r="I69" s="180">
        <v>50</v>
      </c>
      <c r="J69" s="180">
        <v>50</v>
      </c>
      <c r="K69" s="180">
        <f>E69</f>
        <v>20</v>
      </c>
      <c r="L69" s="180">
        <f>E69</f>
        <v>20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2107</v>
      </c>
      <c r="C71" s="158"/>
      <c r="D71" s="182" t="s">
        <v>2108</v>
      </c>
      <c r="E71" s="182" t="s">
        <v>2108</v>
      </c>
      <c r="F71" s="182" t="s">
        <v>2108</v>
      </c>
      <c r="G71" s="182" t="s">
        <v>2108</v>
      </c>
      <c r="H71" s="182" t="s">
        <v>2108</v>
      </c>
      <c r="I71" s="182" t="s">
        <v>2108</v>
      </c>
      <c r="J71" s="182" t="s">
        <v>2108</v>
      </c>
      <c r="K71" s="182" t="s">
        <v>2108</v>
      </c>
      <c r="L71" s="182" t="s">
        <v>2108</v>
      </c>
      <c r="M71" s="158"/>
      <c r="N71" s="182" t="s">
        <v>2108</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2077</v>
      </c>
      <c r="B75" s="388" t="s">
        <v>2109</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27</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146</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13.5</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456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2110</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2.5</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1</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150</v>
      </c>
      <c r="O78" s="143" t="str">
        <f t="shared" ref="O78:O83" si="16">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6"/>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6"/>
        <v/>
      </c>
    </row>
    <row r="81" spans="1:15" s="123" customFormat="1" ht="16">
      <c r="A81" s="129"/>
      <c r="B81" s="176" t="s">
        <v>2111</v>
      </c>
      <c r="C81" s="129"/>
      <c r="D81" s="129" cm="1">
        <f t="array" ref="D81">IF(D$29="","",IF(OR(D78&lt;&gt;"",D79&lt;&gt;"",D80&lt;&gt;""),IF(D94&gt;20,INDEX(T!$P$6:$P$29,MATCH(TRUE,INDEX(T!$P$6:$P$29&gt;D78,0),)),D78)))</f>
        <v>2.5</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25</v>
      </c>
      <c r="J81" s="129" cm="1">
        <f t="array" ref="J81">IF(J$29="","",IF(OR(J78&lt;&gt;"",J79&lt;&gt;"",J80&lt;&gt;""),IF(J94&gt;20,INDEX(T!$P$6:$P$29,MATCH(TRUE,INDEX(T!$P$6:$P$29&gt;J78,0),)),J78)))</f>
        <v>1</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150</v>
      </c>
      <c r="O81" s="128" t="str">
        <f t="shared" si="16"/>
        <v>mm²</v>
      </c>
    </row>
    <row r="82" spans="1:15" s="123" customFormat="1" ht="16">
      <c r="A82" s="152"/>
      <c r="B82" s="178"/>
      <c r="C82" s="152"/>
      <c r="D82" s="152" cm="1">
        <f t="array" ref="D82">IF(D$29="","",IF(D94&lt;&gt;"",IF(D95&gt;20,INDEX(T!$P$6:$P$29,MATCH(TRUE,INDEX(T!$P$6:$P$29&gt;D81,0),)),D81)))</f>
        <v>2.5</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25</v>
      </c>
      <c r="J82" s="152" cm="1">
        <f t="array" ref="J82">IF(J$29="","",IF(J94&lt;&gt;"",IF(J95&gt;20,INDEX(T!$P$6:$P$29,MATCH(TRUE,INDEX(T!$P$6:$P$29&gt;J81,0),)),J81)))</f>
        <v>1</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150</v>
      </c>
      <c r="O82" s="143" t="str">
        <f t="shared" si="16"/>
        <v>mm²</v>
      </c>
    </row>
    <row r="83" spans="1:15" s="123" customFormat="1" ht="16">
      <c r="A83" s="136"/>
      <c r="B83" s="183"/>
      <c r="C83" s="136"/>
      <c r="D83" s="136" cm="1">
        <f t="array" ref="D83">IF(D$29="","",IF(D95&lt;&gt;"",IF(D96&gt;20,INDEX(T!$P$6:$P$29,MATCH(TRUE,INDEX(T!$P$6:$P$29&gt;D82,0),)),D82)))</f>
        <v>2.5</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25</v>
      </c>
      <c r="J83" s="136" cm="1">
        <f t="array" ref="J83">IF(J$29="","",IF(J95&lt;&gt;"",IF(J96&gt;20,INDEX(T!$P$6:$P$29,MATCH(TRUE,INDEX(T!$P$6:$P$29&gt;J82,0),)),J82)))</f>
        <v>1</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150</v>
      </c>
      <c r="O83" s="135" t="str">
        <f t="shared" si="16"/>
        <v>mm²</v>
      </c>
    </row>
    <row r="84" spans="1:15" s="123" customFormat="1" ht="16">
      <c r="A84" s="184"/>
      <c r="B84" s="185" t="s">
        <v>2112</v>
      </c>
      <c r="C84" s="184"/>
      <c r="D84" s="184" cm="1">
        <f t="array" ref="D84">IF(D29="","",IF(D92&gt;(IF(COUNT(D19:D21)=1,230,IF(COUNT(D19:D21)=3,400))/(D27*IF(D37="B",5,IF(D37="C",10,IF(D37="D",20))))),INDEX(T!$P6:$P29,MATCH(TRUE,INDEX(T!$P6:$P29&gt;D83,0),)),D83))</f>
        <v>2.5</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1</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150</v>
      </c>
      <c r="O84" s="131" t="str">
        <f>IF(L84&lt;&gt;"","mm²","")</f>
        <v>mm²</v>
      </c>
    </row>
    <row r="85" spans="1:15" s="168" customFormat="1" ht="15.75" customHeight="1">
      <c r="A85" s="136"/>
      <c r="B85" s="170" t="s">
        <v>2113</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2.5</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7">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7"/>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7"/>
        <v>16</v>
      </c>
      <c r="J85" s="136">
        <f t="shared" si="17"/>
        <v>1</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7"/>
        <v/>
      </c>
      <c r="N85" s="136">
        <f t="shared" si="17"/>
        <v>95</v>
      </c>
      <c r="O85" s="131" t="str">
        <f>IF(N85&lt;&gt;"","mm²","")</f>
        <v>mm²</v>
      </c>
    </row>
    <row r="86" spans="1:15" s="123" customFormat="1" ht="16">
      <c r="B86" s="186"/>
    </row>
    <row r="87" spans="1:15" s="123" customFormat="1" ht="16">
      <c r="B87" s="186"/>
    </row>
    <row r="88" spans="1:15" s="168" customFormat="1" ht="19">
      <c r="A88" s="129"/>
      <c r="B88" s="167" t="s">
        <v>2114</v>
      </c>
      <c r="C88" s="156"/>
      <c r="D88" s="156">
        <f>IF(D$25=0,"",IF(ISNUMBER(D83),LOOKUP(D83,T!$P$6:$P$29,T!$Q$6:$Q$29),IF(ISNUMBER(D79),LOOKUP(D79,T!$P$6:$P$29,T!$Q$6:$Q$29),IF(ISNUMBER(D80),LOOKUP(D80,T!$P$6:$P$29,T!$Q$6:$Q$29),0))))</f>
        <v>7.41</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0.72699999999999998</v>
      </c>
      <c r="J88" s="156">
        <f>IF(J$25=0,"",IF(ISNUMBER(J83),LOOKUP(J83,T!$P$6:$P$29,T!$Q$6:$Q$29),IF(ISNUMBER(J79),LOOKUP(J79,T!$P$6:$P$29,T!$Q$6:$Q$29),IF(ISNUMBER(J80),LOOKUP(J80,T!$P$6:$P$29,T!$Q$6:$Q$29),0))))</f>
        <v>18.100000000000001</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0.124</v>
      </c>
      <c r="O88" s="128" t="str">
        <f>IF(N88&lt;&gt;"","Ω","")</f>
        <v>Ω</v>
      </c>
    </row>
    <row r="89" spans="1:15" s="168" customFormat="1" ht="19">
      <c r="A89" s="152"/>
      <c r="B89" s="181" t="s">
        <v>2115</v>
      </c>
      <c r="C89" s="158"/>
      <c r="D89" s="158">
        <f>IF(D$25=0,"",IF(ISNUMBER(D85),LOOKUP(D85,T!$P$6:$P$28,T!$Q$6:$Q$28),0))</f>
        <v>7.41</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1.1499999999999999</v>
      </c>
      <c r="J89" s="158">
        <f>IF(J$25=0,"",IF(ISNUMBER(J85),LOOKUP(J85,T!$P$6:$P$28,T!$Q$6:$Q$28),0))</f>
        <v>18.100000000000001</v>
      </c>
      <c r="K89" s="158">
        <f>IF(K$25=0,"",IF(ISNUMBER(K85),LOOKUP(K85,T!$P$6:$P$28,T!$Q$6:$Q$28),0))</f>
        <v>12.1</v>
      </c>
      <c r="L89" s="158">
        <f>IF(L$25=0,"",IF(ISNUMBER(L85),LOOKUP(L85,T!$P$6:$P$28,T!$Q$6:$Q$28),0))</f>
        <v>12.1</v>
      </c>
      <c r="M89" s="158" t="str">
        <f>IF(M$25=0,"",IF(ISNUMBER(M85),LOOKUP(M85,T!$P$6:$P$28,T!$Q$6:$Q$28),0))</f>
        <v/>
      </c>
      <c r="N89" s="158">
        <f>IF(N$25=0,"",IF(ISNUMBER(N85),LOOKUP(N85,T!$P$6:$P$28,T!$Q$6:$Q$28),0))</f>
        <v>0.19500000000000001</v>
      </c>
      <c r="O89" s="143" t="str">
        <f>IF(N89&lt;&gt;"","Ω","")</f>
        <v>Ω</v>
      </c>
    </row>
    <row r="90" spans="1:15" s="168" customFormat="1" ht="19">
      <c r="A90" s="152"/>
      <c r="B90" s="181" t="s">
        <v>2116</v>
      </c>
      <c r="C90" s="158"/>
      <c r="D90" s="158">
        <f>IF(D$25=0,"",IF(D71="TT",21,IF(D71="TNS",0.8,IF(D71="TNCS",0.35))))</f>
        <v>0.35</v>
      </c>
      <c r="E90" s="158">
        <f>IF(E$25=0,"",IF(E71="TT",21,IF(E71="TNS",0.8,IF(E71="TNCS",0.35))))</f>
        <v>0.35</v>
      </c>
      <c r="F90" s="158">
        <f t="shared" ref="F90:N90" si="18">IF(F$25=0,"",IF(F71="TT",21,IF(F71="TNS",0.8,IF(F71="TNCS",0.35))))</f>
        <v>0.35</v>
      </c>
      <c r="G90" s="158">
        <f t="shared" si="18"/>
        <v>0.35</v>
      </c>
      <c r="H90" s="158">
        <f>IF(H$25=0,"",IF(H71="TT",21,IF(H71="TNS",0.8,IF(H71="TNCS",0.35))))</f>
        <v>0.35</v>
      </c>
      <c r="I90" s="158">
        <f t="shared" si="18"/>
        <v>0.35</v>
      </c>
      <c r="J90" s="158">
        <f t="shared" si="18"/>
        <v>0.35</v>
      </c>
      <c r="K90" s="158">
        <f>IF(K$25=0,"",IF(K71="TT",21,IF(K71="TNS",0.8,IF(K71="TNCS",0.35))))</f>
        <v>0.35</v>
      </c>
      <c r="L90" s="158">
        <f>IF(L$25=0,"",IF(L71="TT",21,IF(L71="TNS",0.8,IF(L71="TNCS",0.35))))</f>
        <v>0.35</v>
      </c>
      <c r="M90" s="158" t="str">
        <f t="shared" si="18"/>
        <v/>
      </c>
      <c r="N90" s="158">
        <f t="shared" si="18"/>
        <v>0.35</v>
      </c>
      <c r="O90" s="143" t="str">
        <f>IF(N90&lt;&gt;"","Ω","")</f>
        <v>Ω</v>
      </c>
    </row>
    <row r="91" spans="1:15" s="168" customFormat="1" ht="19">
      <c r="A91" s="152"/>
      <c r="B91" s="181" t="s">
        <v>2117</v>
      </c>
      <c r="C91" s="158"/>
      <c r="D91" s="158">
        <f t="shared" ref="D91:J91" si="19">IF(D25&lt;&gt;0,(D88+D89)*D69,0)</f>
        <v>222.3</v>
      </c>
      <c r="E91" s="158">
        <f t="shared" ca="1" si="19"/>
        <v>73.2</v>
      </c>
      <c r="F91" s="158">
        <f t="shared" ca="1" si="19"/>
        <v>73.2</v>
      </c>
      <c r="G91" s="158">
        <f t="shared" ca="1" si="19"/>
        <v>73.2</v>
      </c>
      <c r="H91" s="158">
        <f ca="1">IF(H25&lt;&gt;0,(H88+H89)*H69,0)</f>
        <v>73.2</v>
      </c>
      <c r="I91" s="158">
        <f t="shared" si="19"/>
        <v>93.85</v>
      </c>
      <c r="J91" s="158">
        <f t="shared" si="19"/>
        <v>1810.0000000000002</v>
      </c>
      <c r="K91" s="158">
        <f>IF(K25&lt;&gt;0,(K88+K89)*K69,0)</f>
        <v>484</v>
      </c>
      <c r="L91" s="158">
        <f>IF(L25&lt;&gt;0,(L88+L89)*L69,0)</f>
        <v>484</v>
      </c>
      <c r="M91" s="158">
        <f>IF(M25&lt;&gt;0,(M88+M89)*M69,0)</f>
        <v>0</v>
      </c>
      <c r="N91" s="158">
        <f>IF(N25&lt;&gt;0,(N88+N89)*N69,0)</f>
        <v>15.950000000000001</v>
      </c>
      <c r="O91" s="143" t="str">
        <f>IF(N91&gt;0,"Ω","")</f>
        <v>Ω</v>
      </c>
    </row>
    <row r="92" spans="1:15" s="168" customFormat="1" ht="19">
      <c r="A92" s="136"/>
      <c r="B92" s="170" t="s">
        <v>2118</v>
      </c>
      <c r="C92" s="159"/>
      <c r="D92" s="159">
        <f t="shared" ref="D92:J92" si="20">IF(D25&lt;&gt;0,((D90+D91)*1.2)/1000,0)</f>
        <v>0.26718000000000003</v>
      </c>
      <c r="E92" s="159">
        <f t="shared" ca="1" si="20"/>
        <v>8.8259999999999991E-2</v>
      </c>
      <c r="F92" s="159">
        <f t="shared" ca="1" si="20"/>
        <v>8.8259999999999991E-2</v>
      </c>
      <c r="G92" s="159">
        <f t="shared" ca="1" si="20"/>
        <v>8.8259999999999991E-2</v>
      </c>
      <c r="H92" s="159">
        <f ca="1">IF(H25&lt;&gt;0,((H90+H91)*1.2)/1000,0)</f>
        <v>8.8259999999999991E-2</v>
      </c>
      <c r="I92" s="159">
        <f t="shared" si="20"/>
        <v>0.11303999999999997</v>
      </c>
      <c r="J92" s="159">
        <f t="shared" si="20"/>
        <v>2.1724200000000002</v>
      </c>
      <c r="K92" s="159">
        <f>IF(K25&lt;&gt;0,((K90+K91)*1.2)/1000,0)</f>
        <v>0.58122000000000007</v>
      </c>
      <c r="L92" s="159">
        <f>IF(L25&lt;&gt;0,((L90+L91)*1.2)/1000,0)</f>
        <v>0.58122000000000007</v>
      </c>
      <c r="M92" s="159">
        <f>IF(M25&lt;&gt;0,((M90+M91)*1.2)/1000,0)</f>
        <v>0</v>
      </c>
      <c r="N92" s="159">
        <f>IF(N25&lt;&gt;0,((N90+N91)*1.2)/1000,0)</f>
        <v>1.9559999999999998E-2</v>
      </c>
      <c r="O92" s="135" t="str">
        <f>IF(N92&gt;0,"Ω","")</f>
        <v>Ω</v>
      </c>
    </row>
    <row r="93" spans="1:15" s="168" customFormat="1" ht="16">
      <c r="A93" s="123"/>
      <c r="B93" s="171"/>
    </row>
    <row r="94" spans="1:15" s="168" customFormat="1" ht="17">
      <c r="A94" s="187" t="s">
        <v>2119</v>
      </c>
      <c r="B94" s="388" t="s">
        <v>2484</v>
      </c>
      <c r="C94" s="385" t="s">
        <v>2120</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4.4021739130434785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4.2240000000000002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4.2240000000000002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4.2240000000000002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4.2240000000000002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5.46875</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10.284051669940208</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9.2799999999999994</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9.2799999999999994</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4.2218738434491385</v>
      </c>
      <c r="O94" s="128" t="str">
        <f t="shared" ref="O94:O101" si="21">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4.4021739130434785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4.2240000000000002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4.2240000000000002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4.2240000000000002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4.2240000000000002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5.46875</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10.284051669940208</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9.2799999999999994</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9.2799999999999994</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4.2218738434491385</v>
      </c>
      <c r="O95" s="143" t="str">
        <f t="shared" si="21"/>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4.4021739130434785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4.2240000000000002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4.2240000000000002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4.2240000000000002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4.2240000000000002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5.46875</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10.284051669940208</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9.2799999999999994</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9.2799999999999994</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4.2218738434491385</v>
      </c>
      <c r="O96" s="143" t="str">
        <f t="shared" si="21"/>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4.4021739130434785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4.2240000000000002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4.2240000000000002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4.2240000000000002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4.2240000000000002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5.46875</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10.284051669940208</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9.2799999999999994</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9.2799999999999994</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4.2218738434491385</v>
      </c>
      <c r="O97" s="143" t="str">
        <f t="shared" si="21"/>
        <v>mV/A/m</v>
      </c>
    </row>
    <row r="98" spans="1:58" s="168" customFormat="1" ht="17">
      <c r="A98" s="188" t="s">
        <v>2121</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1"/>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1"/>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1"/>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1"/>
        <v/>
      </c>
    </row>
    <row r="102" spans="1:58" s="168" customFormat="1" ht="17">
      <c r="A102" s="187" t="s">
        <v>2119</v>
      </c>
      <c r="B102" s="389"/>
      <c r="C102" s="385" t="s">
        <v>2122</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4.4021739130434785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10.56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7.008</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4.2240000000000002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2.6879999999999997</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5.46875</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10.284051669940208</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3.52</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2.3359999999999999</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4.2218738434491385</v>
      </c>
      <c r="O102" s="143" t="str">
        <f>IF(O$9="","",IF(L102&lt;&gt;0,"mV/A/m",""))</f>
        <v>mV/A/m</v>
      </c>
    </row>
    <row r="103" spans="1:58" s="168" customFormat="1" ht="17">
      <c r="A103" s="136" t="s">
        <v>2121</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2486</v>
      </c>
      <c r="B104" s="192"/>
      <c r="C104" s="193"/>
      <c r="D104" s="193"/>
      <c r="E104" s="194">
        <f ca="1">IFERROR((IF(E84&gt;=E83,E102,99999)/((SUMPRODUCT(Items!$A$242:$A$255,Items!$AQ$242:$AQ$255)/SUM(Items!$A$242:$A$255))*Items!$N$1)),"")</f>
        <v>695.88726513569941</v>
      </c>
      <c r="F104" s="194">
        <f ca="1">IFERROR((IF(F84&gt;=F83,F102,99999)/((SUMPRODUCT(Items!$A$242:$A$255,Items!$AQ$242:$AQ$255)/SUM(Items!$A$242:$A$255))*Items!$N$1)),"")</f>
        <v>695.88726513569941</v>
      </c>
      <c r="G104" s="194">
        <f ca="1">IFERROR((IF(G84&gt;=G83,G102,99999)/((SUMPRODUCT(Items!$A$242:$A$255,Items!$AQ$242:$AQ$255)/SUM(Items!$A$242:$A$255))*Items!$N$1)),"")</f>
        <v>2.9394572025052197E-2</v>
      </c>
      <c r="H104" s="194">
        <f ca="1">IFERROR((IF(H84&gt;=H83,H102,99999)/((SUMPRODUCT(Items!$A$242:$A$255,Items!$AQ$242:$AQ$255)/SUM(Items!$A$242:$A$255))*Items!$N$1)),"")</f>
        <v>1.8705636743215032E-2</v>
      </c>
      <c r="I104" s="193"/>
      <c r="J104" s="193"/>
      <c r="K104" s="194">
        <f ca="1">IFERROR((IF(K84&gt;=K83,K102,99999)/((SUMPRODUCT(Items!$A$242:$A$255,Items!$AQ$242:$AQ$255)/SUM(Items!$A$242:$A$255))*Items!$N$1)),"")</f>
        <v>2.4495476687543496E-2</v>
      </c>
      <c r="L104" s="194">
        <f ca="1">IFERROR((IF(L84&gt;=L83,L102,99999)/((SUMPRODUCT(Items!$A$242:$A$255,Items!$AQ$242:$AQ$255)/SUM(Items!$A$242:$A$255))*Items!$N$1)),"")</f>
        <v>1.6256089074460682E-2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2091</v>
      </c>
      <c r="B106" s="195" t="s">
        <v>2123</v>
      </c>
      <c r="C106" s="184">
        <v>2</v>
      </c>
      <c r="D106" s="184">
        <v>3</v>
      </c>
      <c r="E106" s="184">
        <v>4</v>
      </c>
      <c r="F106" s="184">
        <v>5</v>
      </c>
      <c r="G106" s="184">
        <v>6</v>
      </c>
      <c r="H106" s="184"/>
      <c r="I106" s="184">
        <v>7</v>
      </c>
      <c r="J106" s="184">
        <v>9</v>
      </c>
      <c r="K106" s="184"/>
      <c r="L106" s="184">
        <v>12</v>
      </c>
      <c r="M106" s="123"/>
      <c r="N106" s="196" t="s">
        <v>2124</v>
      </c>
      <c r="O106" s="196" t="s">
        <v>2125</v>
      </c>
      <c r="P106" s="196" t="s">
        <v>2080</v>
      </c>
      <c r="Q106" s="196" t="s">
        <v>2126</v>
      </c>
      <c r="R106" s="196" t="s">
        <v>2127</v>
      </c>
      <c r="S106" s="196" t="s">
        <v>2128</v>
      </c>
      <c r="T106" s="196" t="s">
        <v>2129</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2130</v>
      </c>
      <c r="C107" s="152" t="s">
        <v>2124</v>
      </c>
      <c r="D107" s="152" t="s">
        <v>2124</v>
      </c>
      <c r="E107" s="152" t="s">
        <v>2125</v>
      </c>
      <c r="F107" s="152" t="s">
        <v>2125</v>
      </c>
      <c r="G107" s="152" t="s">
        <v>2080</v>
      </c>
      <c r="H107" s="152"/>
      <c r="I107" s="152" t="s">
        <v>2080</v>
      </c>
      <c r="J107" s="152" t="s">
        <v>2128</v>
      </c>
      <c r="K107" s="152"/>
      <c r="L107" s="152" t="s">
        <v>2128</v>
      </c>
      <c r="M107" s="123"/>
      <c r="N107" s="197"/>
      <c r="O107" s="198"/>
      <c r="P107" s="198"/>
      <c r="Q107" s="198"/>
      <c r="R107" s="199" t="s">
        <v>2131</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2132</v>
      </c>
      <c r="C108" s="152">
        <v>2</v>
      </c>
      <c r="D108" s="152" t="s">
        <v>2133</v>
      </c>
      <c r="E108" s="152">
        <v>2</v>
      </c>
      <c r="F108" s="152" t="s">
        <v>2133</v>
      </c>
      <c r="G108" s="152">
        <v>2</v>
      </c>
      <c r="H108" s="152"/>
      <c r="I108" s="152" t="s">
        <v>2133</v>
      </c>
      <c r="J108" s="152">
        <v>3</v>
      </c>
      <c r="K108" s="152"/>
      <c r="L108" s="152" t="s">
        <v>2134</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2135</v>
      </c>
      <c r="C109" s="152"/>
      <c r="D109" s="152"/>
      <c r="E109" s="152"/>
      <c r="F109" s="152"/>
      <c r="G109" s="152" t="s">
        <v>2136</v>
      </c>
      <c r="H109" s="152"/>
      <c r="I109" s="152" t="s">
        <v>2136</v>
      </c>
      <c r="J109" s="152" t="s">
        <v>2136</v>
      </c>
      <c r="K109" s="152"/>
      <c r="L109" s="152" t="s">
        <v>2137</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2138</v>
      </c>
      <c r="C110" s="152"/>
      <c r="D110" s="152"/>
      <c r="E110" s="152"/>
      <c r="F110" s="152"/>
      <c r="G110" s="152" t="s">
        <v>2139</v>
      </c>
      <c r="H110" s="152"/>
      <c r="I110" s="152"/>
      <c r="J110" s="152" t="s">
        <v>2139</v>
      </c>
      <c r="K110" s="152"/>
      <c r="L110" s="152" t="s">
        <v>2139</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2140</v>
      </c>
      <c r="C111" s="152"/>
      <c r="D111" s="152"/>
      <c r="E111" s="152"/>
      <c r="F111" s="152"/>
      <c r="G111" s="152"/>
      <c r="H111" s="152"/>
      <c r="I111" s="152"/>
      <c r="J111" s="152"/>
      <c r="K111" s="152"/>
      <c r="L111" s="152" t="s">
        <v>2141</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2093</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2090</v>
      </c>
      <c r="B114" s="195" t="s">
        <v>2142</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2130</v>
      </c>
      <c r="C115" s="152" t="s">
        <v>2124</v>
      </c>
      <c r="D115" s="152" t="s">
        <v>2124</v>
      </c>
      <c r="E115" s="152" t="s">
        <v>2125</v>
      </c>
      <c r="F115" s="152" t="s">
        <v>2125</v>
      </c>
      <c r="G115" s="152" t="s">
        <v>2080</v>
      </c>
      <c r="H115" s="152"/>
      <c r="I115" s="152" t="s">
        <v>2080</v>
      </c>
      <c r="J115" s="152" t="s">
        <v>2127</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2132</v>
      </c>
      <c r="C116" s="152">
        <v>2</v>
      </c>
      <c r="D116" s="152" t="s">
        <v>2133</v>
      </c>
      <c r="E116" s="152">
        <v>2</v>
      </c>
      <c r="F116" s="152" t="s">
        <v>2133</v>
      </c>
      <c r="G116" s="152">
        <v>2</v>
      </c>
      <c r="H116" s="152"/>
      <c r="I116" s="152" t="s">
        <v>2133</v>
      </c>
      <c r="J116" s="152" t="s">
        <v>2133</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2135</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2138</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2140</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2093</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2143</v>
      </c>
      <c r="B122" s="195" t="s">
        <v>2144</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2130</v>
      </c>
      <c r="C123" s="152" t="s">
        <v>2080</v>
      </c>
      <c r="D123" s="152" t="s">
        <v>2080</v>
      </c>
      <c r="E123" s="152" t="s">
        <v>2128</v>
      </c>
      <c r="F123" s="152" t="s">
        <v>2128</v>
      </c>
      <c r="G123" s="152" t="s">
        <v>2128</v>
      </c>
      <c r="H123" s="152"/>
      <c r="I123" s="152" t="s">
        <v>2128</v>
      </c>
      <c r="J123" s="152" t="s">
        <v>2128</v>
      </c>
      <c r="K123" s="152"/>
      <c r="L123" s="152" t="s">
        <v>2128</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2132</v>
      </c>
      <c r="C124" s="152">
        <v>2</v>
      </c>
      <c r="D124" s="152" t="s">
        <v>2133</v>
      </c>
      <c r="E124" s="152">
        <v>2</v>
      </c>
      <c r="F124" s="152" t="s">
        <v>2133</v>
      </c>
      <c r="G124" s="152" t="s">
        <v>2133</v>
      </c>
      <c r="H124" s="152"/>
      <c r="I124" s="152">
        <v>2</v>
      </c>
      <c r="J124" s="152">
        <v>2</v>
      </c>
      <c r="K124" s="152"/>
      <c r="L124" s="152" t="s">
        <v>2133</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2135</v>
      </c>
      <c r="C125" s="152" t="s">
        <v>2136</v>
      </c>
      <c r="D125" s="152" t="s">
        <v>2136</v>
      </c>
      <c r="E125" s="152" t="s">
        <v>2136</v>
      </c>
      <c r="F125" s="152" t="s">
        <v>2136</v>
      </c>
      <c r="G125" s="152" t="s">
        <v>2136</v>
      </c>
      <c r="H125" s="152"/>
      <c r="I125" s="152" t="s">
        <v>2137</v>
      </c>
      <c r="J125" s="152" t="s">
        <v>2137</v>
      </c>
      <c r="K125" s="152"/>
      <c r="L125" s="152" t="s">
        <v>2137</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2138</v>
      </c>
      <c r="C126" s="152" t="s">
        <v>2139</v>
      </c>
      <c r="D126" s="152" t="s">
        <v>2139</v>
      </c>
      <c r="E126" s="152" t="s">
        <v>2139</v>
      </c>
      <c r="F126" s="152" t="s">
        <v>2139</v>
      </c>
      <c r="G126" s="152" t="s">
        <v>2145</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2140</v>
      </c>
      <c r="C127" s="152"/>
      <c r="D127" s="152"/>
      <c r="E127" s="152"/>
      <c r="F127" s="152"/>
      <c r="G127" s="152"/>
      <c r="H127" s="152"/>
      <c r="I127" s="152" t="s">
        <v>2146</v>
      </c>
      <c r="J127" s="152" t="s">
        <v>2146</v>
      </c>
      <c r="K127" s="152"/>
      <c r="L127" s="152" t="s">
        <v>2141</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2093</v>
      </c>
      <c r="C128" s="136"/>
      <c r="D128" s="136"/>
      <c r="E128" s="136"/>
      <c r="F128" s="136"/>
      <c r="G128" s="136"/>
      <c r="H128" s="136"/>
      <c r="I128" s="136" t="s">
        <v>2147</v>
      </c>
      <c r="J128" s="136" t="s">
        <v>2094</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2148</v>
      </c>
      <c r="B130" s="195" t="s">
        <v>2149</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2130</v>
      </c>
      <c r="C131" s="152" t="s">
        <v>2080</v>
      </c>
      <c r="D131" s="152" t="s">
        <v>2080</v>
      </c>
      <c r="E131" s="152" t="s">
        <v>2127</v>
      </c>
      <c r="F131" s="152" t="s">
        <v>2127</v>
      </c>
      <c r="G131" s="152" t="s">
        <v>2126</v>
      </c>
      <c r="H131" s="152"/>
      <c r="I131" s="152" t="s">
        <v>2126</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2132</v>
      </c>
      <c r="C132" s="152">
        <v>2</v>
      </c>
      <c r="D132" s="152" t="s">
        <v>2133</v>
      </c>
      <c r="E132" s="152">
        <v>2</v>
      </c>
      <c r="F132" s="152" t="s">
        <v>2133</v>
      </c>
      <c r="G132" s="152">
        <v>2</v>
      </c>
      <c r="H132" s="152"/>
      <c r="I132" s="152" t="s">
        <v>2133</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2135</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2138</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2140</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2093</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2150</v>
      </c>
      <c r="B138" s="195" t="s">
        <v>2151</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2130</v>
      </c>
      <c r="C139" s="152">
        <v>100</v>
      </c>
      <c r="D139" s="152">
        <v>101</v>
      </c>
      <c r="E139" s="152">
        <v>102</v>
      </c>
      <c r="F139" s="152">
        <v>103</v>
      </c>
      <c r="G139" s="152" t="s">
        <v>2080</v>
      </c>
      <c r="H139" s="152"/>
      <c r="I139" s="152" t="s">
        <v>2124</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2132</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2135</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2138</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2140</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2093</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2152</v>
      </c>
      <c r="B146" s="195" t="s">
        <v>2153</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2130</v>
      </c>
      <c r="C147" s="152" t="s">
        <v>2124</v>
      </c>
      <c r="D147" s="152" t="s">
        <v>2124</v>
      </c>
      <c r="E147" s="152" t="s">
        <v>2125</v>
      </c>
      <c r="F147" s="152" t="s">
        <v>2125</v>
      </c>
      <c r="G147" s="152" t="s">
        <v>2080</v>
      </c>
      <c r="H147" s="152"/>
      <c r="I147" s="152" t="s">
        <v>2080</v>
      </c>
      <c r="J147" s="152" t="s">
        <v>2128</v>
      </c>
      <c r="K147" s="152"/>
      <c r="L147" s="152" t="s">
        <v>2128</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2132</v>
      </c>
      <c r="C148" s="152">
        <v>2</v>
      </c>
      <c r="D148" s="152" t="s">
        <v>2133</v>
      </c>
      <c r="E148" s="152">
        <v>2</v>
      </c>
      <c r="F148" s="152" t="s">
        <v>2133</v>
      </c>
      <c r="G148" s="152">
        <v>2</v>
      </c>
      <c r="H148" s="152"/>
      <c r="I148" s="152" t="s">
        <v>2133</v>
      </c>
      <c r="J148" s="152">
        <v>3</v>
      </c>
      <c r="K148" s="152"/>
      <c r="L148" s="152" t="s">
        <v>2134</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2135</v>
      </c>
      <c r="C149" s="152"/>
      <c r="D149" s="152"/>
      <c r="E149" s="152"/>
      <c r="F149" s="152"/>
      <c r="G149" s="152" t="s">
        <v>2136</v>
      </c>
      <c r="H149" s="152"/>
      <c r="I149" s="152" t="s">
        <v>2136</v>
      </c>
      <c r="J149" s="152" t="s">
        <v>2136</v>
      </c>
      <c r="K149" s="152"/>
      <c r="L149" s="152" t="s">
        <v>2137</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2138</v>
      </c>
      <c r="C150" s="152"/>
      <c r="D150" s="152"/>
      <c r="E150" s="152"/>
      <c r="F150" s="152"/>
      <c r="G150" s="152" t="s">
        <v>2139</v>
      </c>
      <c r="H150" s="152"/>
      <c r="I150" s="152"/>
      <c r="J150" s="152" t="s">
        <v>2139</v>
      </c>
      <c r="K150" s="152"/>
      <c r="L150" s="152" t="s">
        <v>2139</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2140</v>
      </c>
      <c r="C151" s="152"/>
      <c r="D151" s="152"/>
      <c r="E151" s="152"/>
      <c r="F151" s="152"/>
      <c r="G151" s="152"/>
      <c r="H151" s="152"/>
      <c r="I151" s="152"/>
      <c r="J151" s="152"/>
      <c r="K151" s="152"/>
      <c r="L151" s="152" t="s">
        <v>2141</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2093</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2154</v>
      </c>
      <c r="B154" s="195" t="s">
        <v>2155</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2130</v>
      </c>
      <c r="C155" s="152" t="s">
        <v>2124</v>
      </c>
      <c r="D155" s="152" t="s">
        <v>2124</v>
      </c>
      <c r="E155" s="152" t="s">
        <v>2125</v>
      </c>
      <c r="F155" s="152" t="s">
        <v>2125</v>
      </c>
      <c r="G155" s="152" t="s">
        <v>2080</v>
      </c>
      <c r="H155" s="152"/>
      <c r="I155" s="152" t="s">
        <v>2080</v>
      </c>
      <c r="J155" s="152" t="s">
        <v>2127</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2132</v>
      </c>
      <c r="C156" s="152">
        <v>2</v>
      </c>
      <c r="D156" s="152" t="s">
        <v>2133</v>
      </c>
      <c r="E156" s="152">
        <v>2</v>
      </c>
      <c r="F156" s="152" t="s">
        <v>2133</v>
      </c>
      <c r="G156" s="152">
        <v>2</v>
      </c>
      <c r="H156" s="152"/>
      <c r="I156" s="152" t="s">
        <v>2133</v>
      </c>
      <c r="J156" s="152" t="s">
        <v>2133</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2135</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2138</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2140</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2093</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2156</v>
      </c>
      <c r="B162" s="195" t="s">
        <v>2157</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2130</v>
      </c>
      <c r="C163" s="152" t="s">
        <v>2080</v>
      </c>
      <c r="D163" s="152" t="s">
        <v>2080</v>
      </c>
      <c r="E163" s="152" t="s">
        <v>2128</v>
      </c>
      <c r="F163" s="152" t="s">
        <v>2128</v>
      </c>
      <c r="G163" s="152" t="s">
        <v>2128</v>
      </c>
      <c r="H163" s="152"/>
      <c r="I163" s="152" t="s">
        <v>2128</v>
      </c>
      <c r="J163" s="152" t="s">
        <v>2128</v>
      </c>
      <c r="K163" s="152"/>
      <c r="L163" s="152" t="s">
        <v>2128</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2132</v>
      </c>
      <c r="C164" s="152">
        <v>2</v>
      </c>
      <c r="D164" s="152" t="s">
        <v>2133</v>
      </c>
      <c r="E164" s="152">
        <v>2</v>
      </c>
      <c r="F164" s="152" t="s">
        <v>2133</v>
      </c>
      <c r="G164" s="152" t="s">
        <v>2133</v>
      </c>
      <c r="H164" s="152"/>
      <c r="I164" s="152">
        <v>2</v>
      </c>
      <c r="J164" s="152">
        <v>2</v>
      </c>
      <c r="K164" s="152"/>
      <c r="L164" s="152" t="s">
        <v>2133</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2135</v>
      </c>
      <c r="C165" s="152" t="s">
        <v>2136</v>
      </c>
      <c r="D165" s="152" t="s">
        <v>2136</v>
      </c>
      <c r="E165" s="152" t="s">
        <v>2136</v>
      </c>
      <c r="F165" s="152" t="s">
        <v>2136</v>
      </c>
      <c r="G165" s="152" t="s">
        <v>2136</v>
      </c>
      <c r="H165" s="152"/>
      <c r="I165" s="152" t="s">
        <v>2137</v>
      </c>
      <c r="J165" s="152" t="s">
        <v>2137</v>
      </c>
      <c r="K165" s="152"/>
      <c r="L165" s="152" t="s">
        <v>2137</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2138</v>
      </c>
      <c r="C166" s="152" t="s">
        <v>2139</v>
      </c>
      <c r="D166" s="152" t="s">
        <v>2139</v>
      </c>
      <c r="E166" s="152" t="s">
        <v>2139</v>
      </c>
      <c r="F166" s="152" t="s">
        <v>2139</v>
      </c>
      <c r="G166" s="152" t="s">
        <v>2145</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2140</v>
      </c>
      <c r="C167" s="152"/>
      <c r="D167" s="152"/>
      <c r="E167" s="152"/>
      <c r="F167" s="152"/>
      <c r="G167" s="152"/>
      <c r="H167" s="152"/>
      <c r="I167" s="152" t="s">
        <v>2146</v>
      </c>
      <c r="J167" s="152" t="s">
        <v>2146</v>
      </c>
      <c r="K167" s="152"/>
      <c r="L167" s="152" t="s">
        <v>2141</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2093</v>
      </c>
      <c r="C168" s="136"/>
      <c r="D168" s="136"/>
      <c r="E168" s="136"/>
      <c r="F168" s="136"/>
      <c r="G168" s="136"/>
      <c r="H168" s="136"/>
      <c r="I168" s="136" t="s">
        <v>2147</v>
      </c>
      <c r="J168" s="136" t="s">
        <v>2094</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2158</v>
      </c>
      <c r="B170" s="195" t="s">
        <v>2159</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2130</v>
      </c>
      <c r="C171" s="152" t="s">
        <v>2080</v>
      </c>
      <c r="D171" s="152" t="s">
        <v>2080</v>
      </c>
      <c r="E171" s="152" t="s">
        <v>2127</v>
      </c>
      <c r="F171" s="152" t="s">
        <v>2127</v>
      </c>
      <c r="G171" s="152" t="s">
        <v>2126</v>
      </c>
      <c r="H171" s="152"/>
      <c r="I171" s="152" t="s">
        <v>2126</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2132</v>
      </c>
      <c r="C172" s="152">
        <v>2</v>
      </c>
      <c r="D172" s="152" t="s">
        <v>2133</v>
      </c>
      <c r="E172" s="152">
        <v>2</v>
      </c>
      <c r="F172" s="152" t="s">
        <v>2133</v>
      </c>
      <c r="G172" s="152">
        <v>2</v>
      </c>
      <c r="H172" s="152"/>
      <c r="I172" s="152" t="s">
        <v>2133</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2135</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2138</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2140</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2093</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2160</v>
      </c>
      <c r="B178" s="195" t="s">
        <v>2161</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2130</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2132</v>
      </c>
      <c r="C180" s="152">
        <v>2</v>
      </c>
      <c r="D180" s="152" t="s">
        <v>2162</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2135</v>
      </c>
      <c r="C181" s="152"/>
      <c r="D181" s="152"/>
      <c r="E181" s="152" t="s">
        <v>2136</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2138</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2140</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2093</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2163</v>
      </c>
      <c r="C185" s="136" t="s">
        <v>2164</v>
      </c>
      <c r="D185" s="136" t="s">
        <v>2164</v>
      </c>
      <c r="E185" s="136" t="s">
        <v>2165</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2166</v>
      </c>
      <c r="B187" s="195" t="s">
        <v>2167</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2130</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2132</v>
      </c>
      <c r="C189" s="152">
        <v>2</v>
      </c>
      <c r="D189" s="152" t="s">
        <v>2162</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2135</v>
      </c>
      <c r="C190" s="152"/>
      <c r="D190" s="152"/>
      <c r="E190" s="152" t="s">
        <v>2136</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2138</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2140</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2093</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2163</v>
      </c>
      <c r="C194" s="136" t="s">
        <v>2164</v>
      </c>
      <c r="D194" s="136" t="s">
        <v>2164</v>
      </c>
      <c r="E194" s="136" t="s">
        <v>2165</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2168</v>
      </c>
      <c r="B196" s="195" t="s">
        <v>2169</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2130</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2132</v>
      </c>
      <c r="C198" s="152" t="s">
        <v>2170</v>
      </c>
      <c r="D198" s="152" t="s">
        <v>1969</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2135</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2138</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2140</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2093</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2163</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2171</v>
      </c>
      <c r="B205" s="195" t="s">
        <v>2172</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2130</v>
      </c>
      <c r="C206" s="152" t="s">
        <v>2080</v>
      </c>
      <c r="D206" s="152" t="s">
        <v>2080</v>
      </c>
      <c r="E206" s="152" t="s">
        <v>2080</v>
      </c>
      <c r="F206" s="152" t="s">
        <v>2080</v>
      </c>
      <c r="G206" s="152" t="s">
        <v>2080</v>
      </c>
      <c r="H206" s="152"/>
      <c r="I206" s="152" t="s">
        <v>2173</v>
      </c>
      <c r="J206" s="152" t="s">
        <v>2173</v>
      </c>
      <c r="K206" s="152"/>
      <c r="L206" s="152" t="s">
        <v>2173</v>
      </c>
      <c r="M206" s="152" t="s">
        <v>2173</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2132</v>
      </c>
      <c r="C207" s="152">
        <v>2</v>
      </c>
      <c r="D207" s="152">
        <v>2</v>
      </c>
      <c r="E207" s="152">
        <v>3</v>
      </c>
      <c r="F207" s="152" t="s">
        <v>2133</v>
      </c>
      <c r="G207" s="152">
        <v>3</v>
      </c>
      <c r="H207" s="152"/>
      <c r="I207" s="152">
        <v>2</v>
      </c>
      <c r="J207" s="152">
        <v>3</v>
      </c>
      <c r="K207" s="152"/>
      <c r="L207" s="152">
        <v>2</v>
      </c>
      <c r="M207" s="152" t="s">
        <v>2133</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2135</v>
      </c>
      <c r="C208" s="152" t="s">
        <v>2136</v>
      </c>
      <c r="D208" s="152"/>
      <c r="E208" s="152"/>
      <c r="F208" s="152"/>
      <c r="G208" s="152" t="s">
        <v>2136</v>
      </c>
      <c r="H208" s="152"/>
      <c r="I208" s="152" t="s">
        <v>2136</v>
      </c>
      <c r="J208" s="152"/>
      <c r="K208" s="152"/>
      <c r="L208" s="152" t="s">
        <v>2137</v>
      </c>
      <c r="M208" s="152" t="s">
        <v>2137</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2138</v>
      </c>
      <c r="C209" s="152"/>
      <c r="D209" s="152"/>
      <c r="E209" s="152" t="s">
        <v>2145</v>
      </c>
      <c r="F209" s="152"/>
      <c r="G209" s="152" t="s">
        <v>2139</v>
      </c>
      <c r="H209" s="152"/>
      <c r="I209" s="152"/>
      <c r="J209" s="152" t="s">
        <v>2145</v>
      </c>
      <c r="K209" s="152"/>
      <c r="L209" s="152" t="s">
        <v>2139</v>
      </c>
      <c r="M209" s="152" t="s">
        <v>2139</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2140</v>
      </c>
      <c r="C210" s="152"/>
      <c r="D210" s="152"/>
      <c r="E210" s="152"/>
      <c r="F210" s="152"/>
      <c r="G210" s="152"/>
      <c r="H210" s="152"/>
      <c r="I210" s="152"/>
      <c r="J210" s="152"/>
      <c r="K210" s="152"/>
      <c r="L210" s="152" t="s">
        <v>2141</v>
      </c>
      <c r="M210" s="152" t="s">
        <v>2146</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2093</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2163</v>
      </c>
      <c r="C212" s="136" t="s">
        <v>2165</v>
      </c>
      <c r="D212" s="136" t="s">
        <v>2164</v>
      </c>
      <c r="E212" s="136" t="s">
        <v>2165</v>
      </c>
      <c r="F212" s="136" t="s">
        <v>2164</v>
      </c>
      <c r="G212" s="136" t="s">
        <v>2165</v>
      </c>
      <c r="H212" s="136"/>
      <c r="I212" s="136" t="s">
        <v>2165</v>
      </c>
      <c r="J212" s="136" t="s">
        <v>2165</v>
      </c>
      <c r="K212" s="136"/>
      <c r="L212" s="136" t="s">
        <v>2165</v>
      </c>
      <c r="M212" s="136" t="s">
        <v>2165</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2174</v>
      </c>
      <c r="B214" s="195" t="s">
        <v>2175</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2130</v>
      </c>
      <c r="C215" s="152" t="s">
        <v>2080</v>
      </c>
      <c r="D215" s="152" t="s">
        <v>2080</v>
      </c>
      <c r="E215" s="152" t="s">
        <v>2080</v>
      </c>
      <c r="F215" s="152" t="s">
        <v>2080</v>
      </c>
      <c r="G215" s="152" t="s">
        <v>2080</v>
      </c>
      <c r="H215" s="152"/>
      <c r="I215" s="152" t="s">
        <v>2173</v>
      </c>
      <c r="J215" s="152" t="s">
        <v>2173</v>
      </c>
      <c r="K215" s="152"/>
      <c r="L215" s="152" t="s">
        <v>2173</v>
      </c>
      <c r="M215" s="152" t="s">
        <v>2173</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2132</v>
      </c>
      <c r="C216" s="152">
        <v>2</v>
      </c>
      <c r="D216" s="152">
        <v>2</v>
      </c>
      <c r="E216" s="152">
        <v>3</v>
      </c>
      <c r="F216" s="152" t="s">
        <v>2133</v>
      </c>
      <c r="G216" s="152">
        <v>3</v>
      </c>
      <c r="H216" s="152"/>
      <c r="I216" s="152">
        <v>2</v>
      </c>
      <c r="J216" s="152">
        <v>3</v>
      </c>
      <c r="K216" s="152"/>
      <c r="L216" s="152">
        <v>2</v>
      </c>
      <c r="M216" s="152" t="s">
        <v>2133</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2135</v>
      </c>
      <c r="C217" s="152" t="s">
        <v>2136</v>
      </c>
      <c r="D217" s="152"/>
      <c r="E217" s="152"/>
      <c r="F217" s="152"/>
      <c r="G217" s="152" t="s">
        <v>2136</v>
      </c>
      <c r="H217" s="152"/>
      <c r="I217" s="152" t="s">
        <v>2136</v>
      </c>
      <c r="J217" s="152"/>
      <c r="K217" s="152"/>
      <c r="L217" s="152" t="s">
        <v>2137</v>
      </c>
      <c r="M217" s="152" t="s">
        <v>2137</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2138</v>
      </c>
      <c r="C218" s="152"/>
      <c r="D218" s="152"/>
      <c r="E218" s="152" t="s">
        <v>2145</v>
      </c>
      <c r="F218" s="152"/>
      <c r="G218" s="152" t="s">
        <v>2139</v>
      </c>
      <c r="H218" s="152"/>
      <c r="I218" s="152"/>
      <c r="J218" s="152" t="s">
        <v>2145</v>
      </c>
      <c r="K218" s="152"/>
      <c r="L218" s="152" t="s">
        <v>2139</v>
      </c>
      <c r="M218" s="152" t="s">
        <v>2139</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2140</v>
      </c>
      <c r="C219" s="152"/>
      <c r="D219" s="152"/>
      <c r="E219" s="152"/>
      <c r="F219" s="152"/>
      <c r="G219" s="152"/>
      <c r="H219" s="152"/>
      <c r="I219" s="152"/>
      <c r="J219" s="152"/>
      <c r="K219" s="152"/>
      <c r="L219" s="152" t="s">
        <v>2141</v>
      </c>
      <c r="M219" s="152" t="s">
        <v>2146</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2093</v>
      </c>
      <c r="C220" s="152"/>
      <c r="D220" s="152"/>
      <c r="E220" s="152"/>
      <c r="F220" s="152"/>
      <c r="G220" s="152"/>
      <c r="H220" s="152"/>
      <c r="I220" s="152"/>
      <c r="J220" s="152"/>
      <c r="K220" s="152"/>
      <c r="L220" s="152"/>
      <c r="M220" s="152"/>
      <c r="O220" s="125"/>
    </row>
    <row r="221" spans="1:58" s="124" customFormat="1" ht="16">
      <c r="A221" s="393"/>
      <c r="B221" s="134" t="s">
        <v>2163</v>
      </c>
      <c r="C221" s="136" t="s">
        <v>2165</v>
      </c>
      <c r="D221" s="136" t="s">
        <v>2164</v>
      </c>
      <c r="E221" s="136" t="s">
        <v>2165</v>
      </c>
      <c r="F221" s="136" t="s">
        <v>2164</v>
      </c>
      <c r="G221" s="136" t="s">
        <v>2165</v>
      </c>
      <c r="H221" s="136"/>
      <c r="I221" s="136" t="s">
        <v>2165</v>
      </c>
      <c r="J221" s="136" t="s">
        <v>2165</v>
      </c>
      <c r="K221" s="136"/>
      <c r="L221" s="136" t="s">
        <v>2165</v>
      </c>
      <c r="M221" s="136" t="s">
        <v>2165</v>
      </c>
      <c r="O221" s="125"/>
    </row>
    <row r="222" spans="1:58" s="124" customFormat="1" ht="16">
      <c r="O222" s="125"/>
    </row>
    <row r="223" spans="1:58" s="124" customFormat="1" ht="55">
      <c r="A223" s="394" t="s">
        <v>2176</v>
      </c>
      <c r="B223" s="195" t="s">
        <v>2123</v>
      </c>
      <c r="C223" s="184">
        <v>2</v>
      </c>
      <c r="D223" s="184">
        <v>3</v>
      </c>
      <c r="E223" s="184">
        <v>4</v>
      </c>
      <c r="F223" s="184">
        <v>5</v>
      </c>
      <c r="G223" s="184">
        <v>6</v>
      </c>
      <c r="H223" s="184"/>
      <c r="I223" s="184">
        <v>7</v>
      </c>
      <c r="J223" s="184">
        <v>9</v>
      </c>
      <c r="K223" s="184"/>
      <c r="L223" s="184">
        <v>12</v>
      </c>
      <c r="O223" s="125"/>
    </row>
    <row r="224" spans="1:58" s="124" customFormat="1" ht="16">
      <c r="A224" s="395"/>
      <c r="B224" s="151" t="s">
        <v>2130</v>
      </c>
      <c r="C224" s="152" t="s">
        <v>2124</v>
      </c>
      <c r="D224" s="152" t="s">
        <v>2124</v>
      </c>
      <c r="E224" s="152" t="s">
        <v>2125</v>
      </c>
      <c r="F224" s="152" t="s">
        <v>2125</v>
      </c>
      <c r="G224" s="152" t="s">
        <v>2080</v>
      </c>
      <c r="H224" s="152"/>
      <c r="I224" s="152" t="s">
        <v>2080</v>
      </c>
      <c r="J224" s="152" t="s">
        <v>2128</v>
      </c>
      <c r="K224" s="152"/>
      <c r="L224" s="152" t="s">
        <v>2128</v>
      </c>
      <c r="O224" s="125"/>
    </row>
    <row r="225" spans="1:12" s="124" customFormat="1" ht="16">
      <c r="A225" s="395"/>
      <c r="B225" s="151" t="s">
        <v>2132</v>
      </c>
      <c r="C225" s="152">
        <v>2</v>
      </c>
      <c r="D225" s="152" t="s">
        <v>2133</v>
      </c>
      <c r="E225" s="152">
        <v>2</v>
      </c>
      <c r="F225" s="152" t="s">
        <v>2133</v>
      </c>
      <c r="G225" s="152">
        <v>2</v>
      </c>
      <c r="H225" s="152"/>
      <c r="I225" s="152" t="s">
        <v>2133</v>
      </c>
      <c r="J225" s="152">
        <v>3</v>
      </c>
      <c r="K225" s="152"/>
      <c r="L225" s="152" t="s">
        <v>2134</v>
      </c>
    </row>
    <row r="226" spans="1:12" s="124" customFormat="1" ht="16">
      <c r="A226" s="395"/>
      <c r="B226" s="151" t="s">
        <v>2135</v>
      </c>
      <c r="C226" s="152"/>
      <c r="D226" s="152"/>
      <c r="E226" s="152"/>
      <c r="F226" s="152"/>
      <c r="G226" s="152" t="s">
        <v>2136</v>
      </c>
      <c r="H226" s="152"/>
      <c r="I226" s="152" t="s">
        <v>2136</v>
      </c>
      <c r="J226" s="152" t="s">
        <v>2136</v>
      </c>
      <c r="K226" s="152"/>
      <c r="L226" s="152" t="s">
        <v>2137</v>
      </c>
    </row>
    <row r="227" spans="1:12" s="124" customFormat="1" ht="16">
      <c r="A227" s="395"/>
      <c r="B227" s="151" t="s">
        <v>2138</v>
      </c>
      <c r="C227" s="152"/>
      <c r="D227" s="152"/>
      <c r="E227" s="152"/>
      <c r="F227" s="152"/>
      <c r="G227" s="152" t="s">
        <v>2139</v>
      </c>
      <c r="H227" s="152"/>
      <c r="I227" s="152"/>
      <c r="J227" s="152" t="s">
        <v>2139</v>
      </c>
      <c r="K227" s="152"/>
      <c r="L227" s="152" t="s">
        <v>2139</v>
      </c>
    </row>
    <row r="228" spans="1:12" s="124" customFormat="1" ht="16">
      <c r="A228" s="395"/>
      <c r="B228" s="151" t="s">
        <v>2140</v>
      </c>
      <c r="C228" s="152"/>
      <c r="D228" s="152"/>
      <c r="E228" s="152"/>
      <c r="F228" s="152"/>
      <c r="G228" s="152"/>
      <c r="H228" s="152"/>
      <c r="I228" s="152"/>
      <c r="J228" s="152"/>
      <c r="K228" s="152"/>
      <c r="L228" s="152" t="s">
        <v>2141</v>
      </c>
    </row>
    <row r="229" spans="1:12" s="124" customFormat="1" ht="16">
      <c r="A229" s="396"/>
      <c r="B229" s="134" t="s">
        <v>2093</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2177</v>
      </c>
      <c r="B231" s="195" t="s">
        <v>2178</v>
      </c>
      <c r="C231" s="184">
        <v>2</v>
      </c>
      <c r="D231" s="184">
        <v>3</v>
      </c>
      <c r="E231" s="184">
        <v>4</v>
      </c>
      <c r="F231" s="184">
        <v>5</v>
      </c>
      <c r="G231" s="184">
        <v>6</v>
      </c>
      <c r="H231" s="184"/>
      <c r="I231" s="184">
        <v>7</v>
      </c>
      <c r="J231" s="184">
        <v>9</v>
      </c>
      <c r="K231" s="184"/>
      <c r="L231" s="184"/>
    </row>
    <row r="232" spans="1:12" s="124" customFormat="1" ht="16">
      <c r="A232" s="395"/>
      <c r="B232" s="151" t="s">
        <v>2130</v>
      </c>
      <c r="C232" s="152" t="s">
        <v>2124</v>
      </c>
      <c r="D232" s="152" t="s">
        <v>2124</v>
      </c>
      <c r="E232" s="152" t="s">
        <v>2125</v>
      </c>
      <c r="F232" s="152" t="s">
        <v>2125</v>
      </c>
      <c r="G232" s="152" t="s">
        <v>2080</v>
      </c>
      <c r="H232" s="152"/>
      <c r="I232" s="152" t="s">
        <v>2080</v>
      </c>
      <c r="J232" s="152" t="s">
        <v>2127</v>
      </c>
      <c r="K232" s="152"/>
      <c r="L232" s="152"/>
    </row>
    <row r="233" spans="1:12" s="124" customFormat="1" ht="16">
      <c r="A233" s="395"/>
      <c r="B233" s="151" t="s">
        <v>2132</v>
      </c>
      <c r="C233" s="152">
        <v>2</v>
      </c>
      <c r="D233" s="152" t="s">
        <v>2133</v>
      </c>
      <c r="E233" s="152">
        <v>2</v>
      </c>
      <c r="F233" s="152" t="s">
        <v>2133</v>
      </c>
      <c r="G233" s="152">
        <v>2</v>
      </c>
      <c r="H233" s="152"/>
      <c r="I233" s="152" t="s">
        <v>2133</v>
      </c>
      <c r="J233" s="152" t="s">
        <v>2133</v>
      </c>
      <c r="K233" s="152"/>
      <c r="L233" s="152"/>
    </row>
    <row r="234" spans="1:12" s="124" customFormat="1" ht="16">
      <c r="A234" s="395"/>
      <c r="B234" s="151" t="s">
        <v>2135</v>
      </c>
      <c r="C234" s="152"/>
      <c r="D234" s="152"/>
      <c r="E234" s="152"/>
      <c r="F234" s="152"/>
      <c r="G234" s="152"/>
      <c r="H234" s="152"/>
      <c r="I234" s="152"/>
      <c r="J234" s="152"/>
      <c r="K234" s="152"/>
      <c r="L234" s="152"/>
    </row>
    <row r="235" spans="1:12" s="124" customFormat="1" ht="16">
      <c r="A235" s="395"/>
      <c r="B235" s="151" t="s">
        <v>2138</v>
      </c>
      <c r="C235" s="152"/>
      <c r="D235" s="152"/>
      <c r="E235" s="152"/>
      <c r="F235" s="152"/>
      <c r="G235" s="152"/>
      <c r="H235" s="152"/>
      <c r="I235" s="152"/>
      <c r="J235" s="152"/>
      <c r="K235" s="152"/>
      <c r="L235" s="152"/>
    </row>
    <row r="236" spans="1:12" s="124" customFormat="1" ht="16">
      <c r="A236" s="395"/>
      <c r="B236" s="151" t="s">
        <v>2140</v>
      </c>
      <c r="C236" s="152"/>
      <c r="D236" s="152"/>
      <c r="E236" s="152"/>
      <c r="F236" s="152"/>
      <c r="G236" s="152"/>
      <c r="H236" s="152"/>
      <c r="I236" s="152"/>
      <c r="J236" s="152"/>
      <c r="K236" s="152"/>
      <c r="L236" s="152"/>
    </row>
    <row r="237" spans="1:12" s="124" customFormat="1" ht="16">
      <c r="A237" s="396"/>
      <c r="B237" s="134" t="s">
        <v>2093</v>
      </c>
      <c r="C237" s="136"/>
      <c r="D237" s="136"/>
      <c r="E237" s="136"/>
      <c r="F237" s="136"/>
      <c r="G237" s="136"/>
      <c r="H237" s="136"/>
      <c r="I237" s="136"/>
      <c r="J237" s="136"/>
      <c r="K237" s="136"/>
      <c r="L237" s="136"/>
    </row>
    <row r="238" spans="1:12" s="124" customFormat="1" ht="16">
      <c r="L238" s="123"/>
    </row>
    <row r="239" spans="1:12" s="124" customFormat="1" ht="55">
      <c r="A239" s="394" t="s">
        <v>2179</v>
      </c>
      <c r="B239" s="195" t="s">
        <v>2180</v>
      </c>
      <c r="C239" s="184">
        <v>2</v>
      </c>
      <c r="D239" s="184">
        <v>3</v>
      </c>
      <c r="E239" s="184">
        <v>4</v>
      </c>
      <c r="F239" s="184">
        <v>5</v>
      </c>
      <c r="G239" s="184">
        <v>6</v>
      </c>
      <c r="H239" s="184"/>
      <c r="I239" s="184">
        <v>7</v>
      </c>
      <c r="J239" s="184">
        <v>9</v>
      </c>
      <c r="K239" s="184"/>
      <c r="L239" s="184">
        <v>12</v>
      </c>
    </row>
    <row r="240" spans="1:12" s="124" customFormat="1" ht="16">
      <c r="A240" s="395"/>
      <c r="B240" s="151" t="s">
        <v>2130</v>
      </c>
      <c r="C240" s="152" t="s">
        <v>2080</v>
      </c>
      <c r="D240" s="152" t="s">
        <v>2080</v>
      </c>
      <c r="E240" s="152" t="s">
        <v>2128</v>
      </c>
      <c r="F240" s="152" t="s">
        <v>2128</v>
      </c>
      <c r="G240" s="152" t="s">
        <v>2128</v>
      </c>
      <c r="H240" s="152"/>
      <c r="I240" s="152" t="s">
        <v>2128</v>
      </c>
      <c r="J240" s="152" t="s">
        <v>2128</v>
      </c>
      <c r="K240" s="152"/>
      <c r="L240" s="152" t="s">
        <v>2128</v>
      </c>
    </row>
    <row r="241" spans="1:15" s="124" customFormat="1" ht="16">
      <c r="A241" s="395"/>
      <c r="B241" s="151" t="s">
        <v>2132</v>
      </c>
      <c r="C241" s="152">
        <v>2</v>
      </c>
      <c r="D241" s="152" t="s">
        <v>2133</v>
      </c>
      <c r="E241" s="152">
        <v>2</v>
      </c>
      <c r="F241" s="152" t="s">
        <v>2133</v>
      </c>
      <c r="G241" s="152" t="s">
        <v>2133</v>
      </c>
      <c r="H241" s="152"/>
      <c r="I241" s="152">
        <v>2</v>
      </c>
      <c r="J241" s="152">
        <v>2</v>
      </c>
      <c r="K241" s="152"/>
      <c r="L241" s="152" t="s">
        <v>2133</v>
      </c>
    </row>
    <row r="242" spans="1:15" s="124" customFormat="1" ht="16">
      <c r="A242" s="395"/>
      <c r="B242" s="151" t="s">
        <v>2135</v>
      </c>
      <c r="C242" s="152" t="s">
        <v>2136</v>
      </c>
      <c r="D242" s="152" t="s">
        <v>2136</v>
      </c>
      <c r="E242" s="152" t="s">
        <v>2136</v>
      </c>
      <c r="F242" s="152" t="s">
        <v>2136</v>
      </c>
      <c r="G242" s="152" t="s">
        <v>2136</v>
      </c>
      <c r="H242" s="152"/>
      <c r="I242" s="152" t="s">
        <v>2137</v>
      </c>
      <c r="J242" s="152" t="s">
        <v>2137</v>
      </c>
      <c r="K242" s="152"/>
      <c r="L242" s="152" t="s">
        <v>2137</v>
      </c>
    </row>
    <row r="243" spans="1:15" s="124" customFormat="1" ht="16">
      <c r="A243" s="395"/>
      <c r="B243" s="151" t="s">
        <v>2138</v>
      </c>
      <c r="C243" s="152" t="s">
        <v>2139</v>
      </c>
      <c r="D243" s="152" t="s">
        <v>2139</v>
      </c>
      <c r="E243" s="152" t="s">
        <v>2139</v>
      </c>
      <c r="F243" s="152" t="s">
        <v>2139</v>
      </c>
      <c r="G243" s="152" t="s">
        <v>2145</v>
      </c>
      <c r="H243" s="152"/>
      <c r="I243" s="152"/>
      <c r="J243" s="152"/>
      <c r="K243" s="152"/>
      <c r="L243" s="152"/>
    </row>
    <row r="244" spans="1:15" s="124" customFormat="1" ht="16">
      <c r="A244" s="395"/>
      <c r="B244" s="151" t="s">
        <v>2140</v>
      </c>
      <c r="C244" s="152"/>
      <c r="D244" s="152"/>
      <c r="E244" s="152"/>
      <c r="F244" s="152"/>
      <c r="G244" s="152"/>
      <c r="H244" s="152"/>
      <c r="I244" s="152" t="s">
        <v>2146</v>
      </c>
      <c r="J244" s="152" t="s">
        <v>2146</v>
      </c>
      <c r="K244" s="152"/>
      <c r="L244" s="152" t="s">
        <v>2141</v>
      </c>
    </row>
    <row r="245" spans="1:15" s="124" customFormat="1" ht="16">
      <c r="A245" s="396"/>
      <c r="B245" s="134" t="s">
        <v>2093</v>
      </c>
      <c r="C245" s="136"/>
      <c r="D245" s="136"/>
      <c r="E245" s="136"/>
      <c r="F245" s="136"/>
      <c r="G245" s="136"/>
      <c r="H245" s="136"/>
      <c r="I245" s="136" t="s">
        <v>2147</v>
      </c>
      <c r="J245" s="136" t="s">
        <v>2094</v>
      </c>
      <c r="K245" s="136"/>
      <c r="L245" s="136"/>
    </row>
    <row r="246" spans="1:15" s="124" customFormat="1" ht="16">
      <c r="C246" s="123"/>
      <c r="D246" s="123"/>
      <c r="E246" s="123"/>
      <c r="F246" s="123"/>
      <c r="G246" s="123"/>
      <c r="H246" s="123"/>
      <c r="I246" s="123"/>
      <c r="J246" s="123"/>
      <c r="K246" s="123"/>
      <c r="L246" s="123"/>
    </row>
    <row r="247" spans="1:15" s="124" customFormat="1" ht="74">
      <c r="A247" s="394" t="s">
        <v>2181</v>
      </c>
      <c r="B247" s="195" t="s">
        <v>2149</v>
      </c>
      <c r="C247" s="184">
        <v>2</v>
      </c>
      <c r="D247" s="184">
        <v>3</v>
      </c>
      <c r="E247" s="184">
        <v>4</v>
      </c>
      <c r="F247" s="184">
        <v>5</v>
      </c>
      <c r="G247" s="184">
        <v>6</v>
      </c>
      <c r="H247" s="184"/>
      <c r="I247" s="184">
        <v>7</v>
      </c>
      <c r="J247" s="184"/>
      <c r="K247" s="184"/>
      <c r="L247" s="184"/>
    </row>
    <row r="248" spans="1:15" s="124" customFormat="1" ht="16">
      <c r="A248" s="395"/>
      <c r="B248" s="151" t="s">
        <v>2130</v>
      </c>
      <c r="C248" s="152" t="s">
        <v>2080</v>
      </c>
      <c r="D248" s="152" t="s">
        <v>2080</v>
      </c>
      <c r="E248" s="152" t="s">
        <v>2127</v>
      </c>
      <c r="F248" s="152" t="s">
        <v>2127</v>
      </c>
      <c r="G248" s="152" t="s">
        <v>2126</v>
      </c>
      <c r="H248" s="152"/>
      <c r="I248" s="152" t="s">
        <v>2126</v>
      </c>
      <c r="J248" s="152"/>
      <c r="K248" s="152"/>
      <c r="L248" s="152"/>
    </row>
    <row r="249" spans="1:15" s="124" customFormat="1" ht="16">
      <c r="A249" s="395"/>
      <c r="B249" s="151" t="s">
        <v>2132</v>
      </c>
      <c r="C249" s="152">
        <v>2</v>
      </c>
      <c r="D249" s="152" t="s">
        <v>2133</v>
      </c>
      <c r="E249" s="152">
        <v>2</v>
      </c>
      <c r="F249" s="152" t="s">
        <v>2133</v>
      </c>
      <c r="G249" s="152">
        <v>2</v>
      </c>
      <c r="H249" s="152"/>
      <c r="I249" s="152" t="s">
        <v>2133</v>
      </c>
      <c r="J249" s="152"/>
      <c r="K249" s="152"/>
      <c r="L249" s="152"/>
    </row>
    <row r="250" spans="1:15" s="124" customFormat="1" ht="16">
      <c r="A250" s="395"/>
      <c r="B250" s="151" t="s">
        <v>2135</v>
      </c>
      <c r="C250" s="152"/>
      <c r="D250" s="152"/>
      <c r="E250" s="152"/>
      <c r="F250" s="152"/>
      <c r="G250" s="152"/>
      <c r="H250" s="152"/>
      <c r="I250" s="152"/>
      <c r="J250" s="152"/>
      <c r="K250" s="152"/>
      <c r="L250" s="152"/>
    </row>
    <row r="251" spans="1:15" s="124" customFormat="1" ht="16">
      <c r="A251" s="395"/>
      <c r="B251" s="151" t="s">
        <v>2138</v>
      </c>
      <c r="C251" s="152"/>
      <c r="D251" s="152"/>
      <c r="E251" s="152"/>
      <c r="F251" s="152"/>
      <c r="G251" s="152"/>
      <c r="H251" s="152"/>
      <c r="I251" s="152"/>
      <c r="J251" s="152"/>
      <c r="K251" s="152"/>
      <c r="L251" s="152"/>
    </row>
    <row r="252" spans="1:15" s="124" customFormat="1" ht="16">
      <c r="A252" s="395"/>
      <c r="B252" s="151" t="s">
        <v>2140</v>
      </c>
      <c r="C252" s="152"/>
      <c r="D252" s="152"/>
      <c r="E252" s="152"/>
      <c r="F252" s="152"/>
      <c r="G252" s="152"/>
      <c r="H252" s="152"/>
      <c r="I252" s="152"/>
      <c r="J252" s="152"/>
      <c r="K252" s="152"/>
      <c r="L252" s="152"/>
    </row>
    <row r="253" spans="1:15" s="124" customFormat="1" ht="16">
      <c r="A253" s="396"/>
      <c r="B253" s="134" t="s">
        <v>2093</v>
      </c>
      <c r="C253" s="136"/>
      <c r="D253" s="136"/>
      <c r="E253" s="136"/>
      <c r="F253" s="136"/>
      <c r="G253" s="136"/>
      <c r="H253" s="136"/>
      <c r="I253" s="136"/>
      <c r="J253" s="136"/>
      <c r="K253" s="136"/>
      <c r="L253" s="136"/>
    </row>
    <row r="254" spans="1:15" s="124" customFormat="1" ht="16">
      <c r="O254" s="125"/>
    </row>
    <row r="255" spans="1:15" s="124" customFormat="1" ht="55">
      <c r="A255" s="391" t="s">
        <v>2182</v>
      </c>
      <c r="B255" s="195" t="s">
        <v>2153</v>
      </c>
      <c r="C255" s="184">
        <v>2</v>
      </c>
      <c r="D255" s="184">
        <v>3</v>
      </c>
      <c r="E255" s="184">
        <v>4</v>
      </c>
      <c r="F255" s="184">
        <v>5</v>
      </c>
      <c r="G255" s="184">
        <v>6</v>
      </c>
      <c r="H255" s="184"/>
      <c r="I255" s="184">
        <v>7</v>
      </c>
      <c r="J255" s="184">
        <v>9</v>
      </c>
      <c r="K255" s="184"/>
      <c r="L255" s="184">
        <v>12</v>
      </c>
    </row>
    <row r="256" spans="1:15" s="124" customFormat="1" ht="16">
      <c r="A256" s="392"/>
      <c r="B256" s="151" t="s">
        <v>2130</v>
      </c>
      <c r="C256" s="152" t="s">
        <v>2124</v>
      </c>
      <c r="D256" s="152" t="s">
        <v>2124</v>
      </c>
      <c r="E256" s="152" t="s">
        <v>2125</v>
      </c>
      <c r="F256" s="152" t="s">
        <v>2125</v>
      </c>
      <c r="G256" s="152" t="s">
        <v>2080</v>
      </c>
      <c r="H256" s="152"/>
      <c r="I256" s="152" t="s">
        <v>2080</v>
      </c>
      <c r="J256" s="152" t="s">
        <v>2128</v>
      </c>
      <c r="K256" s="152"/>
      <c r="L256" s="152" t="s">
        <v>2128</v>
      </c>
    </row>
    <row r="257" spans="1:12" s="124" customFormat="1" ht="16">
      <c r="A257" s="392"/>
      <c r="B257" s="151" t="s">
        <v>2132</v>
      </c>
      <c r="C257" s="152">
        <v>2</v>
      </c>
      <c r="D257" s="152" t="s">
        <v>2133</v>
      </c>
      <c r="E257" s="152">
        <v>2</v>
      </c>
      <c r="F257" s="152" t="s">
        <v>2133</v>
      </c>
      <c r="G257" s="152">
        <v>2</v>
      </c>
      <c r="H257" s="152"/>
      <c r="I257" s="152" t="s">
        <v>2133</v>
      </c>
      <c r="J257" s="152">
        <v>3</v>
      </c>
      <c r="K257" s="152"/>
      <c r="L257" s="152" t="s">
        <v>2134</v>
      </c>
    </row>
    <row r="258" spans="1:12" s="124" customFormat="1" ht="16">
      <c r="A258" s="392"/>
      <c r="B258" s="151" t="s">
        <v>2135</v>
      </c>
      <c r="C258" s="152"/>
      <c r="D258" s="152"/>
      <c r="E258" s="152"/>
      <c r="F258" s="152"/>
      <c r="G258" s="152" t="s">
        <v>2136</v>
      </c>
      <c r="H258" s="152"/>
      <c r="I258" s="152" t="s">
        <v>2136</v>
      </c>
      <c r="J258" s="152" t="s">
        <v>2136</v>
      </c>
      <c r="K258" s="152"/>
      <c r="L258" s="152" t="s">
        <v>2137</v>
      </c>
    </row>
    <row r="259" spans="1:12" s="124" customFormat="1" ht="16">
      <c r="A259" s="392"/>
      <c r="B259" s="151" t="s">
        <v>2138</v>
      </c>
      <c r="C259" s="152"/>
      <c r="D259" s="152"/>
      <c r="E259" s="152"/>
      <c r="F259" s="152"/>
      <c r="G259" s="152" t="s">
        <v>2139</v>
      </c>
      <c r="H259" s="152"/>
      <c r="I259" s="152"/>
      <c r="J259" s="152" t="s">
        <v>2139</v>
      </c>
      <c r="K259" s="152"/>
      <c r="L259" s="152" t="s">
        <v>2139</v>
      </c>
    </row>
    <row r="260" spans="1:12" s="124" customFormat="1" ht="16">
      <c r="A260" s="392"/>
      <c r="B260" s="151" t="s">
        <v>2140</v>
      </c>
      <c r="C260" s="152"/>
      <c r="D260" s="152"/>
      <c r="E260" s="152"/>
      <c r="F260" s="152"/>
      <c r="G260" s="152"/>
      <c r="H260" s="152"/>
      <c r="I260" s="152"/>
      <c r="J260" s="152"/>
      <c r="K260" s="152"/>
      <c r="L260" s="152" t="s">
        <v>2141</v>
      </c>
    </row>
    <row r="261" spans="1:12" s="124" customFormat="1" ht="16">
      <c r="A261" s="393"/>
      <c r="B261" s="134" t="s">
        <v>2093</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2183</v>
      </c>
      <c r="B263" s="195" t="s">
        <v>2155</v>
      </c>
      <c r="C263" s="184">
        <v>2</v>
      </c>
      <c r="D263" s="184">
        <v>3</v>
      </c>
      <c r="E263" s="184">
        <v>4</v>
      </c>
      <c r="F263" s="184">
        <v>5</v>
      </c>
      <c r="G263" s="184">
        <v>6</v>
      </c>
      <c r="H263" s="184"/>
      <c r="I263" s="184">
        <v>7</v>
      </c>
      <c r="J263" s="184">
        <v>9</v>
      </c>
      <c r="K263" s="184"/>
      <c r="L263" s="184"/>
    </row>
    <row r="264" spans="1:12" s="124" customFormat="1" ht="16">
      <c r="A264" s="392"/>
      <c r="B264" s="151" t="s">
        <v>2130</v>
      </c>
      <c r="C264" s="152" t="s">
        <v>2124</v>
      </c>
      <c r="D264" s="152" t="s">
        <v>2124</v>
      </c>
      <c r="E264" s="152" t="s">
        <v>2125</v>
      </c>
      <c r="F264" s="152" t="s">
        <v>2125</v>
      </c>
      <c r="G264" s="152" t="s">
        <v>2080</v>
      </c>
      <c r="H264" s="152"/>
      <c r="I264" s="152" t="s">
        <v>2080</v>
      </c>
      <c r="J264" s="152" t="s">
        <v>2127</v>
      </c>
      <c r="K264" s="152"/>
      <c r="L264" s="152"/>
    </row>
    <row r="265" spans="1:12" s="124" customFormat="1" ht="16">
      <c r="A265" s="392"/>
      <c r="B265" s="151" t="s">
        <v>2132</v>
      </c>
      <c r="C265" s="152">
        <v>2</v>
      </c>
      <c r="D265" s="152" t="s">
        <v>2133</v>
      </c>
      <c r="E265" s="152">
        <v>2</v>
      </c>
      <c r="F265" s="152" t="s">
        <v>2133</v>
      </c>
      <c r="G265" s="152">
        <v>2</v>
      </c>
      <c r="H265" s="152"/>
      <c r="I265" s="152" t="s">
        <v>2133</v>
      </c>
      <c r="J265" s="152" t="s">
        <v>2133</v>
      </c>
      <c r="K265" s="152"/>
      <c r="L265" s="152"/>
    </row>
    <row r="266" spans="1:12" s="124" customFormat="1" ht="16">
      <c r="A266" s="392"/>
      <c r="B266" s="151" t="s">
        <v>2135</v>
      </c>
      <c r="C266" s="152"/>
      <c r="D266" s="152"/>
      <c r="E266" s="152"/>
      <c r="F266" s="152"/>
      <c r="G266" s="152"/>
      <c r="H266" s="152"/>
      <c r="I266" s="152"/>
      <c r="J266" s="152"/>
      <c r="K266" s="152"/>
      <c r="L266" s="152"/>
    </row>
    <row r="267" spans="1:12" s="124" customFormat="1" ht="16">
      <c r="A267" s="392"/>
      <c r="B267" s="151" t="s">
        <v>2138</v>
      </c>
      <c r="C267" s="152"/>
      <c r="D267" s="152"/>
      <c r="E267" s="152"/>
      <c r="F267" s="152"/>
      <c r="G267" s="152"/>
      <c r="H267" s="152"/>
      <c r="I267" s="152"/>
      <c r="J267" s="152"/>
      <c r="K267" s="152"/>
      <c r="L267" s="152"/>
    </row>
    <row r="268" spans="1:12" s="124" customFormat="1" ht="16">
      <c r="A268" s="392"/>
      <c r="B268" s="151" t="s">
        <v>2140</v>
      </c>
      <c r="C268" s="152"/>
      <c r="D268" s="152"/>
      <c r="E268" s="152"/>
      <c r="F268" s="152"/>
      <c r="G268" s="152"/>
      <c r="H268" s="152"/>
      <c r="I268" s="152"/>
      <c r="J268" s="152"/>
      <c r="K268" s="152"/>
      <c r="L268" s="152"/>
    </row>
    <row r="269" spans="1:12" s="124" customFormat="1" ht="16">
      <c r="A269" s="393"/>
      <c r="B269" s="134" t="s">
        <v>2093</v>
      </c>
      <c r="C269" s="136"/>
      <c r="D269" s="136"/>
      <c r="E269" s="136"/>
      <c r="F269" s="136"/>
      <c r="G269" s="136"/>
      <c r="H269" s="136"/>
      <c r="I269" s="136"/>
      <c r="J269" s="136"/>
      <c r="K269" s="136"/>
      <c r="L269" s="136"/>
    </row>
    <row r="270" spans="1:12" s="124" customFormat="1" ht="16">
      <c r="A270" s="203"/>
      <c r="L270" s="123"/>
    </row>
    <row r="271" spans="1:12" s="124" customFormat="1" ht="55">
      <c r="A271" s="391" t="s">
        <v>2184</v>
      </c>
      <c r="B271" s="195" t="s">
        <v>2157</v>
      </c>
      <c r="C271" s="184">
        <v>2</v>
      </c>
      <c r="D271" s="184">
        <v>3</v>
      </c>
      <c r="E271" s="184">
        <v>4</v>
      </c>
      <c r="F271" s="184">
        <v>5</v>
      </c>
      <c r="G271" s="184">
        <v>6</v>
      </c>
      <c r="H271" s="184"/>
      <c r="I271" s="184">
        <v>7</v>
      </c>
      <c r="J271" s="184">
        <v>9</v>
      </c>
      <c r="K271" s="184"/>
      <c r="L271" s="184">
        <v>12</v>
      </c>
    </row>
    <row r="272" spans="1:12" s="124" customFormat="1" ht="16">
      <c r="A272" s="392"/>
      <c r="B272" s="151" t="s">
        <v>2130</v>
      </c>
      <c r="C272" s="152" t="s">
        <v>2080</v>
      </c>
      <c r="D272" s="152" t="s">
        <v>2080</v>
      </c>
      <c r="E272" s="152" t="s">
        <v>2128</v>
      </c>
      <c r="F272" s="152" t="s">
        <v>2128</v>
      </c>
      <c r="G272" s="152" t="s">
        <v>2128</v>
      </c>
      <c r="H272" s="152"/>
      <c r="I272" s="152" t="s">
        <v>2128</v>
      </c>
      <c r="J272" s="152" t="s">
        <v>2128</v>
      </c>
      <c r="K272" s="152"/>
      <c r="L272" s="152" t="s">
        <v>2128</v>
      </c>
    </row>
    <row r="273" spans="1:15" s="124" customFormat="1" ht="16">
      <c r="A273" s="392"/>
      <c r="B273" s="151" t="s">
        <v>2132</v>
      </c>
      <c r="C273" s="152">
        <v>2</v>
      </c>
      <c r="D273" s="152" t="s">
        <v>2133</v>
      </c>
      <c r="E273" s="152">
        <v>2</v>
      </c>
      <c r="F273" s="152" t="s">
        <v>2133</v>
      </c>
      <c r="G273" s="152" t="s">
        <v>2133</v>
      </c>
      <c r="H273" s="152"/>
      <c r="I273" s="152">
        <v>2</v>
      </c>
      <c r="J273" s="152">
        <v>2</v>
      </c>
      <c r="K273" s="152"/>
      <c r="L273" s="152" t="s">
        <v>2133</v>
      </c>
    </row>
    <row r="274" spans="1:15" s="124" customFormat="1" ht="16">
      <c r="A274" s="392"/>
      <c r="B274" s="151" t="s">
        <v>2135</v>
      </c>
      <c r="C274" s="152" t="s">
        <v>2136</v>
      </c>
      <c r="D274" s="152" t="s">
        <v>2136</v>
      </c>
      <c r="E274" s="152" t="s">
        <v>2136</v>
      </c>
      <c r="F274" s="152" t="s">
        <v>2136</v>
      </c>
      <c r="G274" s="152" t="s">
        <v>2136</v>
      </c>
      <c r="H274" s="152"/>
      <c r="I274" s="152" t="s">
        <v>2137</v>
      </c>
      <c r="J274" s="152" t="s">
        <v>2137</v>
      </c>
      <c r="K274" s="152"/>
      <c r="L274" s="152" t="s">
        <v>2137</v>
      </c>
    </row>
    <row r="275" spans="1:15" s="124" customFormat="1" ht="16">
      <c r="A275" s="392"/>
      <c r="B275" s="151" t="s">
        <v>2138</v>
      </c>
      <c r="C275" s="152" t="s">
        <v>2139</v>
      </c>
      <c r="D275" s="152" t="s">
        <v>2139</v>
      </c>
      <c r="E275" s="152" t="s">
        <v>2139</v>
      </c>
      <c r="F275" s="152" t="s">
        <v>2139</v>
      </c>
      <c r="G275" s="152" t="s">
        <v>2145</v>
      </c>
      <c r="H275" s="152"/>
      <c r="I275" s="152"/>
      <c r="J275" s="152"/>
      <c r="K275" s="152"/>
      <c r="L275" s="152"/>
    </row>
    <row r="276" spans="1:15" s="124" customFormat="1" ht="16">
      <c r="A276" s="392"/>
      <c r="B276" s="151" t="s">
        <v>2140</v>
      </c>
      <c r="C276" s="152"/>
      <c r="D276" s="152"/>
      <c r="E276" s="152"/>
      <c r="F276" s="152"/>
      <c r="G276" s="152"/>
      <c r="H276" s="152"/>
      <c r="I276" s="152" t="s">
        <v>2146</v>
      </c>
      <c r="J276" s="152" t="s">
        <v>2146</v>
      </c>
      <c r="K276" s="152"/>
      <c r="L276" s="152" t="s">
        <v>2141</v>
      </c>
    </row>
    <row r="277" spans="1:15" s="124" customFormat="1" ht="16">
      <c r="A277" s="393"/>
      <c r="B277" s="134" t="s">
        <v>2093</v>
      </c>
      <c r="C277" s="136"/>
      <c r="D277" s="136"/>
      <c r="E277" s="136"/>
      <c r="F277" s="136"/>
      <c r="G277" s="136"/>
      <c r="H277" s="136"/>
      <c r="I277" s="136" t="s">
        <v>2147</v>
      </c>
      <c r="J277" s="136" t="s">
        <v>2094</v>
      </c>
      <c r="K277" s="136"/>
      <c r="L277" s="136"/>
    </row>
    <row r="278" spans="1:15" s="124" customFormat="1" ht="16">
      <c r="C278" s="123"/>
      <c r="D278" s="123"/>
      <c r="E278" s="123"/>
      <c r="F278" s="123"/>
      <c r="G278" s="123"/>
      <c r="H278" s="123"/>
      <c r="I278" s="123"/>
      <c r="J278" s="123"/>
      <c r="K278" s="123"/>
      <c r="L278" s="123"/>
    </row>
    <row r="279" spans="1:15" s="124" customFormat="1" ht="74">
      <c r="A279" s="391" t="s">
        <v>2185</v>
      </c>
      <c r="B279" s="195" t="s">
        <v>2159</v>
      </c>
      <c r="C279" s="184">
        <v>2</v>
      </c>
      <c r="D279" s="184">
        <v>3</v>
      </c>
      <c r="E279" s="184">
        <v>4</v>
      </c>
      <c r="F279" s="184">
        <v>5</v>
      </c>
      <c r="G279" s="184">
        <v>6</v>
      </c>
      <c r="H279" s="184"/>
      <c r="I279" s="184">
        <v>7</v>
      </c>
      <c r="J279" s="184"/>
      <c r="K279" s="184"/>
      <c r="L279" s="184"/>
    </row>
    <row r="280" spans="1:15" s="124" customFormat="1" ht="16">
      <c r="A280" s="392"/>
      <c r="B280" s="151" t="s">
        <v>2130</v>
      </c>
      <c r="C280" s="152" t="s">
        <v>2080</v>
      </c>
      <c r="D280" s="152" t="s">
        <v>2080</v>
      </c>
      <c r="E280" s="152" t="s">
        <v>2127</v>
      </c>
      <c r="F280" s="152" t="s">
        <v>2127</v>
      </c>
      <c r="G280" s="152" t="s">
        <v>2126</v>
      </c>
      <c r="H280" s="152"/>
      <c r="I280" s="152" t="s">
        <v>2126</v>
      </c>
      <c r="J280" s="152"/>
      <c r="K280" s="152"/>
      <c r="L280" s="152"/>
    </row>
    <row r="281" spans="1:15" s="124" customFormat="1" ht="16">
      <c r="A281" s="392"/>
      <c r="B281" s="151" t="s">
        <v>2132</v>
      </c>
      <c r="C281" s="152">
        <v>2</v>
      </c>
      <c r="D281" s="152" t="s">
        <v>2133</v>
      </c>
      <c r="E281" s="152">
        <v>2</v>
      </c>
      <c r="F281" s="152" t="s">
        <v>2133</v>
      </c>
      <c r="G281" s="152">
        <v>2</v>
      </c>
      <c r="H281" s="152"/>
      <c r="I281" s="152" t="s">
        <v>2133</v>
      </c>
      <c r="J281" s="152"/>
      <c r="K281" s="152"/>
      <c r="L281" s="152"/>
    </row>
    <row r="282" spans="1:15" s="124" customFormat="1" ht="16">
      <c r="A282" s="392"/>
      <c r="B282" s="151" t="s">
        <v>2135</v>
      </c>
      <c r="C282" s="152"/>
      <c r="D282" s="152"/>
      <c r="E282" s="152"/>
      <c r="F282" s="152"/>
      <c r="G282" s="152"/>
      <c r="H282" s="152"/>
      <c r="I282" s="152"/>
      <c r="J282" s="152"/>
      <c r="K282" s="152"/>
      <c r="L282" s="152"/>
    </row>
    <row r="283" spans="1:15" s="124" customFormat="1" ht="16">
      <c r="A283" s="392"/>
      <c r="B283" s="151" t="s">
        <v>2138</v>
      </c>
      <c r="C283" s="152"/>
      <c r="D283" s="152"/>
      <c r="E283" s="152"/>
      <c r="F283" s="152"/>
      <c r="G283" s="152"/>
      <c r="H283" s="152"/>
      <c r="I283" s="152"/>
      <c r="J283" s="152"/>
      <c r="K283" s="152"/>
      <c r="L283" s="152"/>
    </row>
    <row r="284" spans="1:15" s="124" customFormat="1" ht="16">
      <c r="A284" s="392"/>
      <c r="B284" s="151" t="s">
        <v>2140</v>
      </c>
      <c r="C284" s="152"/>
      <c r="D284" s="152"/>
      <c r="E284" s="152"/>
      <c r="F284" s="152"/>
      <c r="G284" s="152"/>
      <c r="H284" s="152"/>
      <c r="I284" s="152"/>
      <c r="J284" s="152"/>
      <c r="K284" s="152"/>
      <c r="L284" s="152"/>
    </row>
    <row r="285" spans="1:15" s="124" customFormat="1" ht="16">
      <c r="A285" s="393"/>
      <c r="B285" s="134" t="s">
        <v>2093</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2025-05-20T17:24:55Z</dcterms:modified>
</cp:coreProperties>
</file>