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84E85B90-8D45-AB41-B6C8-F875AEB54EFA}"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11" i="6" l="1"/>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N1" i="13" l="1"/>
  <c r="O103" i="12"/>
  <c r="A134" i="12"/>
  <c r="AO429" i="12"/>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A170" i="12" l="1"/>
  <c r="A169" i="12"/>
  <c r="A168" i="12"/>
  <c r="A167" i="12"/>
  <c r="A166" i="12"/>
  <c r="A163" i="12"/>
  <c r="O120" i="13"/>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C1" i="12" l="1"/>
  <c r="P1" i="13"/>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42" i="13" a="1"/>
  <c r="Z551" i="13" a="1"/>
  <c r="Z575" i="13" a="1"/>
  <c r="Z519" i="13" a="1"/>
  <c r="Z581" i="13" a="1"/>
  <c r="Z525" i="13" a="1"/>
  <c r="Z572" i="13" a="1"/>
  <c r="Z570" i="13" a="1"/>
  <c r="Z573" i="13" a="1"/>
  <c r="Z548" i="13" a="1"/>
  <c r="Z598" i="13" a="1"/>
  <c r="Z552" i="13" a="1"/>
  <c r="Z593" i="13" a="1"/>
  <c r="Z596" i="13" a="1"/>
  <c r="Z584" i="13" a="1"/>
  <c r="Z538" i="13" a="1"/>
  <c r="Z599" i="13" a="1"/>
  <c r="Z565" i="13" a="1"/>
  <c r="Z555" i="13" a="1"/>
  <c r="Z571" i="13" a="1"/>
  <c r="Z523" i="13" a="1"/>
  <c r="Z536" i="13" a="1"/>
  <c r="Z540" i="13" a="1"/>
  <c r="Z521" i="13" a="1"/>
  <c r="Z576" i="13" a="1"/>
  <c r="Z533" i="13" a="1"/>
  <c r="Z546" i="13" a="1"/>
  <c r="Z580" i="13" a="1"/>
  <c r="Z582" i="13" a="1"/>
  <c r="Z534" i="13" a="1"/>
  <c r="Z518" i="13" a="1"/>
  <c r="Z568" i="13" a="1"/>
  <c r="Z564" i="13" a="1"/>
  <c r="Z550" i="13" a="1"/>
  <c r="Z544" i="13" a="1"/>
  <c r="Z578" i="13" a="1"/>
  <c r="Z589" i="13" a="1"/>
  <c r="Z553" i="13" a="1"/>
  <c r="Z524" i="13" a="1"/>
  <c r="Z556" i="13" a="1"/>
  <c r="Z541" i="13" a="1"/>
  <c r="Z588" i="13" a="1"/>
  <c r="Z531" i="13" a="1"/>
  <c r="Z527" i="13" a="1"/>
  <c r="Z587" i="13" a="1"/>
  <c r="Z547" i="13" a="1"/>
  <c r="Z566" i="13" a="1"/>
  <c r="Z558" i="13" a="1"/>
  <c r="Z554" i="13" a="1"/>
  <c r="Z579" i="13" a="1"/>
  <c r="Z591" i="13" a="1"/>
  <c r="Z595" i="13" a="1"/>
  <c r="Z545" i="13" a="1"/>
  <c r="Z594" i="13" a="1"/>
  <c r="Z549" i="13" a="1"/>
  <c r="Z526" i="13" a="1"/>
  <c r="Z583" i="13" a="1"/>
  <c r="Z600" i="13" a="1"/>
  <c r="Z557" i="13" a="1"/>
  <c r="Z574" i="13" a="1"/>
  <c r="Z586" i="13" a="1"/>
  <c r="Z592" i="13" a="1"/>
  <c r="Z563" i="13" a="1"/>
  <c r="Z559" i="13" a="1"/>
  <c r="Z520" i="13" a="1"/>
  <c r="Z577" i="13" a="1"/>
  <c r="Z517" i="13" a="1"/>
  <c r="Z597" i="13" a="1"/>
  <c r="Z537" i="13" a="1"/>
  <c r="Z585" i="13" a="1"/>
  <c r="Z560" i="13" a="1"/>
  <c r="Z601" i="13" a="1"/>
  <c r="Z529" i="13" a="1"/>
  <c r="Z535" i="13" a="1"/>
  <c r="Z528" i="13" a="1"/>
  <c r="Z590" i="13" a="1"/>
  <c r="Z543" i="13" a="1"/>
  <c r="Z569" i="13" a="1"/>
  <c r="Z530" i="13" a="1"/>
  <c r="Z532" i="13" a="1"/>
  <c r="Z562" i="13" a="1"/>
  <c r="Z522" i="13" a="1"/>
  <c r="Z561" i="13" a="1"/>
  <c r="Z539" i="13" a="1"/>
  <c r="Z567"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52" i="12" l="1"/>
  <c r="L513" i="12"/>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J552" i="12" l="1"/>
  <c r="E400" i="12"/>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149" i="12"/>
  <c r="O149" i="12"/>
  <c r="J29" i="20"/>
  <c r="J100" i="20" s="1"/>
  <c r="J76" i="20" a="1"/>
  <c r="J76" i="20" s="1"/>
  <c r="J77" i="20" a="1"/>
  <c r="J77" i="20" s="1"/>
  <c r="D76" i="20" a="1"/>
  <c r="D76" i="20" s="1"/>
  <c r="D35" i="20"/>
  <c r="D80" i="20" a="1"/>
  <c r="D80" i="20" s="1"/>
  <c r="D29" i="20"/>
  <c r="D100" i="20" s="1"/>
  <c r="D77" i="20" a="1"/>
  <c r="D77" i="20" s="1"/>
  <c r="AO482" i="12" l="1"/>
  <c r="AO484" i="12"/>
  <c r="AO481" i="12"/>
  <c r="AO479" i="12"/>
  <c r="AO478" i="12"/>
  <c r="AO466" i="12"/>
  <c r="J80" i="20" a="1"/>
  <c r="J80" i="20" s="1"/>
  <c r="AO475" i="12"/>
  <c r="AO477" i="12"/>
  <c r="J35" i="20"/>
  <c r="O151" i="12"/>
  <c r="AO472" i="12"/>
  <c r="AO474" i="12"/>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O170" i="12"/>
  <c r="O168" i="12"/>
  <c r="O169" i="12"/>
  <c r="O167" i="12"/>
  <c r="O166" i="12"/>
  <c r="A165" i="12"/>
  <c r="O165" i="12" s="1"/>
  <c r="O163" i="12"/>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06" i="13" a="1"/>
  <c r="Z512" i="13" a="1"/>
  <c r="Z510" i="13" a="1"/>
  <c r="Z505" i="13" a="1"/>
  <c r="Z514" i="13" a="1"/>
  <c r="Z504" i="13" a="1"/>
  <c r="Z508" i="13" a="1"/>
  <c r="Z516" i="13" a="1"/>
  <c r="Z503" i="13" a="1"/>
  <c r="Z515" i="13" a="1"/>
  <c r="Z513" i="13" a="1"/>
  <c r="Z511" i="13" a="1"/>
  <c r="Z507" i="13" a="1"/>
  <c r="Z509" i="13" a="1"/>
  <c r="Z502"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FF490" i="13" l="1"/>
  <c r="HF490" i="13"/>
  <c r="EN478" i="13"/>
  <c r="EN477" i="13"/>
  <c r="IK477" i="13" s="1" a="1"/>
  <c r="IK477" i="13" s="1"/>
  <c r="EE491" i="13"/>
  <c r="EE490" i="13"/>
  <c r="EE478" i="13"/>
  <c r="EE489" i="13"/>
  <c r="EE479" i="13"/>
  <c r="EE483" i="13"/>
  <c r="EE484" i="13"/>
  <c r="IK485" i="13" a="1"/>
  <c r="IK485" i="13" s="1"/>
  <c r="IK483" i="13" a="1"/>
  <c r="IK483" i="13" s="1"/>
  <c r="IK489" i="13" a="1"/>
  <c r="IK489" i="13" s="1"/>
  <c r="IK484" i="13" a="1"/>
  <c r="IK484" i="13" s="1"/>
  <c r="IK478" i="13" a="1"/>
  <c r="IK478" i="13" s="1"/>
  <c r="IK479" i="13" a="1"/>
  <c r="IK479" i="13" s="1"/>
  <c r="IK490" i="13" a="1"/>
  <c r="IK490" i="13" s="1"/>
  <c r="EE474" i="13" l="1"/>
  <c r="EG474" i="13"/>
  <c r="IK474" i="13"/>
  <c r="EF474" i="13" l="1"/>
  <c r="EH474" i="13" s="1"/>
  <c r="IL484" i="13"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l="1"/>
  <c r="IM479" i="13"/>
  <c r="IM485" i="13"/>
  <c r="IM490" i="13"/>
  <c r="IM489" i="13"/>
  <c r="IM477" i="13"/>
  <c r="IM483" i="13"/>
  <c r="IM491" i="13"/>
  <c r="IM478" i="13"/>
  <c r="IM474" i="13" l="1"/>
  <c r="IO474" i="13"/>
  <c r="L1" i="12" l="1"/>
  <c r="A494" i="12" s="1"/>
  <c r="A337" i="12"/>
  <c r="A335" i="12"/>
  <c r="A336" i="12"/>
  <c r="E23" i="20"/>
  <c r="AC493" i="13" s="1"/>
  <c r="IN474" i="13"/>
  <c r="IP474" i="13" s="1"/>
  <c r="A263" i="12" s="1"/>
  <c r="A270" i="12" l="1"/>
  <c r="N1" i="12"/>
  <c r="AD493" i="13"/>
  <c r="A281" i="12"/>
  <c r="AO281" i="12" s="1"/>
  <c r="A260" i="12"/>
  <c r="A274" i="12"/>
  <c r="A261" i="12"/>
  <c r="A277" i="12"/>
  <c r="A265" i="12"/>
  <c r="A279"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A366" i="12" l="1"/>
  <c r="G88" i="20"/>
  <c r="G91" i="20" s="1"/>
  <c r="G92" i="20" s="1"/>
  <c r="G104" i="20"/>
  <c r="G97" i="20"/>
  <c r="H88" i="20"/>
  <c r="H91" i="20" s="1"/>
  <c r="H92" i="20" s="1"/>
  <c r="H104" i="20"/>
  <c r="H97" i="20"/>
  <c r="F88" i="20"/>
  <c r="F91" i="20" s="1"/>
  <c r="F92" i="20" s="1"/>
  <c r="F104" i="20"/>
  <c r="A367" i="12" s="1"/>
  <c r="F97" i="20"/>
  <c r="A369" i="12" l="1"/>
  <c r="AO369" i="12" s="1"/>
  <c r="C2" i="12"/>
  <c r="A368" i="12"/>
  <c r="A396" i="12" s="1"/>
  <c r="A540" i="12" s="1"/>
  <c r="O367" i="12"/>
  <c r="AO367" i="12"/>
  <c r="AO366" i="12"/>
  <c r="O366" i="12"/>
  <c r="O369" i="12" l="1"/>
  <c r="AO540" i="12"/>
  <c r="O540" i="12"/>
  <c r="H540" i="12"/>
  <c r="I540" i="12"/>
  <c r="O396" i="12"/>
  <c r="AO396" i="12"/>
  <c r="AO368" i="12"/>
  <c r="O368" i="12"/>
  <c r="A2" i="12" a="1"/>
  <c r="A2" i="12" s="1"/>
  <c r="F540"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<sst xmlns="http://schemas.openxmlformats.org/spreadsheetml/2006/main" count="5558" uniqueCount="2840">
  <si>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</si>
  <si>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</si>
  <si>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</si>
  <si>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</si>
  <si>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</si>
  <si>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</si>
  <si>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</si>
  <si>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</si>
  <si>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</si>
  <si>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</si>
  <si>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</si>
  <si>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</si>
  <si>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</si>
  <si>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</si>
  <si>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</si>
  <si>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</si>
  <si>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</si>
  <si>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</si>
  <si>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</si>
  <si>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</si>
  <si>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</si>
  <si>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</si>
  <si>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</si>
  <si>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</si>
  <si>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</si>
  <si>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</si>
  <si>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</si>
  <si>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</si>
  <si>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</si>
  <si>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</si>
  <si>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</si>
  <si>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</si>
  <si>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</si>
  <si>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</si>
  <si>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</si>
  <si>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</si>
  <si>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</si>
  <si>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</si>
  <si>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</si>
  <si>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</si>
  <si>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</si>
  <si>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</si>
  <si>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</si>
  <si>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</si>
  <si>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</si>
  <si>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</si>
  <si>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</si>
  <si>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</si>
  <si>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</si>
  <si>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</si>
  <si>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</si>
  <si>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</si>
  <si>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</si>
  <si>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</si>
  <si>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</si>
  <si>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</si>
  <si>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</si>
  <si>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</si>
  <si>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</si>
  <si>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</si>
  <si>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</si>
  <si>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</si>
  <si>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</si>
  <si>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</si>
  <si>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</si>
  <si>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</si>
  <si>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</si>
  <si>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</si>
  <si>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</si>
  <si>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</si>
  <si>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</si>
  <si>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</si>
  <si>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</si>
  <si>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</si>
  <si>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</si>
  <si>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</si>
  <si>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</si>
  <si>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</si>
  <si>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</si>
  <si>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</si>
  <si>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</si>
  <si>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</si>
  <si>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</si>
  <si>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</si>
  <si>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</si>
  <si>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</si>
  <si>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</si>
  <si>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</si>
  <si>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</si>
  <si>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</si>
  <si>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</si>
  <si>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</si>
  <si>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</si>
  <si>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</si>
  <si>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</si>
  <si>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</si>
  <si>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</si>
  <si>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</si>
  <si>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</si>
  <si>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</si>
  <si>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</si>
  <si>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</si>
  <si>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</si>
  <si>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</si>
  <si>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</si>
  <si>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</si>
  <si>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</si>
  <si>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</si>
  <si>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</si>
  <si>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</si>
  <si>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</si>
  <si>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</si>
  <si>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</si>
  <si>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</si>
  <si>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</si>
  <si>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</si>
  <si>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</si>
  <si>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</si>
  <si>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</si>
  <si>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</si>
  <si>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</si>
  <si>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</si>
  <si>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</si>
  <si>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</si>
  <si>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</si>
  <si>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</si>
  <si>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</si>
  <si>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</si>
  <si>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</si>
  <si>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</si>
  <si>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</si>
  <si>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</si>
  <si>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</si>
  <si>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</si>
  <si>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</si>
  <si>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</si>
  <si>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</si>
  <si>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</si>
  <si>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</si>
  <si>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</si>
  <si>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</si>
  <si>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</si>
  <si>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</si>
  <si>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</si>
  <si>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</si>
  <si>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</si>
  <si>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</si>
  <si>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</si>
  <si>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</si>
  <si>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</si>
  <si>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</si>
  <si>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</si>
  <si>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</si>
  <si>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</si>
  <si>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</si>
  <si>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</si>
  <si>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</si>
  <si>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</si>
  <si>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</si>
  <si>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</si>
  <si>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</si>
  <si>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</si>
  <si>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</si>
  <si>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</si>
  <si>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</si>
  <si>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</si>
  <si>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</si>
  <si>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</si>
  <si>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</si>
  <si>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</si>
  <si>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</si>
  <si>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</si>
  <si>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</si>
  <si>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</si>
  <si>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</si>
  <si>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</si>
  <si>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</si>
  <si>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</si>
  <si>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</si>
  <si>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</si>
  <si>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</si>
  <si>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</si>
  <si>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</si>
  <si>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</si>
  <si>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</si>
  <si>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</si>
  <si>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</si>
  <si>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</si>
  <si>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</si>
  <si>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</si>
  <si>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</si>
  <si>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</si>
  <si>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</si>
  <si>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</si>
  <si>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</si>
  <si>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</si>
  <si>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</si>
  <si>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</si>
  <si>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</si>
  <si>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</si>
  <si>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</si>
  <si>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</si>
  <si>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</si>
  <si>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</si>
  <si>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</si>
  <si>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</si>
  <si>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</si>
  <si>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</si>
  <si>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</si>
  <si>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</si>
  <si>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</si>
  <si>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</si>
  <si>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</si>
  <si>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</si>
  <si>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</si>
  <si>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</si>
  <si>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</si>
  <si>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</si>
  <si>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</si>
  <si>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</si>
  <si>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</si>
  <si>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</si>
  <si>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</si>
  <si>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</si>
  <si>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</si>
  <si>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</si>
  <si>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</si>
  <si>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</si>
  <si>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</si>
  <si>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</si>
  <si>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</si>
  <si>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</si>
  <si>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</si>
  <si>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</si>
  <si>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</si>
  <si>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</si>
  <si>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</si>
  <si>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</si>
  <si>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</si>
  <si>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</si>
  <si>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</si>
  <si>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</si>
  <si>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</si>
  <si>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</si>
  <si>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</si>
  <si>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</si>
  <si>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</si>
  <si>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</si>
  <si>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</si>
  <si>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</si>
  <si>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</si>
  <si>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</si>
  <si>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</si>
  <si>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</si>
  <si>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</si>
  <si>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</si>
  <si>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</si>
  <si>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</si>
  <si>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</si>
  <si>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</si>
  <si>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</si>
  <si>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</si>
  <si>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</si>
  <si>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</si>
  <si>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</si>
  <si>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</si>
  <si>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</si>
  <si>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</si>
  <si>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</si>
  <si>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</si>
  <si>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</si>
  <si>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</si>
  <si>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</si>
  <si>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</si>
  <si>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</si>
  <si>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</si>
  <si>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</si>
  <si>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</si>
  <si>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</si>
  <si>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</si>
  <si>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</si>
  <si>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</si>
  <si>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</si>
  <si>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</si>
  <si>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</si>
  <si>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</si>
  <si>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</si>
  <si>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</si>
  <si>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</si>
  <si>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</si>
  <si>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</si>
  <si>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</si>
  <si>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</si>
  <si>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</si>
  <si>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</si>
  <si>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</si>
  <si>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</si>
  <si>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</si>
  <si>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</si>
  <si>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</si>
  <si>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</si>
  <si>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</si>
  <si>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</si>
  <si>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</si>
  <si>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</si>
  <si>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</si>
  <si>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</si>
  <si>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</si>
  <si>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</si>
  <si>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</si>
  <si>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</si>
  <si>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</si>
  <si>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</si>
  <si>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</si>
  <si>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</si>
  <si>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</si>
  <si>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</si>
  <si>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</si>
  <si>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</si>
  <si>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</si>
  <si>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</si>
  <si>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</si>
  <si>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</si>
  <si>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</si>
  <si>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</si>
  <si>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</si>
  <si>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</si>
  <si>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</si>
  <si>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</si>
  <si>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</si>
  <si>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</si>
  <si>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</si>
  <si>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</si>
  <si>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</si>
  <si>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</si>
  <si>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</si>
  <si>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</si>
  <si>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</si>
  <si>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</si>
  <si>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</si>
  <si>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</si>
  <si>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</si>
  <si>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</si>
  <si>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</si>
  <si>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</si>
  <si>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</si>
  <si>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</si>
  <si>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</si>
  <si>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</si>
  <si>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</si>
  <si>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</si>
  <si>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</si>
  <si>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</si>
  <si>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</si>
  <si>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</si>
  <si>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</si>
  <si>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</si>
  <si>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</si>
  <si>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</si>
  <si>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</si>
  <si>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</si>
  <si>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</si>
  <si>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</si>
  <si>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</si>
  <si>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</si>
  <si>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</si>
  <si>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</si>
  <si>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</si>
  <si>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</si>
  <si>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</si>
  <si>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</si>
  <si>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</si>
  <si>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</si>
  <si>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</si>
  <si>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</si>
  <si>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</si>
  <si>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</si>
  <si>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</si>
  <si>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</si>
  <si>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</si>
  <si>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</si>
  <si>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</si>
  <si>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</si>
  <si>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</si>
  <si>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</si>
  <si>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</si>
  <si>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</si>
  <si>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</si>
  <si>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</si>
  <si>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</si>
  <si>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</si>
  <si>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</si>
  <si>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</si>
  <si>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</si>
  <si>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</si>
  <si>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</si>
  <si>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</si>
  <si>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</si>
  <si>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</si>
  <si>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</si>
  <si>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</si>
  <si>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</si>
  <si>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</si>
  <si>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</si>
  <si>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</si>
  <si>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</si>
  <si>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</si>
  <si>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</si>
  <si>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</si>
  <si>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</si>
  <si>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</si>
  <si>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</si>
  <si>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</si>
  <si>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</si>
  <si>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</si>
  <si>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</si>
  <si>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</si>
  <si>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</si>
  <si>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</si>
  <si>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</si>
  <si>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</si>
  <si>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</si>
  <si>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</si>
  <si>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</si>
  <si>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</si>
  <si>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</si>
  <si>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</si>
  <si>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</si>
  <si>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</si>
  <si>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</si>
  <si>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</si>
  <si>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</si>
  <si>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</si>
  <si>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</si>
  <si>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</si>
  <si>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</si>
  <si>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</si>
  <si>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</si>
  <si>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</si>
  <si>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</si>
  <si>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</si>
  <si>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</si>
  <si>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</si>
  <si>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</si>
  <si>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</si>
  <si>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</si>
  <si>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</si>
  <si>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</si>
  <si>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</si>
  <si>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</si>
  <si>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</si>
  <si>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</si>
  <si>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</si>
  <si>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</si>
  <si>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</si>
  <si>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</si>
  <si>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</si>
  <si>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</si>
  <si>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</si>
  <si>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</si>
  <si>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</si>
  <si>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</si>
  <si>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</si>
  <si>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</si>
  <si>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</si>
  <si>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</si>
  <si>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</si>
  <si>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</si>
  <si>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</si>
  <si>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</si>
  <si>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</si>
  <si>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</si>
  <si>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</si>
  <si>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</si>
  <si>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</si>
  <si>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</si>
  <si>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</si>
  <si>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</si>
  <si>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</si>
  <si>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</si>
  <si>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</si>
  <si>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</si>
  <si>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</si>
  <si>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</si>
  <si>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</si>
  <si>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</si>
  <si>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</si>
  <si>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</si>
  <si>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</si>
  <si>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</si>
  <si>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</si>
  <si>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</si>
  <si>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</si>
  <si>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</si>
  <si>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</si>
  <si>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</si>
  <si>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</si>
  <si>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</si>
  <si>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</si>
  <si>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</si>
  <si>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</si>
  <si>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</si>
  <si>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</si>
  <si>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</si>
  <si>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</si>
  <si>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</si>
  <si>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</si>
  <si>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</si>
  <si>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</si>
  <si>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</si>
  <si>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</si>
  <si>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</si>
  <si>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</si>
  <si>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</si>
  <si>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</si>
  <si>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</si>
  <si>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</si>
  <si>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</si>
  <si>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</si>
  <si>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</si>
  <si>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</si>
  <si>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</si>
  <si>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</si>
  <si>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</si>
  <si>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</si>
  <si>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</si>
  <si>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</si>
  <si>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</si>
  <si>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</si>
  <si>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</si>
  <si>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</si>
  <si>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</si>
  <si>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</si>
  <si>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</si>
  <si>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</si>
  <si>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</si>
  <si>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</si>
  <si>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</si>
  <si>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</si>
  <si>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</si>
  <si>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</si>
  <si>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</si>
  <si>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</si>
  <si>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</si>
  <si>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</si>
  <si>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</si>
  <si>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</si>
  <si>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</si>
  <si>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</si>
  <si>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</si>
  <si>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</si>
  <si>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</si>
  <si>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</si>
  <si>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</si>
  <si>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</si>
  <si>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</si>
  <si>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</si>
  <si>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</si>
  <si>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</si>
  <si>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</si>
  <si>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</si>
  <si>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</si>
  <si>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</si>
  <si>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</si>
  <si>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</si>
  <si>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</si>
  <si>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</si>
  <si>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</si>
  <si>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</si>
  <si>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</si>
  <si>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</si>
  <si>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</si>
  <si>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</si>
  <si>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</si>
  <si>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</si>
  <si>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</si>
  <si>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</si>
  <si>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</si>
  <si>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</si>
  <si>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</si>
  <si>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</si>
  <si>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</si>
  <si>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</si>
  <si>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</si>
  <si>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</si>
  <si>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</si>
  <si>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</si>
  <si>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</si>
  <si>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</si>
  <si>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</si>
  <si>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</si>
  <si>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</si>
  <si>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</si>
  <si>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</si>
  <si>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</si>
  <si>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</si>
  <si>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</si>
  <si>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</si>
  <si>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</si>
  <si>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</si>
  <si>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</si>
  <si>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</si>
  <si>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</si>
  <si>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</si>
  <si>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</si>
  <si>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</si>
  <si>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</si>
  <si>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</si>
  <si>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</si>
  <si>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</si>
  <si>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</si>
  <si>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</si>
  <si>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</si>
  <si>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</si>
  <si>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</si>
  <si>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</si>
  <si>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</si>
  <si>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</si>
  <si>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</si>
  <si>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</si>
  <si>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</si>
  <si>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</si>
  <si>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</si>
  <si>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</si>
  <si>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</si>
  <si>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</si>
  <si>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</si>
  <si>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</si>
  <si>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</si>
  <si>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</si>
  <si>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</si>
  <si>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</si>
  <si>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</si>
  <si>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</si>
  <si>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</si>
  <si>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</si>
  <si>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</si>
  <si>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</si>
  <si>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</si>
  <si>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</si>
  <si>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</si>
  <si>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</si>
  <si>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</si>
  <si>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</si>
  <si>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</si>
  <si>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</si>
  <si>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</si>
  <si>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</si>
  <si>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</si>
  <si>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</si>
  <si>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</si>
  <si>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</si>
  <si>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</si>
  <si>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</si>
  <si>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</si>
  <si>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</si>
  <si>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</si>
  <si>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</si>
  <si>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</si>
  <si>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</si>
  <si>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</si>
  <si>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</si>
  <si>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</si>
  <si>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</si>
  <si>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</si>
  <si>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</si>
  <si>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</si>
  <si>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</si>
  <si>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</si>
  <si>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</si>
  <si>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</si>
  <si>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</si>
  <si>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</si>
  <si>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</si>
  <si>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</si>
  <si>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</si>
  <si>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</si>
  <si>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</si>
  <si>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</si>
  <si>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</si>
  <si>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</si>
  <si>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</si>
  <si>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</si>
  <si>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</si>
  <si>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</si>
  <si>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</si>
  <si>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</si>
  <si>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</si>
  <si>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</si>
  <si>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</si>
  <si>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</si>
  <si>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</si>
  <si>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</si>
  <si>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</si>
  <si>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</si>
  <si>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</si>
  <si>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</si>
  <si>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</si>
  <si>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</si>
  <si>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</si>
  <si>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</si>
  <si>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</si>
  <si>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</si>
  <si>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</si>
  <si>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</si>
  <si>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</si>
  <si>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</si>
  <si>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</si>
  <si>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</si>
  <si>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</si>
  <si>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</si>
  <si>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</si>
  <si>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</si>
  <si>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</si>
  <si>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</si>
  <si>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</si>
  <si>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</si>
  <si>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</si>
  <si>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</si>
  <si>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</si>
  <si>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</si>
  <si>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</si>
  <si>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</si>
  <si>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</si>
  <si>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</si>
  <si>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</si>
  <si>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</si>
  <si>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</si>
  <si>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</si>
  <si>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</si>
  <si>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</si>
  <si>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</si>
  <si>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</si>
  <si>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</si>
  <si>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</si>
  <si>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</si>
  <si>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</si>
  <si>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</si>
  <si>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</si>
  <si>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</si>
  <si>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</si>
  <si>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</si>
  <si>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</si>
  <si>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</si>
  <si>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</si>
  <si>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</si>
  <si>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</si>
  <si>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</si>
  <si>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</si>
  <si>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</si>
  <si>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</si>
  <si>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</si>
  <si>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</si>
  <si>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</si>
  <si>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</si>
  <si>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</si>
  <si>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</si>
  <si>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</si>
  <si>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</si>
  <si>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</si>
  <si>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</si>
  <si>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</si>
  <si>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</si>
  <si>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</si>
  <si>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</si>
  <si>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</si>
  <si>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</si>
  <si>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</si>
  <si>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</si>
  <si>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</si>
  <si>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</si>
  <si>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</si>
  <si>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</si>
  <si>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</si>
  <si>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</si>
  <si>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</si>
  <si>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</si>
  <si>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</si>
  <si>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</si>
  <si>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</si>
  <si>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</si>
  <si>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</si>
  <si>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</si>
  <si>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</si>
  <si>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</si>
  <si>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</si>
  <si>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</si>
  <si>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</si>
  <si>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</si>
  <si>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</si>
  <si>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</si>
  <si>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</si>
  <si>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</si>
  <si>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</si>
  <si>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</si>
  <si>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</si>
  <si>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</si>
  <si>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</si>
  <si>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</si>
  <si>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</si>
  <si>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</si>
  <si>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</si>
  <si>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</si>
  <si>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</si>
  <si>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</si>
  <si>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</si>
  <si>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</si>
  <si>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</si>
  <si>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</si>
  <si>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</si>
  <si>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</si>
  <si>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</si>
  <si>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</si>
  <si>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</si>
  <si>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</si>
  <si>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</si>
  <si>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</si>
  <si>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</si>
  <si>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</si>
  <si>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</si>
  <si>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</si>
  <si>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</si>
  <si>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</si>
  <si>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</si>
  <si>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</si>
  <si>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</si>
  <si>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</si>
  <si>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</si>
  <si>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</si>
  <si>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</si>
  <si>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</si>
  <si>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</si>
  <si>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</si>
  <si>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</si>
  <si>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</si>
  <si>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</si>
  <si>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</si>
  <si>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</si>
  <si>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</si>
  <si>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</si>
  <si>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</si>
  <si>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</si>
  <si>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</si>
  <si>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</si>
  <si>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</si>
  <si>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</si>
  <si>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</si>
  <si>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</si>
  <si>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</si>
  <si>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</si>
  <si>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</si>
  <si>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</si>
  <si>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</si>
  <si>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</si>
  <si>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</si>
  <si>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</si>
  <si>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</si>
  <si>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</si>
  <si>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</si>
  <si>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</si>
  <si>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</si>
  <si>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</si>
  <si>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</si>
  <si>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</si>
  <si>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</si>
  <si>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</si>
  <si>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</si>
  <si>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</si>
  <si>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</si>
  <si>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</si>
  <si>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</si>
  <si>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</si>
  <si>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</si>
  <si>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</si>
  <si>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</si>
  <si>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</si>
  <si>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</si>
  <si>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</si>
  <si>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</si>
  <si>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</si>
  <si>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</si>
  <si>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</si>
  <si>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</si>
  <si>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</si>
  <si>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</si>
  <si>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</si>
  <si>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</si>
  <si>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</si>
  <si>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</si>
  <si>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</si>
  <si>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</si>
  <si>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</si>
  <si>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</si>
  <si>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</si>
  <si>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</si>
  <si>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</si>
  <si>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</si>
  <si>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</si>
  <si>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</si>
  <si>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</si>
  <si>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</si>
  <si>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</si>
  <si>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</si>
  <si>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</si>
  <si>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</si>
  <si>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</si>
  <si>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</si>
  <si>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</si>
  <si>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</si>
  <si>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</si>
  <si>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</si>
  <si>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</si>
  <si>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</si>
  <si>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</si>
  <si>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</si>
  <si>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</si>
  <si>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</si>
  <si>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</si>
  <si>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</si>
  <si>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</si>
  <si>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</si>
  <si>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</si>
  <si>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</si>
  <si>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</si>
  <si>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</si>
  <si>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</si>
  <si>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</si>
  <si>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</si>
  <si>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</si>
  <si>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</si>
  <si>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</si>
  <si>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</si>
  <si>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</si>
  <si>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</si>
  <si>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</si>
  <si>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</si>
  <si>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</si>
  <si>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</si>
  <si>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</si>
  <si>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</si>
  <si>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</si>
  <si>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</si>
  <si>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</si>
  <si>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</si>
  <si>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</si>
  <si>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</si>
  <si>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</si>
  <si>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</si>
  <si>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</si>
  <si>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</si>
  <si>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</si>
  <si>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</si>
  <si>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</si>
  <si>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</si>
  <si>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</si>
  <si>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</si>
  <si>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</si>
  <si>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</si>
  <si>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</si>
  <si>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</si>
  <si>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</si>
  <si>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</si>
  <si>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</si>
  <si>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</si>
  <si>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</si>
  <si>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</si>
  <si>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</si>
  <si>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</si>
  <si>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</si>
  <si>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</si>
  <si>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</si>
  <si>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</si>
  <si>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</si>
  <si>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</si>
  <si>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</si>
  <si>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</si>
  <si>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</si>
  <si>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</si>
  <si>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</si>
  <si>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</si>
  <si>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</si>
  <si>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</si>
  <si>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</si>
  <si>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</si>
  <si>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</si>
  <si>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</si>
  <si>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</si>
  <si>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</si>
  <si>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</si>
  <si>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</si>
  <si>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</si>
  <si>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</si>
  <si>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</si>
  <si>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</si>
  <si>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</si>
  <si>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</si>
  <si>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</si>
  <si>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</si>
  <si>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</si>
  <si>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</si>
  <si>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</si>
  <si>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</si>
  <si>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</si>
  <si>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</si>
  <si>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</si>
  <si>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</si>
  <si>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</si>
  <si>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</si>
  <si>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</si>
  <si>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</si>
  <si>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</si>
  <si>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</si>
  <si>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</si>
  <si>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</si>
  <si>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</si>
  <si>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</si>
  <si>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</si>
  <si>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</si>
  <si>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</si>
  <si>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</si>
  <si>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</si>
  <si>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</si>
  <si>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</si>
  <si>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</si>
  <si>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</si>
  <si>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</si>
  <si>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</si>
  <si>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</si>
  <si>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</si>
  <si>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</si>
  <si>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</si>
  <si>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</si>
  <si>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</si>
  <si>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</si>
  <si>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</si>
  <si>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</si>
  <si>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</si>
  <si>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</si>
  <si>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</si>
  <si>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</si>
  <si>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</si>
  <si>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</si>
  <si>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</si>
  <si>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</si>
  <si>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</si>
  <si>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</si>
  <si>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</si>
  <si>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</si>
  <si>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</si>
  <si>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</si>
  <si>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</si>
  <si>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</si>
  <si>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</si>
  <si>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</si>
  <si>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</si>
  <si>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</si>
  <si>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</si>
  <si>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</si>
  <si>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</si>
  <si>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</si>
  <si>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</si>
  <si>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</si>
  <si>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</si>
  <si>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</si>
  <si>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</si>
  <si>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</si>
  <si>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</si>
  <si>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</si>
  <si>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</si>
  <si>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</si>
  <si>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</si>
  <si>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</si>
  <si>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</si>
  <si>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</si>
  <si>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</si>
  <si>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</si>
  <si>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</si>
  <si>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</si>
  <si>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</si>
  <si>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</si>
  <si>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</si>
  <si>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</si>
  <si>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</si>
  <si>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</si>
  <si>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</si>
  <si>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</si>
  <si>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</si>
  <si>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</si>
  <si>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</si>
  <si>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</si>
  <si>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</si>
  <si>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</si>
  <si>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</si>
  <si>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</si>
  <si>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</si>
  <si>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</si>
  <si>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</si>
  <si>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</si>
  <si>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</si>
  <si>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</si>
  <si>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</si>
  <si>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</si>
  <si>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</si>
  <si>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</si>
  <si>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</si>
  <si>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</si>
  <si>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</si>
  <si>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</si>
  <si>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</si>
  <si>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</si>
  <si>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</si>
  <si>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</si>
  <si>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</si>
  <si>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</si>
  <si>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</si>
  <si>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</si>
  <si>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</si>
  <si>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</si>
  <si>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</si>
  <si>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</si>
  <si>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</si>
  <si>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</si>
  <si>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</si>
  <si>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</si>
  <si>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</si>
  <si>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</si>
  <si>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</si>
  <si>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</si>
  <si>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</si>
  <si>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</si>
  <si>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</si>
  <si>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</si>
  <si>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</si>
  <si>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</si>
  <si>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</si>
  <si>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</si>
  <si>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</si>
  <si>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</si>
  <si>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</si>
  <si>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</si>
  <si>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</si>
  <si>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</si>
  <si>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</si>
  <si>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</si>
  <si>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</si>
  <si>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</si>
  <si>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</si>
  <si>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</si>
  <si>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</si>
  <si>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</si>
  <si>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</si>
  <si>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</si>
  <si>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</si>
  <si>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</si>
  <si>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</si>
  <si>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</si>
  <si>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</si>
  <si>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</si>
  <si>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</si>
  <si>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</si>
  <si>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</si>
  <si>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</si>
  <si>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</si>
  <si>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</si>
  <si>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</si>
  <si>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</si>
  <si>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</si>
  <si>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</si>
  <si>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</si>
  <si>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</si>
  <si>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</si>
  <si>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</si>
  <si>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</si>
  <si>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</si>
  <si>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</si>
  <si>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</si>
  <si>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</si>
  <si>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</si>
  <si>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</si>
  <si>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</si>
  <si>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</si>
  <si>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</si>
  <si>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</si>
  <si>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</si>
  <si>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</si>
  <si>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</si>
  <si>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</si>
  <si>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</si>
  <si>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</si>
  <si>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</si>
  <si>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</si>
  <si>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</si>
  <si>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</si>
  <si>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</si>
  <si>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</si>
  <si>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</si>
  <si>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</si>
  <si>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</si>
  <si>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</si>
  <si>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</si>
  <si>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</si>
  <si>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</si>
  <si>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</si>
  <si>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</si>
  <si>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</si>
  <si>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</si>
  <si>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</si>
  <si>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</si>
  <si>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</si>
  <si>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</si>
  <si>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</si>
  <si>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</si>
  <si>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</si>
  <si>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</si>
  <si>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</si>
  <si>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</si>
  <si>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</si>
  <si>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</si>
  <si>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</si>
  <si>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</si>
  <si>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</si>
  <si>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</si>
  <si>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</si>
  <si>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</si>
  <si>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</si>
  <si>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</si>
  <si>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</si>
  <si>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</si>
  <si>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</si>
  <si>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</si>
  <si>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</si>
  <si>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</si>
  <si>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</si>
  <si>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</si>
  <si>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</si>
  <si>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</si>
  <si>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</si>
  <si>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</si>
  <si>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</si>
  <si>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</si>
  <si>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</si>
  <si>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</si>
  <si>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</si>
  <si>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</si>
  <si>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</si>
  <si>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</si>
  <si>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</si>
  <si>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</si>
  <si>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</si>
  <si>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</si>
  <si>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</si>
  <si>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</si>
  <si>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</si>
  <si>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</si>
  <si>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</si>
  <si>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</si>
  <si>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</si>
  <si>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</si>
  <si>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</si>
  <si>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</si>
  <si>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</si>
  <si>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</si>
  <si>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</si>
  <si>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</si>
  <si>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</si>
  <si>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</si>
  <si>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</si>
  <si>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</si>
  <si>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</si>
  <si>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</si>
  <si>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</si>
  <si>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</si>
  <si>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</si>
  <si>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</si>
  <si>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</si>
  <si>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</si>
  <si>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</si>
  <si>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</si>
  <si>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</si>
  <si>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</si>
  <si>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</si>
  <si>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</si>
  <si>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</si>
  <si>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</si>
  <si>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</si>
  <si>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</si>
  <si>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</si>
  <si>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</si>
  <si>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</si>
  <si>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</si>
  <si>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</si>
  <si>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</si>
  <si>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</si>
  <si>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</si>
  <si>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</si>
  <si>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</si>
  <si>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</si>
  <si>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</si>
  <si>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</si>
  <si>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</si>
  <si>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</si>
  <si>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</si>
  <si>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</si>
  <si>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</si>
  <si>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</si>
  <si>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</si>
  <si>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</si>
  <si>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</si>
  <si>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</si>
  <si>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</si>
  <si>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</si>
  <si>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</si>
  <si>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</si>
  <si>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</si>
  <si>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</si>
  <si>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</si>
  <si>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</si>
  <si>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</si>
  <si>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</si>
  <si>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</si>
  <si>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</si>
  <si>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</si>
  <si>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</si>
  <si>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</si>
  <si>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</si>
  <si>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</si>
  <si>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</si>
  <si>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</si>
  <si>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</si>
  <si>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</si>
  <si>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</si>
  <si>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</si>
  <si>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</si>
  <si>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</si>
  <si>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</si>
  <si>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</si>
  <si>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</si>
  <si>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</si>
  <si>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</si>
  <si>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</si>
  <si>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</si>
  <si>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</si>
  <si>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</si>
  <si>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</si>
  <si>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</si>
  <si>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</si>
  <si>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</si>
  <si>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</si>
  <si>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</si>
  <si>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</si>
  <si>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</si>
  <si>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</si>
  <si>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</si>
  <si>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</si>
  <si>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</si>
  <si>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</si>
  <si>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</si>
  <si>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</si>
  <si>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</si>
  <si>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</si>
  <si>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</si>
  <si>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</si>
  <si>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</si>
  <si>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</si>
  <si>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</si>
  <si>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</si>
  <si>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</si>
  <si>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</si>
  <si>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</si>
  <si>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</si>
  <si>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</si>
  <si>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</si>
  <si>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</si>
  <si>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</si>
  <si>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</si>
  <si>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</si>
  <si>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</si>
  <si>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</si>
  <si>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</si>
  <si>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</si>
  <si>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</si>
  <si>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</si>
  <si>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</si>
  <si>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</si>
  <si>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</si>
  <si>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</si>
  <si>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</si>
  <si>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</si>
  <si>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</si>
  <si>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</si>
  <si>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</si>
  <si>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</si>
  <si>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</si>
  <si>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</si>
  <si>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</si>
  <si>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</si>
  <si>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</si>
  <si>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</si>
  <si>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</si>
  <si>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</si>
  <si>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</si>
  <si>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</si>
  <si>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</si>
  <si>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</si>
  <si>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</si>
  <si>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</si>
  <si>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</si>
  <si>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</si>
  <si>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</si>
  <si>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</si>
  <si>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</si>
  <si>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</si>
  <si>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</si>
  <si>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</si>
  <si>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</si>
  <si>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</si>
  <si>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</si>
  <si>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</si>
  <si>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</si>
  <si>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</si>
  <si>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</si>
  <si>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</si>
  <si>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</si>
  <si>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</si>
  <si>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</si>
  <si>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</si>
  <si>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</si>
  <si>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</si>
  <si>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</si>
  <si>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</si>
  <si>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</si>
  <si>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</si>
  <si>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</si>
  <si>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</si>
  <si>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</si>
  <si>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</si>
  <si>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</si>
  <si>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</si>
  <si>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</si>
  <si>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</si>
  <si>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</si>
  <si>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</si>
  <si>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</si>
  <si>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</si>
  <si>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</si>
  <si>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</si>
  <si>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</si>
  <si>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</si>
  <si>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</si>
  <si>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</si>
  <si>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</si>
  <si>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</si>
  <si>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</si>
  <si>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</si>
  <si>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</si>
  <si>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</si>
  <si>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</si>
  <si>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</si>
  <si>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</si>
  <si>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</si>
  <si>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</si>
  <si>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</si>
  <si>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</si>
  <si>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</si>
  <si>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</si>
  <si>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</si>
  <si>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</si>
  <si>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</si>
  <si>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</si>
  <si>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</si>
  <si>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</si>
  <si>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</si>
  <si>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</si>
  <si>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</si>
  <si>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</si>
  <si>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</si>
  <si>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</si>
  <si>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</si>
  <si>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</si>
  <si>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</si>
  <si>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</si>
  <si>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</si>
  <si>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</si>
  <si>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</si>
  <si>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</si>
  <si>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</si>
  <si>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</si>
  <si>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</si>
  <si>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</si>
  <si>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</si>
  <si>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</si>
  <si>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</si>
  <si>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</si>
  <si>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</si>
  <si>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</si>
  <si>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</si>
  <si>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</si>
  <si>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</si>
  <si>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</si>
  <si>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</si>
  <si>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</si>
  <si>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</si>
  <si>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</si>
  <si>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</si>
  <si>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</si>
  <si>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</si>
  <si>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</si>
  <si>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</si>
  <si>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</si>
  <si>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</si>
  <si>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</si>
  <si>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</si>
  <si>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</si>
  <si>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</si>
  <si>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</si>
  <si>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</si>
  <si>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</si>
  <si>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</si>
  <si>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</si>
  <si>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</si>
  <si>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</si>
  <si>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</si>
  <si>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</si>
  <si>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</si>
  <si>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</si>
  <si>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</si>
  <si>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</si>
  <si>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</si>
  <si>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</si>
  <si>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</si>
  <si>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</si>
  <si>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</si>
  <si>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</si>
  <si>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</si>
  <si>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</si>
  <si>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</si>
  <si>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</si>
  <si>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</si>
  <si>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</si>
  <si>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</si>
  <si>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</si>
  <si>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</si>
  <si>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</si>
  <si>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</si>
  <si>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</si>
  <si>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</si>
  <si>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</si>
  <si>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</si>
  <si>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</si>
  <si>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</si>
  <si>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</si>
  <si>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</si>
  <si>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</si>
  <si>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</si>
  <si>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</si>
  <si>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</si>
  <si>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</si>
  <si>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</si>
  <si>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</si>
  <si>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</si>
  <si>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</si>
  <si>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</si>
  <si>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</si>
  <si>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</si>
  <si>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</si>
  <si>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</si>
  <si>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</si>
  <si>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</si>
  <si>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</si>
  <si>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</si>
  <si>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</si>
  <si>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</si>
  <si>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</si>
  <si>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</si>
  <si>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</si>
  <si>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</si>
  <si>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</si>
  <si>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</si>
  <si>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</si>
  <si>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</si>
  <si>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</si>
  <si>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</si>
  <si>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</si>
  <si>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</si>
  <si>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</si>
  <si>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</si>
  <si>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</si>
  <si>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</si>
  <si>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</si>
  <si>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</si>
  <si>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</si>
  <si>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</si>
  <si>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</si>
  <si>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</si>
  <si>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</si>
  <si>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</si>
  <si>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</si>
  <si>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</si>
  <si>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</si>
  <si>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</si>
  <si>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</si>
  <si>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</si>
  <si>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</si>
  <si>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</si>
  <si>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</si>
  <si>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</si>
  <si>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</si>
  <si>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</si>
  <si>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</si>
  <si>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</si>
  <si>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</si>
  <si>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</si>
  <si>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</si>
  <si>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</si>
  <si>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</si>
  <si>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</si>
  <si>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</si>
  <si>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</si>
  <si>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</si>
  <si>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</si>
  <si>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</si>
  <si>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</si>
  <si>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</si>
  <si>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</si>
  <si>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</si>
  <si>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</si>
  <si>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</si>
  <si>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</si>
  <si>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</si>
  <si>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</si>
  <si>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</si>
  <si>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</si>
  <si>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</si>
  <si>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</si>
  <si>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</si>
  <si>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</si>
  <si>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</si>
  <si>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</si>
  <si>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</si>
  <si>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</si>
  <si>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</si>
  <si>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</si>
  <si>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</si>
  <si>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</si>
  <si>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</si>
  <si>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</si>
  <si>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</si>
  <si>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</si>
  <si>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</si>
  <si>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</si>
  <si>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</si>
  <si>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</si>
  <si>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</si>
  <si>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</si>
  <si>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</si>
  <si>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</si>
  <si>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</si>
  <si>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</si>
  <si>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</si>
  <si>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</si>
  <si>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</si>
  <si>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</si>
  <si>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</si>
  <si>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</si>
  <si>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</si>
  <si>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</si>
  <si>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</si>
  <si>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</si>
  <si>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</si>
  <si>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</si>
  <si>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</si>
  <si>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</si>
  <si>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</si>
  <si>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</si>
  <si>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</si>
  <si>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</si>
  <si>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</si>
  <si>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</si>
  <si>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</si>
  <si>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</si>
  <si>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</si>
  <si>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</si>
  <si>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</si>
  <si>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</si>
  <si>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</si>
  <si>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</si>
  <si>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</si>
  <si>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</si>
  <si>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</si>
  <si>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</si>
  <si>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</si>
  <si>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</si>
  <si>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</si>
  <si>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</si>
  <si>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</si>
  <si>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</si>
  <si>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</si>
  <si>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</si>
  <si>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</si>
  <si>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</si>
  <si>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</si>
  <si>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</si>
  <si>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</si>
  <si>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</si>
  <si>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</si>
  <si>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</si>
  <si>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</si>
  <si>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</si>
  <si>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</si>
  <si>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</si>
  <si>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</si>
  <si>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</si>
  <si>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</si>
  <si>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</si>
  <si>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</si>
  <si>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</si>
  <si>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</si>
  <si>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</si>
  <si>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</si>
  <si>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</si>
  <si>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</si>
  <si>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</si>
  <si>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</si>
  <si>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</si>
  <si>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</si>
  <si>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</si>
  <si>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</si>
  <si>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</si>
  <si>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</si>
  <si>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</si>
  <si>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</si>
  <si>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</si>
  <si>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</si>
  <si>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</si>
  <si>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</si>
  <si>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</si>
  <si>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</si>
  <si>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</si>
  <si>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</si>
  <si>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</si>
  <si>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</si>
  <si>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</si>
  <si>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</si>
  <si>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</si>
  <si>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</si>
  <si>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</si>
  <si>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</si>
  <si>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</si>
  <si>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</si>
  <si>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</si>
  <si>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</si>
  <si>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</si>
  <si>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</si>
  <si>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</si>
  <si>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</si>
  <si>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</si>
  <si>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</si>
  <si>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</si>
  <si>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</si>
  <si>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</si>
  <si>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</si>
  <si>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</si>
  <si>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</si>
  <si>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</si>
  <si>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</si>
  <si>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</si>
  <si>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</si>
  <si>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</si>
  <si>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</si>
  <si>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</si>
  <si>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</si>
  <si>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</si>
  <si>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</si>
  <si>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</si>
  <si>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</si>
  <si>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</si>
  <si>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</si>
  <si>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</si>
  <si>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</si>
  <si>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</si>
  <si>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</si>
  <si>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</si>
  <si>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</si>
  <si>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</si>
  <si>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</si>
  <si>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</si>
  <si>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</si>
  <si>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</si>
  <si>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</si>
  <si>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</si>
  <si>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</si>
  <si>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</si>
  <si>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</si>
  <si>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</si>
  <si>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</si>
  <si>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</si>
  <si>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</si>
  <si>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</si>
  <si>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</si>
  <si>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</si>
  <si>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</si>
  <si>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</si>
  <si>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</si>
  <si>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</si>
  <si>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</si>
  <si>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</si>
  <si>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</si>
  <si>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</si>
  <si>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</si>
  <si>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</si>
  <si>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</si>
  <si>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</si>
  <si>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</si>
  <si>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</si>
  <si>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</si>
  <si>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</si>
  <si>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</si>
  <si>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</si>
  <si>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</si>
  <si>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</si>
  <si>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</si>
  <si>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</si>
  <si>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</si>
  <si>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</si>
  <si>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</si>
  <si>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</si>
  <si>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</si>
  <si>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</si>
  <si>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</si>
  <si>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</si>
  <si>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</si>
  <si>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</si>
  <si>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</si>
  <si>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</si>
  <si>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</si>
  <si>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</si>
  <si>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</si>
  <si>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</si>
  <si>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</si>
  <si>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</si>
  <si>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</si>
  <si>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</si>
  <si>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</si>
  <si>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</si>
  <si>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</si>
  <si>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</si>
  <si>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</si>
  <si>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</si>
  <si>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</si>
  <si>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</si>
  <si>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</si>
  <si>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</si>
  <si>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</si>
  <si>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</si>
  <si>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</si>
  <si>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</si>
  <si>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</si>
  <si>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</si>
  <si>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</si>
  <si>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</si>
  <si>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</si>
  <si>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</si>
  <si>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</si>
  <si>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</si>
  <si>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</si>
  <si>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</si>
  <si>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</si>
  <si>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</si>
  <si>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</si>
  <si>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</si>
  <si>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</si>
  <si>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</si>
  <si>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</si>
  <si>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</si>
  <si>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</si>
  <si>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</si>
  <si>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</si>
  <si>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</si>
  <si>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</si>
  <si>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</si>
  <si>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</si>
  <si>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</si>
  <si>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</si>
  <si>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</si>
  <si>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</si>
  <si>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</si>
  <si>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</si>
  <si>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</si>
  <si>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</si>
  <si>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</si>
  <si>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</si>
  <si>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</si>
  <si>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</si>
  <si>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</si>
  <si>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</si>
  <si>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</si>
  <si>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</si>
  <si>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</si>
  <si>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</si>
  <si>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</si>
  <si>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</si>
  <si>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</si>
  <si>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</si>
  <si>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</si>
  <si>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</si>
  <si>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</si>
  <si>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</si>
  <si>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</si>
  <si>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</si>
  <si>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</si>
  <si>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</si>
  <si>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</si>
  <si>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</si>
  <si>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</si>
  <si>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</si>
  <si>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</si>
  <si>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</si>
  <si>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</si>
  <si>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</si>
  <si>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</si>
  <si>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</si>
  <si>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</si>
  <si>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</si>
  <si>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</si>
  <si>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</si>
  <si>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</si>
  <si>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</si>
  <si>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</si>
  <si>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</si>
  <si>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</si>
  <si>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</si>
  <si>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</si>
  <si>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</si>
  <si>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</si>
  <si>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</si>
  <si>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</si>
  <si>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</si>
  <si>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</si>
  <si>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</si>
  <si>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</si>
  <si>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</si>
  <si>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</si>
  <si>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</si>
  <si>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</si>
  <si>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</si>
  <si>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</si>
  <si>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</si>
  <si>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</si>
  <si>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</si>
  <si>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</si>
  <si>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</si>
  <si>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</si>
  <si>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</si>
  <si>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</si>
  <si>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</si>
  <si>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</si>
  <si>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</si>
  <si>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</si>
  <si>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</si>
  <si>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</si>
  <si>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</si>
  <si>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</si>
  <si>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</si>
  <si>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</si>
  <si>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</si>
  <si>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</si>
  <si>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</si>
  <si>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</si>
  <si>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</si>
  <si>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</si>
  <si>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</si>
  <si>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</si>
  <si>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</si>
  <si>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</si>
  <si>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</si>
  <si>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</si>
  <si>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</si>
  <si>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</si>
  <si>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</si>
  <si>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</si>
  <si>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</si>
  <si>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</si>
  <si>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</si>
  <si>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</si>
  <si>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</si>
  <si>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</si>
  <si>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</si>
  <si>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</si>
  <si>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</si>
  <si>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</si>
  <si>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</si>
  <si>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</si>
  <si>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</si>
  <si>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</si>
  <si>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</si>
  <si>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</si>
  <si>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</si>
  <si>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</si>
  <si>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</si>
  <si>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</si>
  <si>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</si>
  <si>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</si>
  <si>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</si>
  <si>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</si>
  <si>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</si>
  <si>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</si>
  <si>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</si>
  <si>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</si>
  <si>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</si>
  <si>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</si>
  <si>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</si>
  <si>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</si>
  <si>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</si>
  <si>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</si>
  <si>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</si>
  <si>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</si>
  <si>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</si>
  <si>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</si>
  <si>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</si>
  <si>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</si>
  <si>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</si>
  <si>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</si>
  <si>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</si>
  <si>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</si>
  <si>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</si>
  <si>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</si>
  <si>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</si>
  <si>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</si>
  <si>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</si>
  <si>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</si>
  <si>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</si>
  <si>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</si>
  <si>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</si>
  <si>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</si>
  <si>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</si>
  <si>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</si>
  <si>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</si>
  <si>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</si>
  <si>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</si>
  <si>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</si>
  <si>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</si>
  <si>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</si>
  <si>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</si>
  <si>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</si>
  <si>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</si>
  <si>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</si>
  <si>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</si>
  <si>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</si>
  <si>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</si>
  <si>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</si>
  <si>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</si>
  <si>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</si>
  <si>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</si>
  <si>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</si>
  <si>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</si>
  <si>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</si>
  <si>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</si>
  <si>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</si>
  <si>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</si>
  <si>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</si>
  <si>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</si>
  <si>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</si>
  <si>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</si>
  <si>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</si>
  <si>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</si>
  <si>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</si>
  <si>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</si>
  <si>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</si>
  <si>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</si>
  <si>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</si>
  <si>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</si>
  <si>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</si>
  <si>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</si>
  <si>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</si>
  <si>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</si>
  <si>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</si>
  <si>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</si>
  <si>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</si>
  <si>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</si>
  <si>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</si>
  <si>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</si>
  <si>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</si>
  <si>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</si>
  <si>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</si>
  <si>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</si>
  <si>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</si>
  <si>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</si>
  <si>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</si>
  <si>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</si>
  <si>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</si>
  <si>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</si>
  <si>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</si>
  <si>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</si>
  <si>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</si>
  <si>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</si>
  <si>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</si>
  <si>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</si>
  <si>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</si>
  <si>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</si>
  <si>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</si>
  <si>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</si>
  <si>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</si>
  <si>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</si>
  <si>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</si>
  <si>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</si>
  <si>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</si>
  <si>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</si>
  <si>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</si>
  <si>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</si>
  <si>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</si>
  <si>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</si>
  <si>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</si>
  <si>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</si>
  <si>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</si>
  <si>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</si>
  <si>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</si>
  <si>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</si>
  <si>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</si>
  <si>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</si>
  <si>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</si>
  <si>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</si>
  <si>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</si>
  <si>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</si>
  <si>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</si>
  <si>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</si>
  <si>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</si>
  <si>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</si>
  <si>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</si>
  <si>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</si>
  <si>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</si>
  <si>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</si>
  <si>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</si>
  <si>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</si>
  <si>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</si>
  <si>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</si>
  <si>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</si>
  <si>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</si>
  <si>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</si>
  <si>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</si>
  <si>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</si>
  <si>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</si>
  <si>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</si>
  <si>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</si>
  <si>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</si>
  <si>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</si>
  <si>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</si>
  <si>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</si>
  <si>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</si>
  <si>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</si>
  <si>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</si>
  <si>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</si>
  <si>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</si>
  <si>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</si>
  <si>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</si>
  <si>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</si>
  <si>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</si>
  <si>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</si>
  <si>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</si>
  <si>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</si>
  <si>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</si>
  <si>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</si>
  <si>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</si>
  <si>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</si>
  <si>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</si>
  <si>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</si>
  <si>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</si>
  <si>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</si>
  <si>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</si>
  <si>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</si>
  <si>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</si>
  <si>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</si>
  <si>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</si>
  <si>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</si>
  <si>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</si>
  <si>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</si>
  <si>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</si>
  <si>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</si>
  <si>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</si>
  <si>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</si>
  <si>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</si>
  <si>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</si>
  <si>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</si>
  <si>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</si>
  <si>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</si>
  <si>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</si>
  <si>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</si>
  <si>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</si>
  <si>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</si>
  <si>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</si>
  <si>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</si>
  <si>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</si>
  <si>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</si>
  <si>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</si>
  <si>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</si>
  <si>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</si>
  <si>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</si>
  <si>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</si>
  <si>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</si>
  <si>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</si>
  <si>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</si>
  <si>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</si>
  <si>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</si>
  <si>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</si>
  <si>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</si>
  <si>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</si>
  <si>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</si>
  <si>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</si>
  <si>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</si>
  <si>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</si>
  <si>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</si>
  <si>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</si>
  <si>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</si>
  <si>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</si>
  <si>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</si>
  <si>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</si>
  <si>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</si>
  <si>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</si>
  <si>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</si>
  <si>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</si>
  <si>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</si>
  <si>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</si>
  <si>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</si>
  <si>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</si>
  <si>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</si>
  <si>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</si>
  <si>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</si>
  <si>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</si>
  <si>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</si>
  <si>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</si>
  <si>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</si>
  <si>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</si>
  <si>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</si>
  <si>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</si>
  <si>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</si>
  <si>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</si>
  <si>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</si>
  <si>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</si>
  <si>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</si>
  <si>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</si>
  <si>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</si>
  <si>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</si>
  <si>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</si>
  <si>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</si>
  <si>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</si>
  <si>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</si>
  <si>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</si>
  <si>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</si>
  <si>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</si>
  <si>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</si>
  <si>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</si>
  <si>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</si>
  <si>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</si>
  <si>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</si>
  <si>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</si>
  <si>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</si>
  <si>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</si>
  <si>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</si>
  <si>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</si>
  <si>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</si>
  <si>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</si>
  <si>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</si>
  <si>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</si>
  <si>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</si>
  <si>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</si>
  <si>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</si>
  <si>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</si>
  <si>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</si>
  <si>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</si>
  <si>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</si>
  <si>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</si>
  <si>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</si>
  <si>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</si>
  <si>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</si>
  <si>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</si>
  <si>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</si>
  <si>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</si>
  <si>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</si>
  <si>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</si>
  <si>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</si>
  <si>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</si>
  <si>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</si>
  <si>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</si>
  <si>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</si>
  <si>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</si>
  <si>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</si>
  <si>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</si>
  <si>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</si>
  <si>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</si>
  <si>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</si>
  <si>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</si>
  <si>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</si>
  <si>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</si>
  <si>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</si>
  <si>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</si>
  <si>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</si>
  <si>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</si>
  <si>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</si>
  <si>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</si>
  <si>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</si>
  <si>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</si>
  <si>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</si>
  <si>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</si>
  <si>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</si>
  <si>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</si>
  <si>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</si>
  <si>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</si>
  <si>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</si>
  <si>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</si>
  <si>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</si>
  <si>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</si>
  <si>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</si>
  <si>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</si>
  <si>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</si>
  <si>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</si>
  <si>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</si>
  <si>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</si>
  <si>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</si>
  <si>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</si>
  <si>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</si>
  <si>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</si>
  <si>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</si>
  <si>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</si>
  <si>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</si>
  <si>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</si>
  <si>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</si>
  <si>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</si>
  <si>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</si>
  <si>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</si>
  <si>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</si>
  <si>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</si>
  <si>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</si>
  <si>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</si>
  <si>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</si>
  <si>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</si>
  <si>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</si>
  <si>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</si>
  <si>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</si>
  <si>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</si>
  <si>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</si>
  <si>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</si>
  <si>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</si>
  <si>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</si>
  <si>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</si>
  <si>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</si>
  <si>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</si>
  <si>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</si>
  <si>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</si>
  <si>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</si>
  <si>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</si>
  <si>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</si>
  <si>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</si>
  <si>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</si>
  <si>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</si>
  <si>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</si>
  <si>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</si>
  <si>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</si>
  <si>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</si>
  <si>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</si>
  <si>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</si>
  <si>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</si>
  <si>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</si>
  <si>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</si>
  <si>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</si>
  <si>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</si>
  <si>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</si>
  <si>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</si>
  <si>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</si>
  <si>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</si>
  <si>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</si>
  <si>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</si>
  <si>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</si>
  <si>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</si>
  <si>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</si>
  <si>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</si>
  <si>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</si>
  <si>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</si>
  <si>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</si>
  <si>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</si>
  <si>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</si>
  <si>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</si>
  <si>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</si>
  <si>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</si>
  <si>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</si>
  <si>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</si>
  <si>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</si>
  <si>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</si>
  <si>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</si>
  <si>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</si>
  <si>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</si>
  <si>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</si>
  <si>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</si>
  <si>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</si>
  <si>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</si>
  <si>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</si>
  <si>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</si>
  <si>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</si>
  <si>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</si>
  <si>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</si>
  <si>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</si>
  <si>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</si>
  <si>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</si>
  <si>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</si>
  <si>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</si>
  <si>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</si>
  <si>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</si>
  <si>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</si>
  <si>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</si>
  <si>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</si>
  <si>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</si>
  <si>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</si>
  <si>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</si>
  <si>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</si>
  <si>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</si>
  <si>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</si>
  <si>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</si>
  <si>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</si>
  <si>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</si>
  <si>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</si>
  <si>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</si>
  <si>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</si>
  <si>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</si>
  <si>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</si>
  <si>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</si>
  <si>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</si>
  <si>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</si>
  <si>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</si>
  <si>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</si>
  <si>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</si>
  <si>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</si>
  <si>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</si>
  <si>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</si>
  <si>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</si>
  <si>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</si>
  <si>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</si>
  <si>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</si>
  <si>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</si>
  <si>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</si>
  <si>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</si>
  <si>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</si>
  <si>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</si>
  <si>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</si>
  <si>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</si>
  <si>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</si>
  <si>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</si>
  <si>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</si>
  <si>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</si>
  <si>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</si>
  <si>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</si>
  <si>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</si>
  <si>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</si>
  <si>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</si>
  <si>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</si>
  <si>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</si>
  <si>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</si>
  <si>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</si>
  <si>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</si>
  <si>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</si>
  <si>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</si>
  <si>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</si>
  <si>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</si>
  <si>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</si>
  <si>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</si>
  <si>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</si>
  <si>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</si>
  <si>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</si>
  <si>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</si>
  <si>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</si>
  <si>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</si>
  <si>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</si>
  <si>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</si>
  <si>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</si>
  <si>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</si>
  <si>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</si>
  <si>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</si>
  <si>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</si>
  <si>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</si>
  <si>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</si>
  <si>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</si>
  <si>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</si>
  <si>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</si>
  <si>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</si>
  <si>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</si>
  <si>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</si>
  <si>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</si>
  <si>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</si>
  <si>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</si>
  <si>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</si>
  <si>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</si>
  <si>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</si>
  <si>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</si>
  <si>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</si>
  <si>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</si>
  <si>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</si>
  <si>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</si>
  <si>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</si>
  <si>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</si>
  <si>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</si>
  <si>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</si>
  <si>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</si>
  <si>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</si>
  <si>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</si>
  <si>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</si>
  <si>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</si>
  <si>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</si>
  <si>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</si>
  <si>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</si>
  <si>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</si>
  <si>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</si>
  <si>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</si>
  <si>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</si>
  <si>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</si>
  <si>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</si>
  <si>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</si>
  <si>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</si>
  <si>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</si>
  <si>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</si>
  <si>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</si>
  <si>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</si>
  <si>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</si>
  <si>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</si>
  <si>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</si>
  <si>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</si>
  <si>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</si>
  <si>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</si>
  <si>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</si>
  <si>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</si>
  <si>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</si>
  <si>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</si>
  <si>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</si>
  <si>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</si>
  <si>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</si>
  <si>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</si>
  <si>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</si>
  <si>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</si>
  <si>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</si>
  <si>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</si>
  <si>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</si>
  <si>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</si>
  <si>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</si>
  <si>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</si>
  <si>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</si>
  <si>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</si>
  <si>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</si>
  <si>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</si>
  <si>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</si>
  <si>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</si>
  <si>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</si>
  <si>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</si>
  <si>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</si>
  <si>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</si>
  <si>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</si>
  <si>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</si>
  <si>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</si>
  <si>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</si>
  <si>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</si>
  <si>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</si>
  <si>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</si>
  <si>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</si>
  <si>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</si>
  <si>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</si>
  <si>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</si>
  <si>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</si>
  <si>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</si>
  <si>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</si>
  <si>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</si>
  <si>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</si>
  <si>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</si>
  <si>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</si>
  <si>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</si>
  <si>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</si>
  <si>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</si>
  <si>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</si>
  <si>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</si>
  <si>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</si>
  <si>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</si>
  <si>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</si>
  <si>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</si>
  <si>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</si>
  <si>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</si>
  <si>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</si>
  <si>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</si>
  <si>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</si>
  <si>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</si>
  <si>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</si>
  <si>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</si>
  <si>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</si>
  <si>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</si>
  <si>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</si>
  <si>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</si>
  <si>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</si>
  <si>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</si>
  <si>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</si>
  <si>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</si>
  <si>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</si>
  <si>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</si>
  <si>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</si>
  <si>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</si>
  <si>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</si>
  <si>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</si>
  <si>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</si>
  <si>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</si>
  <si>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</si>
  <si>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</si>
  <si>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</si>
  <si>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</si>
  <si>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</si>
  <si>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</si>
  <si>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</si>
  <si>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</si>
  <si>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</si>
  <si>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</si>
  <si>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</si>
  <si>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</si>
  <si>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</si>
  <si>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</si>
  <si>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</si>
  <si>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</si>
  <si>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</si>
  <si>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</si>
  <si>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</si>
  <si>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</si>
  <si>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</si>
  <si>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</si>
  <si>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</si>
  <si>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</si>
  <si>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</si>
  <si>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</si>
  <si>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</si>
  <si>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</si>
  <si>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</si>
  <si>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</si>
  <si>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</si>
  <si>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</si>
  <si>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</si>
  <si>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</si>
  <si>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</si>
  <si>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</si>
  <si>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</si>
  <si>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</si>
  <si>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</si>
  <si>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</si>
  <si>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</si>
  <si>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</si>
  <si>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</si>
  <si>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</si>
  <si>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</si>
  <si>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</si>
  <si>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</si>
  <si>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</si>
  <si>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</si>
  <si>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</si>
  <si>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</si>
  <si>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</si>
  <si>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</si>
  <si>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</si>
  <si>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</si>
  <si>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</si>
  <si>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</si>
  <si>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</si>
  <si>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</si>
  <si>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</si>
  <si>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</si>
  <si>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</si>
  <si>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</si>
  <si>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</si>
  <si>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</si>
  <si>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</si>
  <si>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</si>
  <si>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</si>
  <si>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</si>
  <si>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</si>
  <si>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</si>
  <si>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</si>
  <si>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</si>
  <si>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</si>
  <si>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</si>
  <si>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</si>
  <si>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</si>
  <si>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</si>
  <si>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</si>
  <si>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</si>
  <si>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</si>
  <si>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</si>
  <si>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</si>
  <si>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</si>
  <si>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</si>
  <si>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</si>
  <si>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</si>
  <si>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</si>
  <si>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</si>
  <si>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</si>
  <si>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</si>
  <si>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</si>
  <si>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</si>
  <si>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</si>
  <si>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</si>
  <si>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</si>
  <si>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</si>
  <si>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</si>
  <si>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</si>
  <si>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</si>
  <si>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</si>
  <si>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</si>
  <si>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</si>
  <si>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</si>
  <si>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</si>
  <si>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</si>
  <si>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</si>
  <si>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</si>
  <si>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</si>
  <si>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</si>
  <si>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</si>
  <si>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</si>
  <si>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</si>
  <si>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</si>
  <si>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</si>
  <si>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</si>
  <si>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</si>
  <si>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</si>
  <si>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</si>
  <si>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</si>
  <si>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</si>
  <si>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</si>
  <si>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</si>
  <si>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</si>
  <si>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</si>
  <si>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</si>
  <si>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</si>
  <si>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</si>
  <si>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</si>
  <si>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</si>
  <si>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</si>
  <si>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</si>
  <si>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</si>
  <si>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</si>
  <si>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</si>
  <si>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</si>
  <si>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</si>
  <si>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</si>
  <si>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</si>
  <si>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</si>
  <si>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</si>
  <si>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</si>
  <si>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</si>
  <si>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</si>
  <si>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</si>
  <si>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</si>
  <si>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</si>
  <si>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</si>
  <si>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</si>
  <si>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</si>
  <si>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</si>
  <si>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</si>
  <si>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</si>
  <si>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</si>
  <si>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</si>
  <si>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</si>
  <si>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</si>
  <si>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</si>
  <si>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</si>
  <si>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</si>
  <si>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</si>
  <si>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</si>
  <si>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</si>
  <si>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</si>
  <si>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</si>
  <si>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</si>
  <si>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</si>
  <si>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</si>
  <si>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</si>
  <si>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</si>
  <si>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</si>
  <si>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</si>
  <si>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</si>
  <si>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</si>
  <si>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</si>
  <si>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</si>
  <si>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</si>
  <si>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</si>
  <si>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</si>
  <si>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</si>
  <si>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</si>
  <si>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</si>
  <si>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</si>
  <si>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</si>
  <si>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</si>
  <si>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</si>
  <si>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</si>
  <si>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</si>
  <si>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</si>
  <si>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</si>
  <si>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</si>
  <si>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</si>
  <si>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</si>
  <si>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</si>
  <si>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</si>
  <si>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</si>
  <si>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</si>
  <si>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</si>
  <si>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</si>
  <si>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</si>
  <si>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</si>
  <si>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</si>
  <si>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</si>
  <si>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</si>
  <si>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</si>
  <si>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</si>
  <si>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</si>
  <si>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</si>
  <si>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</si>
  <si>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</si>
  <si>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</si>
  <si>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</si>
  <si>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</si>
  <si>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</si>
  <si>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</si>
  <si>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</si>
  <si>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</si>
  <si>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</si>
  <si>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</si>
  <si>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</si>
  <si>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</si>
  <si>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</si>
  <si>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</si>
  <si>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</si>
  <si>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</si>
  <si>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</si>
  <si>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</si>
  <si>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</si>
  <si>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Scope: Solar to cater for all gadgets in facility</t>
  </si>
  <si>
    <t>INVOICE</t>
  </si>
  <si>
    <t>Victron GX Touch 50</t>
  </si>
  <si>
    <t>AUTOMATE</t>
  </si>
  <si>
    <t>JA Solar JAM66-S45 600 Watts Solar Panel</t>
  </si>
  <si>
    <t>600W Mono</t>
  </si>
  <si>
    <r>
      <rPr>
        <b/>
        <sz val="12"/>
        <color theme="1"/>
        <rFont val="Times New Roman"/>
        <family val="1"/>
      </rPr>
      <t>Warranty: 7</t>
    </r>
    <r>
      <rPr>
        <sz val="12"/>
        <color theme="1"/>
        <rFont val="Times New Roman"/>
        <family val="1"/>
      </rPr>
      <t xml:space="preserve"> year for battery, 5 years for inverter and accessories, 12 years for solar panels</t>
    </r>
  </si>
  <si>
    <r>
      <rPr>
        <b/>
        <sz val="12"/>
        <color theme="1"/>
        <rFont val="Times New Roman"/>
        <family val="1"/>
      </rPr>
      <t xml:space="preserve">Warranty: </t>
    </r>
    <r>
      <rPr>
        <sz val="12"/>
        <color theme="1"/>
        <rFont val="Times New Roman"/>
        <family val="1"/>
      </rPr>
      <t>10 years for battery, 5 years for inverter and accessories, 12 years for solar panels</t>
    </r>
  </si>
  <si>
    <r>
      <rPr>
        <b/>
        <sz val="12"/>
        <color theme="1"/>
        <rFont val="Times New Roman"/>
        <family val="1"/>
      </rPr>
      <t xml:space="preserve">Warranty: </t>
    </r>
    <r>
      <rPr>
        <sz val="12"/>
        <color theme="1"/>
        <rFont val="Times New Roman"/>
        <family val="1"/>
      </rPr>
      <t>1 year for battery, 5 years for inverter and accessories, 12 years for solar panels</t>
    </r>
  </si>
  <si>
    <r>
      <rPr>
        <b/>
        <sz val="12"/>
        <color theme="1"/>
        <rFont val="Times New Roman"/>
        <family val="1"/>
      </rPr>
      <t xml:space="preserve">Warranty: </t>
    </r>
    <r>
      <rPr>
        <sz val="12"/>
        <color theme="1"/>
        <rFont val="Times New Roman"/>
        <family val="1"/>
      </rPr>
      <t>5 years for inverter and accessories, 12 years for solar panels</t>
    </r>
  </si>
  <si>
    <t>Warranty: 7 year for battery, 5 years for inverter and accessories, 12 years for solar panels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</si>
</sst>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1">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rgb="FF9C0006"/>
      </font>
      <fill>
        <patternFill>
          <bgColor rgb="FFFFC7CE"/>
        </patternFill>
      </fill>
    </dxf>
    <dxf>
      <font>
        <strike val="0"/>
        <color theme="8" tint="0.39994506668294322"/>
      </font>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0" dataDxfId="469">
  <autoFilter ref="B32:J50" xr:uid="{00000000-0009-0000-0100-000001000000}"/>
  <tableColumns count="9">
    <tableColumn id="1" xr3:uid="{A5A6DDE8-644E-B645-9B31-774C6797337A}" name="Ref A      1-Phase" dataDxfId="468"/>
    <tableColumn id="2" xr3:uid="{5D2C410F-BD87-9E49-95F1-4416B31F01CA}" name="Ref A      3-Phase" dataDxfId="467"/>
    <tableColumn id="3" xr3:uid="{DDA67CFB-0BF8-0D47-8177-27F0A393C879}" name="Ref B      1-Phase" dataDxfId="466"/>
    <tableColumn id="4" xr3:uid="{22F4E3A3-299A-B64D-8636-11BDF77B5419}" name="Ref B      3-Phase" dataDxfId="465"/>
    <tableColumn id="5" xr3:uid="{3E00CFF8-2195-5742-B8E3-25463BAD433E}" name="Ref C      1-Phase" dataDxfId="464"/>
    <tableColumn id="6" xr3:uid="{65AB633F-BECC-4E4A-9B00-006F478AFF70}" name="Ref C       3-Phase" dataDxfId="463"/>
    <tableColumn id="7" xr3:uid="{DBA997D8-96A1-1B47-A8CC-A9140FD62C59}" name="Ref E      1-Phase" dataDxfId="462"/>
    <tableColumn id="8" xr3:uid="{BC868A03-2C0B-7B4C-B087-A5E1350A5099}" name="Ref E       3-Phase" dataDxfId="461"/>
    <tableColumn id="9" xr3:uid="{56A9FE2A-81EE-7443-898C-C4DF0C51E914}" name="Cable Size" dataDxfId="46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9" dataDxfId="458">
  <autoFilter ref="B5:M27" xr:uid="{00000000-0009-0000-0100-000002000000}"/>
  <tableColumns count="12">
    <tableColumn id="1" xr3:uid="{5C06527D-77C9-B546-9AB2-6EC17F04B200}" name="Ref A      1-Phase" dataDxfId="457"/>
    <tableColumn id="2" xr3:uid="{9DB9C4F4-B5BE-3D42-9FA6-E719EA89B54D}" name="Ref A      3-Phase" dataDxfId="456"/>
    <tableColumn id="3" xr3:uid="{4F7686AF-D48B-C444-B41F-B9CE078C91ED}" name="Ref B      1-Phase" dataDxfId="455"/>
    <tableColumn id="4" xr3:uid="{C80BCB45-48A2-6649-91B7-EC4C30168FE6}" name="Ref B      3-Phase" dataDxfId="454"/>
    <tableColumn id="5" xr3:uid="{29B05CD9-1DBC-3649-BC36-854EE621D2B3}" name="Ref C      Touching 1-Phase Flat" dataDxfId="453"/>
    <tableColumn id="6" xr3:uid="{CEAECAB6-F10C-D144-89F6-D38D78A30974}" name="Ref C      Touching 3-Phase" dataDxfId="452"/>
    <tableColumn id="7" xr3:uid="{23A9B015-F0F1-A247-BB37-68A552781076}" name="Ref F      Touching 1-Phase Flat" dataDxfId="451"/>
    <tableColumn id="8" xr3:uid="{B1BF9084-22A0-2744-8735-C1271BF97214}" name="Ref F      Touching 3-Phase Flat" dataDxfId="450"/>
    <tableColumn id="9" xr3:uid="{C3645EAC-3AD3-1549-A27E-7BE1E6BE5E86}" name="Ref F      Touching 3-Phase Trefoil" dataDxfId="449"/>
    <tableColumn id="10" xr3:uid="{28F7DF2A-F36C-8B41-A5C4-947BA6644CCF}" name="Ref F      Spaced    Flat Horizontal" dataDxfId="448"/>
    <tableColumn id="11" xr3:uid="{314CF27A-AD57-7540-BE25-AA8988EA02CA}" name="Ref F      Spaced   Flat Vertical" dataDxfId="447"/>
    <tableColumn id="12" xr3:uid="{A2F6A710-73AF-6A4B-AD64-576FB8D4D121}" name="Cable Size" dataDxfId="44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5" dataDxfId="444">
  <autoFilter ref="B55:M68" xr:uid="{00000000-0009-0000-0100-000003000000}"/>
  <tableColumns count="12">
    <tableColumn id="1" xr3:uid="{8F56D565-4DBE-134B-A783-9E3202E43BD6}" name="Ref C      Touching 1-Phase Flat" dataDxfId="443"/>
    <tableColumn id="2" xr3:uid="{B4E810FA-0946-CE43-BAAC-9FFF8C869AB4}" name="Ref C      Touching 3-Phase Flat" dataDxfId="442"/>
    <tableColumn id="3" xr3:uid="{9505943B-4DB3-3249-B909-488D6AFB3261}" name="Ref F      Touching 1-Phase Flat" dataDxfId="441"/>
    <tableColumn id="4" xr3:uid="{9B4F775E-F876-AD47-B8B2-762C1787D834}" name="Ref F      Touching 3-Phase Flat" dataDxfId="440"/>
    <tableColumn id="5" xr3:uid="{70FD5798-BEAA-644A-ADA7-B483122AA72A}" name="Ref F      Touching 3-Phase Trefoil" dataDxfId="439"/>
    <tableColumn id="6" xr3:uid="{1D79B934-9CD2-C543-919C-9637F4CC509C}" name="Ref F      Spaced   D.C.   Horizontal" dataDxfId="438"/>
    <tableColumn id="7" xr3:uid="{AC056145-8E01-ED4F-91CC-4803354D17C8}" name="Ref F      Spaced   D.C.   Vertical" dataDxfId="437"/>
    <tableColumn id="8" xr3:uid="{4937B457-2102-FC42-B281-C6729DBFD3FD}" name="Ref F      Spaced     1-Phase   Horizontal" dataDxfId="436"/>
    <tableColumn id="9" xr3:uid="{D64FB8E3-0445-ED4C-B5F1-6B179D9D0B49}" name="Ref F      Spaced   1-Phase   Vertical" dataDxfId="435"/>
    <tableColumn id="10" xr3:uid="{61797ED1-B72E-DF4C-B81D-DBD99AD81D9B}" name="Ref F      Spaced     3-Phase   Horizontal" dataDxfId="434"/>
    <tableColumn id="11" xr3:uid="{D60525F3-3629-7C4C-B5D3-ED38803EC137}" name="Ref F      Spaced     3-Phase   Vertical" dataDxfId="433"/>
    <tableColumn id="12" xr3:uid="{CB42BC2B-CC8D-F04F-B50E-9AE44768EC45}" name="Cable Size" dataDxfId="4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1" dataDxfId="430">
  <autoFilter ref="B73:H90" xr:uid="{00000000-0009-0000-0100-000004000000}"/>
  <tableColumns count="7">
    <tableColumn id="1" xr3:uid="{4CBC3141-7EF2-E44F-B44A-CB40591B5906}" name="Ref C      1-Phase" dataDxfId="429"/>
    <tableColumn id="2" xr3:uid="{6F6E3EF0-8496-2E4B-9178-A9144373A78B}" name="Ref C     3-Phase" dataDxfId="428"/>
    <tableColumn id="3" xr3:uid="{F65744A9-E645-1343-B427-E350DC2DD900}" name="Ref E      1-Phase" dataDxfId="427"/>
    <tableColumn id="4" xr3:uid="{33F323D5-AB20-C44C-82F9-4236AC584AC0}" name="Ref E      3-Phase" dataDxfId="426"/>
    <tableColumn id="5" xr3:uid="{6E88914E-E8DE-6B47-888E-54BDED9D9CCC}" name="Ref D      1-Phase2" dataDxfId="425"/>
    <tableColumn id="6" xr3:uid="{CC09EA98-FD58-A14E-BCBC-BE1963B4E391}" name="Ref D       3-Phase" dataDxfId="424"/>
    <tableColumn id="9" xr3:uid="{610C94DD-7FD7-7545-85B6-A79F566866FD}" name="Cable Size" dataDxfId="423"/>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2" dataDxfId="421">
  <autoFilter ref="B95:I102" xr:uid="{00000000-0009-0000-0100-000005000000}"/>
  <tableColumns count="8">
    <tableColumn id="1" xr3:uid="{8FB351C3-C113-2946-A5C8-9C16DF222FA2}" name="Method 100" dataDxfId="420"/>
    <tableColumn id="2" xr3:uid="{5C732C79-2C0A-A745-895C-C450A0445D07}" name="Method 101" dataDxfId="419"/>
    <tableColumn id="3" xr3:uid="{28A94422-D28E-0A42-AEB1-81DA8253B205}" name="Method 102" dataDxfId="418"/>
    <tableColumn id="4" xr3:uid="{FA300742-14C1-C742-BAFA-0A05A3116FCC}" name="Method 103" dataDxfId="417"/>
    <tableColumn id="5" xr3:uid="{F42C8BC2-9646-D94F-9CFD-5F752EE81F6F}" name="Ref C      " dataDxfId="416"/>
    <tableColumn id="6" xr3:uid="{63CCA8E7-8F73-A74C-AC0D-1A595CF2066F}" name="Ref A" dataDxfId="415"/>
    <tableColumn id="11" xr3:uid="{19E2CE50-0627-2441-9B42-1CEBBAC201C0}" name="Voltage Drop" dataDxfId="414"/>
    <tableColumn id="12" xr3:uid="{DCFDE463-2F30-A745-83D6-50242C7B5E2E}" name="Cable Size" dataDxfId="41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2" dataDxfId="411">
  <autoFilter ref="B107:M129" xr:uid="{00000000-0009-0000-0100-000006000000}"/>
  <tableColumns count="12">
    <tableColumn id="1" xr3:uid="{69876B71-738A-4843-B22F-4678EA2DFFBD}" name="Ref A      1-Phase" dataDxfId="410"/>
    <tableColumn id="2" xr3:uid="{0584E925-BABB-154B-909C-59D606F02965}" name="Ref A      3-Phase" dataDxfId="409"/>
    <tableColumn id="3" xr3:uid="{A3C314AC-AC7C-DE46-AD29-4C881941345E}" name="Ref B      1-Phase" dataDxfId="408"/>
    <tableColumn id="4" xr3:uid="{2027E9C0-B081-764A-92B9-3425DAB598FA}" name="Ref B      3-Phase" dataDxfId="407"/>
    <tableColumn id="5" xr3:uid="{881EC58B-27EC-C740-8104-21DB488464FA}" name="Ref C      Touching 1-Phase Flat" dataDxfId="406"/>
    <tableColumn id="6" xr3:uid="{1122F6BB-146A-4E42-B356-AE6DF575EADA}" name="Ref C      Touching 3-Phase" dataDxfId="405"/>
    <tableColumn id="7" xr3:uid="{F78FB527-5C4C-D849-B4C0-892CF0DBFFDF}" name="Ref F      Touching 1-Phase Flat" dataDxfId="404"/>
    <tableColumn id="8" xr3:uid="{BC97B3AE-77A7-C847-A15E-FD131691FD4A}" name="Ref F      Touching 3-Phase Flat" dataDxfId="403"/>
    <tableColumn id="9" xr3:uid="{FB8F73BA-6EF6-5147-BEF9-6B6069576E11}" name="Ref F      Touching 3-Phase Trefoil" dataDxfId="402"/>
    <tableColumn id="10" xr3:uid="{4A8C5A2F-1E67-2E43-9627-F1FF6A758159}" name="Ref F      Spaced   Flat Horizontal" dataDxfId="401"/>
    <tableColumn id="11" xr3:uid="{F7E9141A-6CDC-0147-9BB9-AA2C96EE1BFB}" name="Ref F      Spaced   Flat Vertical" dataDxfId="400"/>
    <tableColumn id="12" xr3:uid="{098BEAAB-704A-3047-896C-FCC18998BF4B}" name="Cable Size" dataDxfId="399"/>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8" dataDxfId="397">
  <autoFilter ref="B134:J152" xr:uid="{00000000-0009-0000-0100-000007000000}"/>
  <tableColumns count="9">
    <tableColumn id="1" xr3:uid="{F2AC4F0A-8F37-E640-BFDA-3E7ADBB12ABA}" name="Ref A      1-Phase" dataDxfId="396"/>
    <tableColumn id="2" xr3:uid="{7BC4515A-B88B-8947-99FB-F0D78629F4D7}" name="Ref A      3-Phase" dataDxfId="395"/>
    <tableColumn id="3" xr3:uid="{706E4CE4-FBDB-2443-839E-56841473F7EA}" name="Ref B      1-Phase" dataDxfId="394"/>
    <tableColumn id="4" xr3:uid="{F89297AC-B01A-C443-A753-0312BC5644F7}" name="Ref B      3-Phase" dataDxfId="393"/>
    <tableColumn id="5" xr3:uid="{2F640B1A-FC15-E541-8B29-98C16486B789}" name="Ref C      1-Phase" dataDxfId="392"/>
    <tableColumn id="6" xr3:uid="{2819E63D-1391-6346-8FD7-E6CDA6F3D277}" name="Ref C      3-Phase" dataDxfId="391"/>
    <tableColumn id="7" xr3:uid="{39EFFEAC-971D-124B-BE7D-1891681D8B09}" name="Ref E      1-Phase" dataDxfId="390"/>
    <tableColumn id="8" xr3:uid="{6BFA4C82-5B3E-F345-ACD2-80292358D991}" name="Ref E     3-Phase" dataDxfId="389"/>
    <tableColumn id="9" xr3:uid="{BFF7D58E-270E-6745-8DC1-E314C93EB662}" name="Cable Size" dataDxfId="388"/>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7" dataDxfId="386">
  <autoFilter ref="B157:M170" xr:uid="{00000000-0009-0000-0100-000008000000}"/>
  <tableColumns count="12">
    <tableColumn id="1" xr3:uid="{82CEC370-C125-F940-A4D7-6254549BDD3D}" name="Ref C      Touching 1-Phase Flat" dataDxfId="385"/>
    <tableColumn id="2" xr3:uid="{068FCE23-09BF-514D-B68F-74CE7E133243}" name="Ref C      Touching 3-Phase Flat" dataDxfId="384"/>
    <tableColumn id="3" xr3:uid="{E8CCC19E-5185-DB4A-9357-6438BEA9BC0A}" name="Ref F      Touching 1-Phase Flat" dataDxfId="383"/>
    <tableColumn id="4" xr3:uid="{9A690EFF-14BB-104E-B006-BCD1FFD99761}" name="Ref F      Touching 3-Phase Flat" dataDxfId="382"/>
    <tableColumn id="5" xr3:uid="{0BAF8325-0E0C-2B4E-9EC5-31845BF42D8D}" name="Ref F      Touching 3-Phase Trefoil" dataDxfId="381"/>
    <tableColumn id="6" xr3:uid="{BBF3BFF1-A03F-164C-ACEE-61D71FD9B26A}" name="Ref F      Spaced   D.C.   Horizontal" dataDxfId="380"/>
    <tableColumn id="7" xr3:uid="{7A2369B8-A87E-204B-B36D-A203DC118AAF}" name="Ref F      Spaced   D.C.   Vertical" dataDxfId="379"/>
    <tableColumn id="8" xr3:uid="{9C855780-7BFC-4648-9469-EFB84E90B69A}" name="Ref F      Spaced     1-Phase   Horizontal" dataDxfId="378"/>
    <tableColumn id="9" xr3:uid="{602498A4-0F4B-214D-B336-00FCADEE478B}" name="Ref F      Spaced   1-Phase   Vertical" dataDxfId="377"/>
    <tableColumn id="10" xr3:uid="{FD44C38F-72DA-A54C-A720-E7E458934B10}" name="Ref F      Spaced     3-Phase   Horizontal" dataDxfId="376"/>
    <tableColumn id="11" xr3:uid="{525CA405-9E96-154B-A391-06539FFAA2CF}" name="Ref F      Spaced     3-Phase   Vertical" dataDxfId="375"/>
    <tableColumn id="12" xr3:uid="{0B90640E-86E9-E342-AA6E-9FF42D688682}" name="Cable Size" dataDxfId="374"/>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3" dataDxfId="372">
  <autoFilter ref="B175:H192" xr:uid="{00000000-0009-0000-0100-000009000000}"/>
  <tableColumns count="7">
    <tableColumn id="1" xr3:uid="{D4F598C6-F774-A245-9243-2B4B03CD40D2}" name="Ref C      1-Phase" dataDxfId="371"/>
    <tableColumn id="2" xr3:uid="{04C29071-6D86-8440-878B-F7B1BB6E2E27}" name="Ref C     3-Phase" dataDxfId="370"/>
    <tableColumn id="3" xr3:uid="{F21D7E28-3152-9A43-95F2-2B869937953F}" name="Ref E      1-Phase" dataDxfId="369"/>
    <tableColumn id="4" xr3:uid="{F98FC7C4-C27D-7642-8297-8E5EE5E4F817}" name="Ref E      3-Phase" dataDxfId="368"/>
    <tableColumn id="5" xr3:uid="{50D5D0E9-4216-D74E-83B0-7484886EB992}" name="Ref D      1-Phase2" dataDxfId="367"/>
    <tableColumn id="6" xr3:uid="{6FE7DD63-352B-6745-860B-1A07CF74C71A}" name="Ref D       3-Phase" dataDxfId="366"/>
    <tableColumn id="9" xr3:uid="{9E0DDEA8-CB86-3447-8CEA-A67A617129C6}" name="Cable Size" dataDxfId="36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4" dataDxfId="363">
  <autoFilter ref="B197:E214" xr:uid="{00000000-0009-0000-0100-00000A000000}"/>
  <tableColumns count="4">
    <tableColumn id="1" xr3:uid="{DCCB7E08-04C2-4242-93A9-BDE92FB6A283}" name="1-Phase Two-core " dataDxfId="362"/>
    <tableColumn id="2" xr3:uid="{4B9FCF36-8D0C-4042-922A-9BC44C3D1F05}" name="3-Phase" dataDxfId="361"/>
    <tableColumn id="3" xr3:uid="{B6A3816F-CDE4-3943-9BB2-B35F4AD865DF}" name="1-Phase Single-core" dataDxfId="360"/>
    <tableColumn id="9" xr3:uid="{B03F009D-7194-2641-99E5-B903C8AEA279}" name="Cable Size" dataDxfId="359"/>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8" dataDxfId="357">
  <autoFilter ref="B219:E236" xr:uid="{00000000-0009-0000-0100-00000B000000}"/>
  <tableColumns count="4">
    <tableColumn id="1" xr3:uid="{C7BC598E-574E-8248-AAFC-405454E47A95}" name="1-Phase Two-core " dataDxfId="356"/>
    <tableColumn id="2" xr3:uid="{E54C70CA-6079-1642-B08E-0FA28F62AA58}" name="3-Phase" dataDxfId="355"/>
    <tableColumn id="3" xr3:uid="{0CA2C46F-6469-6545-B702-1AD0F47F273D}" name="1-Phase Single-core" dataDxfId="354"/>
    <tableColumn id="9" xr3:uid="{65D163C7-B8F0-DD41-B720-C2BF90BBA2E9}" name="Cable Size" dataDxfId="353"/>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2" dataDxfId="351">
  <autoFilter ref="B253:J275" xr:uid="{00000000-0009-0000-0100-00000C000000}"/>
  <tableColumns count="9">
    <tableColumn id="1" xr3:uid="{DFBC639F-9667-8047-9149-8C7396024340}" name="Ref C      1-Phase" dataDxfId="350"/>
    <tableColumn id="2" xr3:uid="{194A8F82-8175-EA44-93C8-507354B7CCAB}" name="Ref C      3-Phase Trefoil" dataDxfId="349"/>
    <tableColumn id="3" xr3:uid="{4650777B-B819-5B47-B466-615965EF1FD0}" name="Ref C     3-Phase Flat" dataDxfId="348"/>
    <tableColumn id="4" xr3:uid="{F63D3B77-F6F3-B846-A8C5-F04AC142A537}" name="Ref E,F,G      1-Phase" dataDxfId="347"/>
    <tableColumn id="5" xr3:uid="{550849B2-8B8F-2447-B8DC-08D6C058F9E8}" name="Ref E,F,G      3-Phase Trefoil" dataDxfId="346"/>
    <tableColumn id="6" xr3:uid="{3427F223-0BD0-F344-8635-674EB8F0A51A}" name="Ref E,F,G      Touching 3-Phase Flat" dataDxfId="345"/>
    <tableColumn id="7" xr3:uid="{BF267E42-7B42-BA47-A4AB-443B140DE1AD}" name="Ref E,F,G      Spaced     3-Phase Flat Vertical" dataDxfId="344"/>
    <tableColumn id="8" xr3:uid="{86425269-6F9D-9144-8FDC-2499835A6159}" name="Ref E,F,G      Spaced     3-Phase Flat Horizontal" dataDxfId="343"/>
    <tableColumn id="12" xr3:uid="{7DADAD61-FABB-5C49-B275-CD128F2D207E}" name="Cable Size" dataDxfId="342"/>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1" dataDxfId="340">
  <autoFilter ref="B280:J302" xr:uid="{00000000-0009-0000-0100-00000D000000}"/>
  <tableColumns count="9">
    <tableColumn id="1" xr3:uid="{E255A2DA-B172-854A-9A27-23E502BCFD7E}" name="Ref C      1-Phase" dataDxfId="339"/>
    <tableColumn id="2" xr3:uid="{0EC491FE-F50F-2B42-96AA-32AA7FECF1DA}" name="Ref C      3-Phase Trefoil" dataDxfId="338"/>
    <tableColumn id="3" xr3:uid="{677087E4-9AEE-F14B-B8B6-6C8E43F0402B}" name="Ref C     3-Phase Flat" dataDxfId="337"/>
    <tableColumn id="4" xr3:uid="{DD93A0DD-B99F-064A-B4D1-509740BE6D31}" name="Ref E,F,G      1-Phase" dataDxfId="336"/>
    <tableColumn id="5" xr3:uid="{01F60A36-D73C-6B48-99DF-6CD3E42EF749}" name="Ref E,F,G      3-Phase Trefoil" dataDxfId="335"/>
    <tableColumn id="6" xr3:uid="{B1C34053-0880-DB41-8E11-052187B999EA}" name="Ref E,F,G      Touching 3-Phase Flat" dataDxfId="334"/>
    <tableColumn id="7" xr3:uid="{33D99F2B-A68F-B241-A635-485EF462D77E}" name="Ref E,F,G      Spaced     3-Phase Flat Vertical" dataDxfId="333"/>
    <tableColumn id="8" xr3:uid="{E073D6ED-43BC-6B4F-A6D3-0DD3EF8FE162}" name="Ref E,F,G      Spaced     3-Phase Flat Horizontal" dataDxfId="332"/>
    <tableColumn id="12" xr3:uid="{8354A0F5-78CC-884C-9283-BEF837D5CB48}" name="Cable Size" dataDxfId="331"/>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0" dataDxfId="329">
  <autoFilter ref="B326:J337" xr:uid="{00000000-0009-0000-0100-00000E000000}"/>
  <tableColumns count="9">
    <tableColumn id="1" xr3:uid="{0DC71F84-F504-1749-8CE0-0482348332AF}" name="Ref A      1-Phase" dataDxfId="328"/>
    <tableColumn id="2" xr3:uid="{DFD03A18-96FC-6247-A14E-455FA79576B9}" name="Ref A      3-Phase" dataDxfId="327"/>
    <tableColumn id="3" xr3:uid="{65DFBBAE-B2B0-6744-BD4E-A4430419F917}" name="Ref B      1-Phase" dataDxfId="326"/>
    <tableColumn id="4" xr3:uid="{22453F02-142C-454D-A722-726F3356B39C}" name="Ref B      3-Phase" dataDxfId="325"/>
    <tableColumn id="5" xr3:uid="{A45D7D5E-CD53-9F46-94A8-64C638B3FB7C}" name="Ref C      1-Phase" dataDxfId="324"/>
    <tableColumn id="6" xr3:uid="{67A89AF4-9C52-F349-9D5A-BE8DC7835430}" name="Ref C       3-Phase" dataDxfId="323"/>
    <tableColumn id="7" xr3:uid="{024429F7-115E-9849-8319-157FDA92113D}" name="Ref E      1-Phase" dataDxfId="322"/>
    <tableColumn id="8" xr3:uid="{560F5836-21A1-FD4C-9910-4E8372E5215F}" name="Ref E       3-Phase" dataDxfId="321"/>
    <tableColumn id="9" xr3:uid="{0D0CA484-DB56-0347-A90E-CC2896A77496}" name="Cable Size" dataDxfId="320"/>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9" dataDxfId="318">
  <autoFilter ref="B307:M321" xr:uid="{00000000-0009-0000-0100-00000F000000}"/>
  <tableColumns count="12">
    <tableColumn id="1" xr3:uid="{4C5FE5CC-34BA-2C49-8C1E-D642993EFE8E}" name="Ref A      1-Phase" dataDxfId="317"/>
    <tableColumn id="2" xr3:uid="{A90C4450-FF7E-9747-A032-6B50AB0D544D}" name="Ref A      3-Phase" dataDxfId="316"/>
    <tableColumn id="3" xr3:uid="{2357887B-4CAF-6D42-A089-0D6F958336A7}" name="Ref B      1-Phase" dataDxfId="315"/>
    <tableColumn id="4" xr3:uid="{89B25D8F-D806-C147-A1C1-12D6C6BA7659}" name="Ref B      3-Phase" dataDxfId="314"/>
    <tableColumn id="5" xr3:uid="{2BA067DB-13C5-1F43-8164-C2A02D2DFEAF}" name="Ref C      Touching 1-Phase Flat" dataDxfId="313"/>
    <tableColumn id="6" xr3:uid="{316AF11A-58DC-5143-8ADD-874FAF0F0C50}" name="Ref C      Touching 3-Phase" dataDxfId="312"/>
    <tableColumn id="7" xr3:uid="{930FEBC5-AB03-BA42-AA01-0E7C1ED6DE3B}" name="Ref F      Touching 1-Phase Flat" dataDxfId="311"/>
    <tableColumn id="8" xr3:uid="{0360649E-E3E1-AA4A-8E31-C63245CA0DD0}" name="Ref F      Touching 3-Phase Flat" dataDxfId="310"/>
    <tableColumn id="9" xr3:uid="{68799CA0-DA49-2A41-A3CA-6FA2BFB21CC6}" name="Ref F      Touching 3-Phase Trefoil" dataDxfId="309"/>
    <tableColumn id="10" xr3:uid="{2D8E902C-8D09-4E4E-9116-7DDC88C8A2B9}" name="Ref F      Spaced    Flat Horizontal" dataDxfId="308"/>
    <tableColumn id="11" xr3:uid="{3DA555C5-AA5A-864B-87A8-717BC26C010A}" name="Ref F      Spaced   Flat Vertical" dataDxfId="307"/>
    <tableColumn id="12" xr3:uid="{D1875A26-631E-7745-99AA-272BF8B513D0}" name="Cable Size" dataDxfId="306"/>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5" dataDxfId="304">
  <autoFilter ref="B342:M356" xr:uid="{00000000-0009-0000-0100-000010000000}"/>
  <tableColumns count="12">
    <tableColumn id="1" xr3:uid="{6543A18A-EA9F-5A4F-AADF-FB5E22E3B550}" name="Ref C      Touching 1-Phase Flat" dataDxfId="303"/>
    <tableColumn id="2" xr3:uid="{93F1E9A1-708F-314E-82A2-75464D79932A}" name="Ref C      Touching 3-Phase Flat" dataDxfId="302"/>
    <tableColumn id="3" xr3:uid="{049EBDDD-C52C-D24B-A591-7BF99301F7D1}" name="Ref F      Touching 1-Phase Flat" dataDxfId="301"/>
    <tableColumn id="4" xr3:uid="{B9D30280-A4A1-F946-9ED2-3CCAEC73868C}" name="Ref F      Touching 3-Phase Flat" dataDxfId="300"/>
    <tableColumn id="5" xr3:uid="{FE9C2CD6-FC4D-1042-8F85-86062E74E777}" name="Ref F      Touching 3-Phase Trefoil" dataDxfId="299"/>
    <tableColumn id="6" xr3:uid="{58BFF602-0AA0-334A-A509-07D843A9BC48}" name="Ref F      Spaced   D.C.   Horizontal" dataDxfId="298"/>
    <tableColumn id="7" xr3:uid="{8A5FC9D8-C52F-614E-BBAF-7038D85E6ABB}" name="Ref F      Spaced   D.C.   Vertical" dataDxfId="297"/>
    <tableColumn id="8" xr3:uid="{FC6663CB-16C0-B74A-9436-0125CEE3DA87}" name="Ref F      Spaced     1-Phase   Horizontal" dataDxfId="296"/>
    <tableColumn id="9" xr3:uid="{64329233-5E20-4247-B033-66B6AD207F3F}" name="Ref F      Spaced   1-Phase   Vertical" dataDxfId="295"/>
    <tableColumn id="10" xr3:uid="{7A1FA81B-2C30-D54C-8C4D-EFF994106290}" name="Ref F      Spaced     3-Phase   Horizontal" dataDxfId="294"/>
    <tableColumn id="11" xr3:uid="{D4F555BE-2EF4-DA48-BB4F-75BCC1C5BDE8}" name="Ref F      Spaced     3-Phase   Vertical" dataDxfId="293"/>
    <tableColumn id="12" xr3:uid="{26F5D117-9E9A-FA4F-A477-D35214877032}" name="Cable Size" dataDxfId="292"/>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1" dataDxfId="290">
  <autoFilter ref="B361:H372" xr:uid="{00000000-0009-0000-0100-000011000000}"/>
  <tableColumns count="7">
    <tableColumn id="1" xr3:uid="{F63729E2-B0B4-E448-B0F1-A334443D0596}" name="Ref C      1-Phase" dataDxfId="289"/>
    <tableColumn id="2" xr3:uid="{3845F0FD-1350-7445-9D37-DED49DD677CA}" name="Ref C     3-Phase" dataDxfId="288"/>
    <tableColumn id="3" xr3:uid="{EFF6438D-2BD3-BE49-B084-048204EF5ACF}" name="Ref E      1-Phase" dataDxfId="287"/>
    <tableColumn id="4" xr3:uid="{E9D00104-FE6B-4C43-B329-6953BAAC7C99}" name="Ref E      3-Phase" dataDxfId="286"/>
    <tableColumn id="5" xr3:uid="{6BF0A041-CB9C-704F-B2F1-74E4C0F8833C}" name="Ref D      1-Phase2" dataDxfId="285"/>
    <tableColumn id="6" xr3:uid="{D94928BE-1DEA-A94C-8758-DEB254EDB949}" name="Ref D       3-Phase" dataDxfId="284"/>
    <tableColumn id="9" xr3:uid="{67D46232-A09C-1D49-9F11-7A5D91F621C4}" name="Cable Size" dataDxfId="28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2" dataDxfId="281">
  <autoFilter ref="B377:M391" xr:uid="{00000000-0009-0000-0100-000012000000}"/>
  <tableColumns count="12">
    <tableColumn id="1" xr3:uid="{977DC0F5-D51C-9E4D-9DDB-3165F08F489F}" name="Ref A      1-Phase" dataDxfId="280"/>
    <tableColumn id="2" xr3:uid="{48A7A9DE-A71C-9349-9B53-588A2D60991C}" name="Ref A      3-Phase" dataDxfId="279"/>
    <tableColumn id="3" xr3:uid="{31AB2D17-2A5A-7644-856B-C1F0A7C503D2}" name="Ref B      1-Phase" dataDxfId="278"/>
    <tableColumn id="4" xr3:uid="{1951BC6E-C885-C740-BEF5-093198D02098}" name="Ref B      3-Phase" dataDxfId="277"/>
    <tableColumn id="5" xr3:uid="{B22405E2-BB86-8C4C-8ECC-4D36F6E28444}" name="Ref C      Touching 1-Phase Flat" dataDxfId="276"/>
    <tableColumn id="6" xr3:uid="{A01DCA7F-4B23-8540-A0E1-E6F2F02840EB}" name="Ref C      Touching 3-Phase" dataDxfId="275"/>
    <tableColumn id="7" xr3:uid="{419C3070-4E0C-8A48-A33A-18211FEF0775}" name="Ref F      Touching 1-Phase Flat" dataDxfId="274"/>
    <tableColumn id="8" xr3:uid="{8262FCCD-78C0-6543-BF6D-8502E999731D}" name="Ref F      Touching 3-Phase Flat" dataDxfId="273"/>
    <tableColumn id="9" xr3:uid="{6AF71A5C-520D-9B41-B0AB-39A2950036E1}" name="Ref F      Touching 3-Phase Trefoil" dataDxfId="272"/>
    <tableColumn id="10" xr3:uid="{CD9ADE49-922A-6442-AC3C-B251F8E1947D}" name="Ref F      Spaced   Flat Horizontal" dataDxfId="271"/>
    <tableColumn id="11" xr3:uid="{1B609165-20D2-D440-B290-AC0904B15A47}" name="Ref F      Spaced   Flat Vertical" dataDxfId="270"/>
    <tableColumn id="12" xr3:uid="{D3B76686-9B4F-8A4F-8DA3-B4FF02DC9EEE}" name="Cable Size" dataDxfId="269"/>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8" dataDxfId="267">
  <autoFilter ref="B396:J407" xr:uid="{00000000-0009-0000-0100-000013000000}"/>
  <tableColumns count="9">
    <tableColumn id="1" xr3:uid="{1673942B-2C50-B841-A02B-1E16D7260D01}" name="Ref A      1-Phase" dataDxfId="266"/>
    <tableColumn id="2" xr3:uid="{A2F33BA8-22C0-914E-B0A3-96186C89D34A}" name="Ref A      3-Phase" dataDxfId="265"/>
    <tableColumn id="3" xr3:uid="{EA4577CB-C163-384C-9074-9D185EB16D59}" name="Ref B      1-Phase" dataDxfId="264"/>
    <tableColumn id="4" xr3:uid="{FE33DECC-9DAA-1744-8511-DE65626F4B88}" name="Ref B      3-Phase" dataDxfId="263"/>
    <tableColumn id="5" xr3:uid="{8EB2439F-2A5B-6C49-B76F-5385ECEE2CFA}" name="Ref C      1-Phase" dataDxfId="262"/>
    <tableColumn id="6" xr3:uid="{E8B87F04-0AA3-7743-A532-3B980DD91F53}" name="Ref C      3-Phase" dataDxfId="261"/>
    <tableColumn id="7" xr3:uid="{5AC1E31C-C239-BF43-8F8C-078304BAFD38}" name="Ref E      1-Phase" dataDxfId="260"/>
    <tableColumn id="8" xr3:uid="{1E22B2D1-E135-0940-ADB4-DEF469D1733C}" name="Ref E     3-Phase" dataDxfId="259"/>
    <tableColumn id="9" xr3:uid="{730135D8-55EB-4D4D-80DF-8C04C7521219}" name="Cable Size" dataDxfId="258"/>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7" dataDxfId="256">
  <autoFilter ref="B412:M426" xr:uid="{00000000-0009-0000-0100-000014000000}"/>
  <tableColumns count="12">
    <tableColumn id="1" xr3:uid="{1A9B1545-1974-D54C-98B4-F6FE3DF44029}" name="Ref C      Touching 1-Phase Flat" dataDxfId="255"/>
    <tableColumn id="2" xr3:uid="{FB3E3318-AFF2-564D-868D-7F3B643F0C13}" name="Ref C      Touching 3-Phase Flat" dataDxfId="254"/>
    <tableColumn id="3" xr3:uid="{5512CC60-89A0-6B47-9E6B-C459F2D3DF97}" name="Ref F      Touching 1-Phase Flat" dataDxfId="253"/>
    <tableColumn id="4" xr3:uid="{40A93E0F-E7DF-1F4B-BBC0-2F2290CCDEA1}" name="Ref F      Touching 3-Phase Flat" dataDxfId="252"/>
    <tableColumn id="5" xr3:uid="{CEAEA337-6735-3F40-8DB2-BD6F8E306460}" name="Ref F      Touching 3-Phase Trefoil" dataDxfId="251"/>
    <tableColumn id="6" xr3:uid="{32C0E437-860B-0B44-9E5A-C66261751BE3}" name="Ref F      Spaced   D.C.   Horizontal" dataDxfId="250"/>
    <tableColumn id="7" xr3:uid="{8FFCE900-B1AD-824F-91E1-4954148831BD}" name="Ref F      Spaced   D.C.   Vertical" dataDxfId="249"/>
    <tableColumn id="8" xr3:uid="{06CDE74A-BCE0-6C45-ACD4-6E3ACBE20753}" name="Ref F      Spaced     1-Phase   Horizontal" dataDxfId="248"/>
    <tableColumn id="9" xr3:uid="{46361111-7236-5F49-A66F-51C76D045135}" name="Ref F      Spaced   1-Phase   Vertical" dataDxfId="247"/>
    <tableColumn id="10" xr3:uid="{7A194A52-8EC6-ED4F-919D-420900969308}" name="Ref F      Spaced     3-Phase   Horizontal" dataDxfId="246"/>
    <tableColumn id="11" xr3:uid="{C56EA2DC-DCB1-6044-A111-5BCCB5D5133F}" name="Ref F      Spaced     3-Phase   Vertical" dataDxfId="245"/>
    <tableColumn id="12" xr3:uid="{57BD4B49-E112-8249-8596-53B8209ADEFE}" name="Cable Size" dataDxfId="244"/>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3" dataDxfId="242">
  <autoFilter ref="B431:H442" xr:uid="{00000000-0009-0000-0100-000015000000}"/>
  <tableColumns count="7">
    <tableColumn id="1" xr3:uid="{E437BF8C-5DA4-AB4F-8B17-0935A2B563FE}" name="Ref C      1-Phase" dataDxfId="241"/>
    <tableColumn id="2" xr3:uid="{E4550746-79B7-874F-890C-8BBA74D60D32}" name="Ref C     3-Phase" dataDxfId="240"/>
    <tableColumn id="3" xr3:uid="{80E819D3-282A-5F46-A290-834A000C7115}" name="Ref E      1-Phase" dataDxfId="239"/>
    <tableColumn id="4" xr3:uid="{FFC03573-1388-E64A-8E2D-B76A27A1F819}" name="Ref E      3-Phase" dataDxfId="238"/>
    <tableColumn id="5" xr3:uid="{D3E8E9A2-AEAA-014A-A600-0B7DE7E73584}" name="Ref D      1-Phase2" dataDxfId="237"/>
    <tableColumn id="6" xr3:uid="{FD8CBCC2-C2EE-524C-99B9-3D7D615E1CBA}" name="Ref D       3-Phase" dataDxfId="236"/>
    <tableColumn id="9" xr3:uid="{420EBFD7-5E6E-FD46-B24A-98EF9736E88D}" name="Cable Size" dataDxfId="235"/>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4" dataDxfId="233">
  <autoFilter ref="B241:E248" xr:uid="{00000000-0009-0000-0100-000016000000}"/>
  <tableColumns count="4">
    <tableColumn id="1" xr3:uid="{1BBE7E2E-5F58-9F4E-A904-8BACFEB0D12C}" name="1-Phase " dataDxfId="232"/>
    <tableColumn id="2" xr3:uid="{37354591-3C7E-464C-BA14-D775C105E3A3}" name="3-Phase" dataDxfId="231"/>
    <tableColumn id="3" xr3:uid="{CC938B2D-3DF8-4443-81BD-F548FEC5A192}" name="Mass Support" dataDxfId="230"/>
    <tableColumn id="9" xr3:uid="{E33CAB35-2C00-D448-924A-38978C9E6657}" name="Cable Size" dataDxfId="229"/>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8" dataDxfId="227">
  <autoFilter ref="U5:AC27" xr:uid="{00000000-0009-0000-0100-000017000000}"/>
  <tableColumns count="9">
    <tableColumn id="1" xr3:uid="{442775B6-B70A-364D-AFA6-5852AD544214}" name="Ref A      1-Phase" dataDxfId="226"/>
    <tableColumn id="2" xr3:uid="{701A09C9-7476-6046-B633-66291D7BF8C1}" name="Ref A      3-Phase" dataDxfId="225"/>
    <tableColumn id="3" xr3:uid="{483EDBDD-EDC7-F245-827A-1FE7919942C9}" name="Ref B      1-Phase" dataDxfId="224"/>
    <tableColumn id="4" xr3:uid="{6778384E-C5AA-E34A-8630-F1937A0E03A3}" name="Ref B      3-Phase" dataDxfId="223"/>
    <tableColumn id="5" xr3:uid="{6D3945F5-5A70-9C4F-8F75-EF734A292399}" name="Ref C      1-Phase" dataDxfId="222"/>
    <tableColumn id="6" xr3:uid="{6D09A362-74DC-0A45-8307-1D3A71F176C2}" name="Ref C       3-Phase" dataDxfId="221"/>
    <tableColumn id="7" xr3:uid="{1C66AF4D-BD57-7C40-BC70-74F2A490E70C}" name="Ref E      1-Phase" dataDxfId="220"/>
    <tableColumn id="8" xr3:uid="{AFDE039E-5C83-0B44-9039-846561275FE6}" name="Ref E       3-Phase" dataDxfId="219"/>
    <tableColumn id="9" xr3:uid="{43DA4CB7-3BAD-684F-9A1B-10462DF4256F}" name="Cable Size" dataDxfId="2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7" dataDxfId="216">
  <autoFilter ref="U32:X50" xr:uid="{00000000-0009-0000-0100-000018000000}"/>
  <tableColumns count="4">
    <tableColumn id="1" xr3:uid="{71D2A83C-2BCB-B243-BD55-2ECFCF6ABE49}" name="1-Phase Two-core " dataDxfId="215"/>
    <tableColumn id="2" xr3:uid="{CB1B4D2C-17D8-D74F-90A3-B7EE84A5EA46}" name="3-Phase" dataDxfId="214"/>
    <tableColumn id="3" xr3:uid="{3161F2E9-016F-3449-A627-1F9AE60307C8}" name="1-Phase Single-core" dataDxfId="213"/>
    <tableColumn id="9" xr3:uid="{4D814E3F-CD96-7348-A939-FAA2AABFB37F}" name="Cable Size" dataDxfId="212"/>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1" dataDxfId="210">
  <autoFilter ref="U55:AA68" xr:uid="{00000000-0009-0000-0100-000019000000}"/>
  <tableColumns count="7">
    <tableColumn id="1" xr3:uid="{2CA16CE5-2329-E544-9B65-03DE2A0D06FC}" name="Ref A      1-Phase" dataDxfId="209"/>
    <tableColumn id="2" xr3:uid="{5D0F6663-5F90-6D43-A6FD-C2805030777A}" name="Ref A      3-Phase" dataDxfId="208"/>
    <tableColumn id="3" xr3:uid="{7898948B-8B28-474B-9F22-BD129275EDE4}" name="Ref B      1-Phase" dataDxfId="207"/>
    <tableColumn id="4" xr3:uid="{5C6F239B-6334-8048-B711-D02F5043A392}" name="Ref B      3-Phase" dataDxfId="206"/>
    <tableColumn id="5" xr3:uid="{4D7C5C12-A3B5-8A41-9B38-C147F9C58CDC}" name="Ref C      1-Phase" dataDxfId="205"/>
    <tableColumn id="6" xr3:uid="{412E0794-DFBE-3C4A-9CE8-ED3186893C96}" name="Ref C       3-Phase" dataDxfId="204"/>
    <tableColumn id="9" xr3:uid="{2862A2A8-8FC9-0841-918D-B758A69C5279}" name="Cable Size" dataDxfId="203"/>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2" dataDxfId="201">
  <autoFilter ref="U73:X90" xr:uid="{00000000-0009-0000-0100-00001A000000}"/>
  <tableColumns count="4">
    <tableColumn id="1" xr3:uid="{805BC523-2031-A747-B3C5-0CEF394607B7}" name="1-Phase Two-core " dataDxfId="200"/>
    <tableColumn id="2" xr3:uid="{C3C6DD1A-A36E-1D4B-BDAA-EB8E3466F724}" name="3-Phase" dataDxfId="199"/>
    <tableColumn id="3" xr3:uid="{76681962-D54C-E848-AA60-8150FED3638B}" name="1-Phase Single-core" dataDxfId="198"/>
    <tableColumn id="9" xr3:uid="{F0DAB1C6-85DF-8E4F-B416-F04412A55E1A}" name="Cable Size" dataDxfId="19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6" dataDxfId="195">
  <autoFilter ref="U107:AC129" xr:uid="{00000000-0009-0000-0100-00001B000000}"/>
  <tableColumns count="9">
    <tableColumn id="1" xr3:uid="{CD264298-C41B-B94F-9D9A-C30E55A7F082}" name="Ref A      1-Phase" dataDxfId="194"/>
    <tableColumn id="2" xr3:uid="{7AB0986D-E76A-EB4A-90E7-EDFCD2575D10}" name="Ref A      3-Phase" dataDxfId="193"/>
    <tableColumn id="3" xr3:uid="{33E2B133-0463-8B48-9331-E62065EAFCB1}" name="Ref B      1-Phase" dataDxfId="192"/>
    <tableColumn id="4" xr3:uid="{1B68A3F2-A410-E147-8EA6-2722B0531A6A}" name="Ref B      3-Phase" dataDxfId="191"/>
    <tableColumn id="5" xr3:uid="{64FA6EEE-31D9-4043-B880-8EF1B001AA37}" name="Ref C      1-Phase" dataDxfId="190"/>
    <tableColumn id="6" xr3:uid="{7DC397DD-466B-0443-825A-EBDD19096741}" name="Ref C       3-Phase" dataDxfId="189"/>
    <tableColumn id="7" xr3:uid="{F9C00A81-A0BA-D44C-820C-ADD707FB27D7}" name="Ref E      1-Phase" dataDxfId="188"/>
    <tableColumn id="8" xr3:uid="{19A4B9BD-22AC-5B4B-BC98-65EAA8BD95B1}" name="Ref E       3-Phase" dataDxfId="187"/>
    <tableColumn id="9" xr3:uid="{EFE6A836-769B-3E46-849B-7878C4D3C557}" name="Cable Size" dataDxfId="186"/>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5" dataDxfId="184">
  <autoFilter ref="U134:X152" xr:uid="{00000000-0009-0000-0100-00001C000000}"/>
  <tableColumns count="4">
    <tableColumn id="1" xr3:uid="{286CC2F4-10EB-714E-A1C7-C9126272023A}" name="1-Phase Two-core " dataDxfId="183"/>
    <tableColumn id="2" xr3:uid="{41A3CAFC-1BF6-9841-8427-46F42DA43E05}" name="3-Phase" dataDxfId="182"/>
    <tableColumn id="3" xr3:uid="{96190F94-65C1-404B-9A44-DB5DB4C5D48C}" name="1-Phase Single-core" dataDxfId="181"/>
    <tableColumn id="9" xr3:uid="{FF89EF52-3E74-8C47-B0DE-07DD29D8C413}" name="Cable Size" dataDxfId="180"/>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9" dataDxfId="178">
  <autoFilter ref="U157:AA170" xr:uid="{00000000-0009-0000-0100-00001D000000}"/>
  <tableColumns count="7">
    <tableColumn id="1" xr3:uid="{88244552-406E-0D41-8343-5F2F21AD93E3}" name="Ref A      1-Phase" dataDxfId="177"/>
    <tableColumn id="2" xr3:uid="{23B0923A-6016-6B4B-8EF4-0196414F8202}" name="Ref A      3-Phase" dataDxfId="176"/>
    <tableColumn id="3" xr3:uid="{26C803A5-56E0-FA4B-9105-93FD1117ABFC}" name="Ref B      1-Phase" dataDxfId="175"/>
    <tableColumn id="4" xr3:uid="{7C85C8DB-1FA5-C541-872D-112E685550A4}" name="Ref B      3-Phase" dataDxfId="174"/>
    <tableColumn id="5" xr3:uid="{E48B910A-D3E8-0340-94D6-F72A13DAD772}" name="Ref C      1-Phase" dataDxfId="173"/>
    <tableColumn id="6" xr3:uid="{6A92A41D-B5D0-9E46-ABD8-FDBE4C5BBB93}" name="Ref C       3-Phase" dataDxfId="172"/>
    <tableColumn id="9" xr3:uid="{ED47B4E4-8201-6B47-9CC9-40F8AB70EBC4}" name="Cable Size" dataDxfId="171"/>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0" dataDxfId="169">
  <autoFilter ref="U175:X192" xr:uid="{00000000-0009-0000-0100-00001E000000}"/>
  <tableColumns count="4">
    <tableColumn id="1" xr3:uid="{6C1DD6A4-51AB-B047-B3B6-EBDC7DB8CC3D}" name="1-Phase Two-core " dataDxfId="168"/>
    <tableColumn id="2" xr3:uid="{67A9DE25-6DDA-AA47-A614-908C221007A4}" name="3-Phase" dataDxfId="167"/>
    <tableColumn id="3" xr3:uid="{1E46A9AA-1975-2C43-B5F3-BE552E58B13C}" name="1-Phase Single-core" dataDxfId="166"/>
    <tableColumn id="9" xr3:uid="{6CC414B1-E2DE-4B48-9A1B-0A9143B4346A}" name="Cable Size" dataDxfId="165"/>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4" dataDxfId="163">
  <autoFilter ref="U197:Z214" xr:uid="{00000000-0009-0000-0100-00001F000000}"/>
  <tableColumns count="6">
    <tableColumn id="1" xr3:uid="{6839D94C-0751-3049-8347-BFADF4A131C3}" name="Ref A      1-Phase" dataDxfId="162"/>
    <tableColumn id="2" xr3:uid="{851784FD-ED3E-0D40-959D-506271E178BF}" name="Ref A      3-Phase" dataDxfId="161"/>
    <tableColumn id="3" xr3:uid="{06CFB962-A74E-5343-8FCF-7168A62B582F}" name="Ref B      1-Phase" dataDxfId="160"/>
    <tableColumn id="4" xr3:uid="{E376AF64-DEF9-4D4D-A57E-CCA00E5B4F87}" name="Ref B      3-Phase" dataDxfId="159"/>
    <tableColumn id="5" xr3:uid="{24622E45-356F-EC4C-B4FF-E916E424FDA4}" name="Ref C      1-Phase" dataDxfId="158"/>
    <tableColumn id="9" xr3:uid="{1320BF40-CA67-FC4A-B637-B9701CE70F37}" name="Cable Size" dataDxfId="15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6" dataDxfId="155">
  <autoFilter ref="U219:Y236" xr:uid="{00000000-0009-0000-0100-000020000000}"/>
  <tableColumns count="5">
    <tableColumn id="1" xr3:uid="{D0AE4E37-EC70-2843-AFBC-461F77FB177A}" name="Ref A      1-Phase" dataDxfId="154"/>
    <tableColumn id="2" xr3:uid="{92008B8B-D102-D043-806A-8E05AA4E29CF}" name="Ref A      3-Phase" dataDxfId="153"/>
    <tableColumn id="3" xr3:uid="{B95C18D8-8E65-844A-9B77-CEACE0DBCAB2}" name="Ref B      1-Phase" dataDxfId="152"/>
    <tableColumn id="4" xr3:uid="{5F744D7F-AF21-2445-89DA-590DA395B762}" name="Ref B      3-Phase" dataDxfId="151"/>
    <tableColumn id="9" xr3:uid="{EB48D9DA-6EC7-594A-84F5-3AEC7125AC1B}" name="Cable Size" dataDxfId="150"/>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9" dataDxfId="148">
  <autoFilter ref="U241:W248" xr:uid="{00000000-0009-0000-0100-000021000000}"/>
  <tableColumns count="3">
    <tableColumn id="1" xr3:uid="{3F6A6880-AC94-3647-8A85-D5A203894DA8}" name="Ref A      1-Phase" dataDxfId="147"/>
    <tableColumn id="2" xr3:uid="{146399FF-4C07-544F-99B6-777CA87E38BD}" name="Ref A      3-Phase" dataDxfId="146"/>
    <tableColumn id="9" xr3:uid="{CA97158B-BD6D-2948-9C8C-E2D3606858B2}" name="Cable Size" dataDxfId="145"/>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4" dataDxfId="143">
  <autoFilter ref="U253:AA269" xr:uid="{00000000-0009-0000-0100-000022000000}"/>
  <tableColumns count="7">
    <tableColumn id="1" xr3:uid="{0DD43760-916D-E045-9276-784738D9CF46}" name="Ref A      1-Phase" dataDxfId="142"/>
    <tableColumn id="2" xr3:uid="{AE646303-8EDF-1C45-87A9-98BDCD8E4AD4}" name="Ref A      3-Phase" dataDxfId="141"/>
    <tableColumn id="3" xr3:uid="{8FC7715F-F33C-5C42-8CD2-408760852A4D}" name="Ref B      1-Phase" dataDxfId="140"/>
    <tableColumn id="4" xr3:uid="{E7500A6C-3A01-AF49-AECC-43CB9F4B3306}" name="Ref B      3-Phase" dataDxfId="139"/>
    <tableColumn id="5" xr3:uid="{8BF20898-863A-E043-87DE-A37F45BEFEF8}" name="Ref C      1-Phase" dataDxfId="138"/>
    <tableColumn id="6" xr3:uid="{978C7074-349D-DF4C-9AC8-BB23EFFEDCDF}" name="Ref C       3-Phase" dataDxfId="137"/>
    <tableColumn id="9" xr3:uid="{69D26A98-D975-F244-996F-40C60BBBC181}" name="Cable Size" dataDxfId="13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5" dataDxfId="134">
  <autoFilter ref="U280:AA296" xr:uid="{00000000-0009-0000-0100-000023000000}"/>
  <tableColumns count="7">
    <tableColumn id="1" xr3:uid="{2A69F06F-33D6-C94F-AC05-47AF903FEF18}" name="Ref A      1-Phase" dataDxfId="133"/>
    <tableColumn id="2" xr3:uid="{781D8D34-40A6-734F-B968-7E38FCE5B2F1}" name="Ref A      3-Phase" dataDxfId="132"/>
    <tableColumn id="3" xr3:uid="{9594DB4F-A46C-5E42-A34A-64E30FF3A786}" name="Ref B      1-Phase" dataDxfId="131"/>
    <tableColumn id="4" xr3:uid="{EF91A6F7-9752-F546-9D4A-6C9B8280B50A}" name="Ref B      3-Phase" dataDxfId="130"/>
    <tableColumn id="5" xr3:uid="{41B000A5-F5F8-524B-B496-0ABF56257F4A}" name="Ref C      1-Phase" dataDxfId="129"/>
    <tableColumn id="6" xr3:uid="{97F2885B-DC71-DD4D-B680-FB44F6ADB184}" name="Ref C       3-Phase" dataDxfId="128"/>
    <tableColumn id="9" xr3:uid="{2167D0D9-A80C-1244-9C54-F05DC247BECF}" name="Cable Size" dataDxfId="127"/>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6" dataDxfId="125">
  <autoFilter ref="U307:AC321" xr:uid="{00000000-0009-0000-0100-000024000000}"/>
  <tableColumns count="9">
    <tableColumn id="1" xr3:uid="{6D1FC2C1-E26F-7240-88CA-54880799F5E6}" name="Ref A      1-Phase" dataDxfId="124"/>
    <tableColumn id="2" xr3:uid="{C5E743AF-51A2-CF46-AB33-5D297AA0ABB7}" name="Ref A      3-Phase" dataDxfId="123"/>
    <tableColumn id="3" xr3:uid="{DA0F157C-C0DA-594A-B7D6-7043EB9BABBC}" name="Ref B      1-Phase" dataDxfId="122"/>
    <tableColumn id="4" xr3:uid="{DD814B35-0B80-D942-A5FB-30C8EA7B039F}" name="Ref B      3-Phase" dataDxfId="121"/>
    <tableColumn id="5" xr3:uid="{907F9B0D-05CC-9145-8121-8066E2A7B815}" name="Ref C      1-Phase" dataDxfId="120"/>
    <tableColumn id="6" xr3:uid="{2FC8BD82-2CE4-D847-A84D-C6C89C98B5EE}" name="Ref C       3-Phase" dataDxfId="119"/>
    <tableColumn id="8" xr3:uid="{EE7E0B79-3899-8B46-BDFF-55EEB0C89132}" name="Column2" dataDxfId="118"/>
    <tableColumn id="7" xr3:uid="{86FC327A-BFB8-BE45-9FCA-18D5C2E1C8D3}" name="Column1" dataDxfId="117"/>
    <tableColumn id="9" xr3:uid="{55BA9153-8617-084D-8072-2BDEA873C11D}" name="Cable Size" dataDxfId="116"/>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5" dataDxfId="114">
  <autoFilter ref="U326:X337" xr:uid="{00000000-0009-0000-0100-000025000000}"/>
  <tableColumns count="4">
    <tableColumn id="1" xr3:uid="{92AF1925-C073-CF43-BAFA-02B96BBF0E3B}" name="Ref A      1-Phase" dataDxfId="113"/>
    <tableColumn id="2" xr3:uid="{33F3EC0F-2239-AF49-8C0E-53D9E74F05E7}" name="Ref A      3-Phase" dataDxfId="112"/>
    <tableColumn id="3" xr3:uid="{A270D948-A4B7-544E-9B39-338285BA4DEA}" name="Ref B      1-Phase" dataDxfId="111"/>
    <tableColumn id="9" xr3:uid="{5682BCA9-139B-C041-B901-A3A1F27871C3}" name="Cable Size" dataDxfId="110"/>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9" dataDxfId="108">
  <autoFilter ref="U342:AA356" xr:uid="{00000000-0009-0000-0100-000026000000}"/>
  <tableColumns count="7">
    <tableColumn id="1" xr3:uid="{6D7FCA58-8E88-7942-8439-0654AFC22F9D}" name="Ref A      1-Phase" dataDxfId="107"/>
    <tableColumn id="2" xr3:uid="{E633F24B-7E9D-CE46-8396-913DD0FA6B18}" name="Ref A      3-Phase" dataDxfId="106"/>
    <tableColumn id="3" xr3:uid="{0DF420AE-F8D0-804B-BBC4-BC57A86FC9F0}" name="Ref B      1-Phase" dataDxfId="105"/>
    <tableColumn id="4" xr3:uid="{08F2BE3C-B823-3441-BFEB-299C43E9BA5A}" name="Ref B      3-Phase" dataDxfId="104"/>
    <tableColumn id="5" xr3:uid="{62B98567-7764-BD4D-BBF3-B2E3EBF0BEF3}" name="Ref C      1-Phase" dataDxfId="103"/>
    <tableColumn id="6" xr3:uid="{AC653322-D67A-9E4A-810D-839C5DB1E19B}" name="Ref C       3-Phase" dataDxfId="102"/>
    <tableColumn id="9" xr3:uid="{0B7A9BE7-15CB-1B47-9F8D-2F1E7AB64222}" name="Cable Size" dataDxfId="101"/>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0" dataDxfId="99">
  <autoFilter ref="U361:X372" xr:uid="{00000000-0009-0000-0100-000027000000}"/>
  <tableColumns count="4">
    <tableColumn id="1" xr3:uid="{E5ACE972-8DD3-E94A-B3B8-0F5A5EBF1267}" name="Ref A      1-Phase" dataDxfId="98"/>
    <tableColumn id="2" xr3:uid="{58126E42-F2E2-3848-A3A7-CBA45806B710}" name="Ref A      3-Phase" dataDxfId="97"/>
    <tableColumn id="3" xr3:uid="{691C67C6-7643-BE47-91A0-834EE1BA4FE0}" name="Ref B      1-Phase" dataDxfId="96"/>
    <tableColumn id="9" xr3:uid="{56D2D4EA-A80B-C242-AC7E-941FBB3018BA}" name="Cable Size" dataDxfId="95"/>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4" dataDxfId="93">
  <autoFilter ref="U377:AC391" xr:uid="{00000000-0009-0000-0100-000028000000}"/>
  <tableColumns count="9">
    <tableColumn id="1" xr3:uid="{B5684DD1-E7C0-EF44-82A1-E465985F4FBB}" name="Ref A      1-Phase" dataDxfId="92"/>
    <tableColumn id="2" xr3:uid="{121E355F-1833-6949-BE2E-A5AD75C4B758}" name="Ref A      3-Phase" dataDxfId="91"/>
    <tableColumn id="3" xr3:uid="{D56FA428-1D69-C341-803C-CE89E33068A3}" name="Ref B      1-Phase" dataDxfId="90"/>
    <tableColumn id="4" xr3:uid="{B8345CFE-8E8E-E048-9449-D169E9085655}" name="Ref B      3-Phase" dataDxfId="89"/>
    <tableColumn id="5" xr3:uid="{B82156BC-3301-AD46-AB3F-8E3CAD3853FC}" name="Ref C      1-Phase" dataDxfId="88"/>
    <tableColumn id="6" xr3:uid="{0D7E55C6-D73A-984C-A04B-79203A61716C}" name="Ref C       3-Phase" dataDxfId="87"/>
    <tableColumn id="8" xr3:uid="{593D1752-5218-814D-A3C3-73E984C4628D}" name="Column2" dataDxfId="86"/>
    <tableColumn id="7" xr3:uid="{0CE8ED9D-7D87-A44D-AB57-B8CD537D7961}" name="Column1" dataDxfId="85"/>
    <tableColumn id="9" xr3:uid="{93AE7876-D85B-6540-AD96-ADC7B2638190}" name="Cable Size" dataDxfId="84"/>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3" dataDxfId="82">
  <autoFilter ref="U396:X407" xr:uid="{00000000-0009-0000-0100-000029000000}"/>
  <tableColumns count="4">
    <tableColumn id="1" xr3:uid="{629A9060-7BF6-E649-A85B-7879D8CC91EF}" name="Ref A      1-Phase" dataDxfId="81"/>
    <tableColumn id="2" xr3:uid="{22EA7403-AE82-084D-AE1B-7030BC0C63A0}" name="Ref A      3-Phase" dataDxfId="80"/>
    <tableColumn id="3" xr3:uid="{9F692CC1-4F91-EB4F-B3AC-671C23BE0C57}" name="Ref B      1-Phase" dataDxfId="79"/>
    <tableColumn id="9" xr3:uid="{56DD2169-D436-F848-9B14-895D34C09720}" name="Cable Size" dataDxfId="78"/>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7" dataDxfId="76">
  <autoFilter ref="U412:AA426" xr:uid="{00000000-0009-0000-0100-00002A000000}"/>
  <tableColumns count="7">
    <tableColumn id="1" xr3:uid="{B18BCCC7-99E1-B14A-BFAC-0B4E30E2DF09}" name="Ref A      1-Phase" dataDxfId="75"/>
    <tableColumn id="2" xr3:uid="{8DB24597-5557-2747-80A8-266E72BD06DC}" name="Ref A      3-Phase" dataDxfId="74"/>
    <tableColumn id="3" xr3:uid="{C4201E8C-64F7-9241-98F6-44242F9B5E75}" name="Ref B      1-Phase" dataDxfId="73"/>
    <tableColumn id="4" xr3:uid="{8D7D6662-BAB7-9A4C-87D8-B0BB6DED5601}" name="Ref B      3-Phase" dataDxfId="72"/>
    <tableColumn id="5" xr3:uid="{D9609F69-F8BE-814C-B86F-088619CF25DB}" name="Ref C      1-Phase" dataDxfId="71"/>
    <tableColumn id="6" xr3:uid="{0497F70E-F0E0-A242-BBE5-68723EDE715E}" name="Ref C       3-Phase" dataDxfId="70"/>
    <tableColumn id="9" xr3:uid="{32A5BEA2-DBCE-224B-8633-140795601F1B}" name="Cable Size" dataDxfId="69"/>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8" dataDxfId="67">
  <autoFilter ref="U431:X442" xr:uid="{00000000-0009-0000-0100-00002B000000}"/>
  <tableColumns count="4">
    <tableColumn id="1" xr3:uid="{3AC68602-9E1A-E345-85E3-B2412AD8C2B5}" name="Ref A      1-Phase" dataDxfId="66"/>
    <tableColumn id="2" xr3:uid="{6232D800-8E9A-2546-A8B1-A43611DF838E}" name="Ref A      3-Phase" dataDxfId="65"/>
    <tableColumn id="3" xr3:uid="{0F63577F-820A-454F-ADF6-5842A002AA70}" name="Ref B      1-Phase" dataDxfId="64"/>
    <tableColumn id="9" xr3:uid="{C4EE797C-3F84-9042-A0A4-DBDA345D0F8D}" name="Cable Size" dataDxfId="6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D155" activePane="bottomRight" state="frozen"/>
      <selection activeCell="O51" sqref="O51"/>
      <selection pane="topRight" activeCell="O51" sqref="O51"/>
      <selection pane="bottomLeft" activeCell="O51" sqref="O51"/>
      <selection pane="bottomRight" activeCell="A171" sqref="A171"/>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f>IF(AND('Customer Base'!D$20="BYD",'Customer Base'!E$20=5,'Customer Base'!D7&lt;&gt;"Grid-Tied"),'Customer Base'!J$8+IF(AND('Customer Base'!D13="Victron",'Customer Base'!D7="Backup"),'Customer Base'!J8,0),"")</f>
        <v>30</v>
      </c>
      <c r="J1" s="103" t="s">
        <v>800</v>
      </c>
      <c r="K1" s="225" t="s">
        <v>2698</v>
      </c>
      <c r="L1" s="313">
        <f ca="1">IF(NOW()&gt;INVOICE!Q13,"",IF(AND('Customer Base'!D7&lt;&gt;"Grid-Tied",'Customer Base'!D7&lt;&gt;"Backup",SUM('Client List'!EE477:EE491)&lt;&gt;0,AND('Customer Base'!D13="Victron",'Customer Base'!D14&lt;&gt;6)),('Client List'!EE474*'Client List'!EC474),0)+IF(AND('Customer Base'!D7&lt;&gt;"Grid-Tied",'Customer Base'!D7&lt;&gt;"Backup",SUM('Client List'!EE477:EE491)&lt;&gt;0,AND('Customer Base'!D13="Victron",'Customer Base'!D14&lt;&gt;6)),('Client List'!IM474*'Client List'!IK474),0)+IF(AND('Customer Base'!D7&lt;&gt;"Grid-Tied",'Customer Base'!D7&lt;&gt;"Backup",AND(SUM('Client List'!EE477:EE491)=0,'Client List'!EC474&gt;0)),1,0)+IFERROR(L5,0))</f>
        <v>6</v>
      </c>
      <c r="M1" s="103" t="s">
        <v>2485</v>
      </c>
      <c r="N1" s="103">
        <f ca="1">IFERROR('Client List'!AC493,IF(AND('Customer Base'!D7&lt;&gt;"Backup",SUMPRODUCT(A6:A132,AP6:AP132)&gt;0),SUM(A242:A254)/L5,0))</f>
        <v>5</v>
      </c>
      <c r="AX1" s="225" t="s">
        <v>1214</v>
      </c>
      <c r="AY1" s="225" t="s">
        <v>2199</v>
      </c>
      <c r="AZ1" s="227" t="s">
        <v>2313</v>
      </c>
      <c r="BA1" s="103">
        <v>1</v>
      </c>
      <c r="BB1" s="103">
        <f>INDEX(AM6:AM284,MATCH(AZ1,AN6:AN284,0))</f>
        <v>3</v>
      </c>
      <c r="BC1" s="103" t="s">
        <v>1228</v>
      </c>
      <c r="BD1" s="103">
        <f>INDEX(AQ6:AQ284,MATCH(AZ1,AN6:AN284,0))</f>
        <v>48</v>
      </c>
      <c r="BE1" s="225" t="s">
        <v>2318</v>
      </c>
    </row>
    <row r="2" spans="1:68">
      <c r="A2" s="269" cm="1">
        <f t="array" aca="1" ref="A2" ca="1">INDEX(A6:A549,SMALL(IF(A6:A549&lt;&gt;"",ROW(A6:A549)-MIN(ROW(A6:A549))+1),2))</f>
        <v>6</v>
      </c>
      <c r="B2" s="270">
        <v>4</v>
      </c>
      <c r="C2" s="103" t="b">
        <f ca="1">IF(AND('Customer Base'!D7="Backup",'Customer Base'!D13="Victron"),0,IF(AND('CABLE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0</v>
      </c>
      <c r="G2" s="103"/>
      <c r="I2" s="228"/>
      <c r="J2" s="103" t="s">
        <v>1174</v>
      </c>
      <c r="K2" s="103" t="s">
        <v>10</v>
      </c>
      <c r="L2" s="103">
        <v>600</v>
      </c>
      <c r="M2" s="103" t="s">
        <v>989</v>
      </c>
      <c r="N2" s="228"/>
      <c r="P2" s="103" t="str">
        <f>"Exchange Rate: USD 1 = GH₵ "&amp;'Customer Base'!J5</f>
        <v>Exchange Rate: USD 1 = GH₵ 16</v>
      </c>
      <c r="AX2" s="225"/>
      <c r="BB2" s="103">
        <f>INDEX(AM6:AM284,MATCH(AZ4,AN6:AN284,0))</f>
        <v>0.55500000000000005</v>
      </c>
      <c r="BC2" s="103" t="s">
        <v>2315</v>
      </c>
      <c r="BD2" s="103">
        <f>INDEX(AQ6:AQ284,MATCH(AZ4,AN6:AN284,0))</f>
        <v>49.72</v>
      </c>
      <c r="BE2" s="103" t="s">
        <v>2316</v>
      </c>
    </row>
    <row r="3" spans="1:68">
      <c r="C3" s="229" t="s">
        <v>797</v>
      </c>
      <c r="D3" s="229" t="s">
        <v>1279</v>
      </c>
      <c r="E3" s="229" t="s">
        <v>1280</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2194</v>
      </c>
      <c r="AY3" s="225" t="s">
        <v>2212</v>
      </c>
      <c r="AZ3" s="227" t="s">
        <v>2295</v>
      </c>
      <c r="BA3" s="103">
        <v>1</v>
      </c>
      <c r="BB3" s="103">
        <f>INDEX(AM6:AM284,MATCH(AZ3,AN6:AN284,0))</f>
        <v>4.8</v>
      </c>
      <c r="BC3" s="103" t="s">
        <v>1229</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2317</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1885</v>
      </c>
      <c r="AY4" s="225" t="s">
        <v>2298</v>
      </c>
      <c r="AZ4" s="103" t="s">
        <v>2303</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10.344827586206897</v>
      </c>
      <c r="BM4" s="103">
        <f>MOD('Customer Base'!$J$9*1000*0.8,$BO4)</f>
        <v>400</v>
      </c>
      <c r="BN4" s="103">
        <v>20</v>
      </c>
      <c r="BO4" s="103">
        <v>1160</v>
      </c>
      <c r="BP4" s="231"/>
    </row>
    <row r="5" spans="1:68">
      <c r="C5" s="232" t="s">
        <v>1882</v>
      </c>
      <c r="D5" s="233"/>
      <c r="E5" s="233"/>
      <c r="F5" s="233"/>
      <c r="G5" s="234"/>
      <c r="H5" s="233"/>
      <c r="I5" s="235"/>
      <c r="K5" s="225" t="s">
        <v>2697</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1206</v>
      </c>
      <c r="AR5" s="103" t="s">
        <v>2202</v>
      </c>
      <c r="AS5" s="103" t="s">
        <v>2196</v>
      </c>
      <c r="AT5" s="103" t="s">
        <v>2187</v>
      </c>
      <c r="AU5" s="103" t="s">
        <v>2188</v>
      </c>
      <c r="AZ5" s="226" t="s">
        <v>2310</v>
      </c>
      <c r="BA5" s="225" t="s">
        <v>1214</v>
      </c>
      <c r="BB5" s="225" t="s">
        <v>2197</v>
      </c>
      <c r="BC5" s="103" t="s">
        <v>2210</v>
      </c>
      <c r="BD5" s="103" t="s">
        <v>1215</v>
      </c>
      <c r="BE5" s="103" t="s">
        <v>2309</v>
      </c>
      <c r="BL5" s="231">
        <f>'Customer Base'!$J$9*1000*0.8/$BO$5</f>
        <v>6</v>
      </c>
      <c r="BM5" s="103">
        <f>MOD('Customer Base'!$J$9*1000*0.8,$BO5)</f>
        <v>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1481</v>
      </c>
      <c r="T6" s="103" t="s">
        <v>2836</v>
      </c>
      <c r="U6" s="103" t="s">
        <v>1207</v>
      </c>
      <c r="W6" s="103" t="s">
        <v>1462</v>
      </c>
      <c r="AD6" s="103" t="s">
        <v>1419</v>
      </c>
      <c r="AM6" s="239">
        <v>0.25</v>
      </c>
      <c r="AN6" s="239" t="s">
        <v>2218</v>
      </c>
      <c r="AO6" s="103" t="str">
        <f>IF('Customer Base'!$I$15="MANUAL",IFERROR(AM6*B6,""),IF('Customer Base'!$I$15="AUTOMATE",IFERROR(AM6*A6,""),""))</f>
        <v/>
      </c>
      <c r="AQ6" s="103">
        <v>12</v>
      </c>
      <c r="AR6" s="103" t="s">
        <v>2195</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4.615384615384615</v>
      </c>
      <c r="BM6" s="103">
        <f>MOD('Customer Base'!$J$9*1000*0.8,$BO6)</f>
        <v>1600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1211</v>
      </c>
      <c r="T7" s="103" t="s">
        <v>2835</v>
      </c>
      <c r="U7" s="103" t="s">
        <v>1210</v>
      </c>
      <c r="W7" s="103" t="s">
        <v>1463</v>
      </c>
      <c r="AD7" s="104" t="s">
        <v>1421</v>
      </c>
      <c r="AE7" s="104" t="s">
        <v>1422</v>
      </c>
      <c r="AF7" s="104" t="s">
        <v>1423</v>
      </c>
      <c r="AG7" s="104" t="s">
        <v>1420</v>
      </c>
      <c r="AH7" s="104"/>
      <c r="AI7" s="104"/>
      <c r="AJ7" s="104" t="s">
        <v>1424</v>
      </c>
      <c r="AM7" s="239">
        <v>0.375</v>
      </c>
      <c r="AN7" s="239" t="s">
        <v>2219</v>
      </c>
      <c r="AO7" s="103" t="str">
        <f>IF('Customer Base'!$I$15="MANUAL",IFERROR(AM7*B7,""),IF('Customer Base'!$I$15="AUTOMATE",IFERROR(AM7*A7,""),""))</f>
        <v/>
      </c>
      <c r="AQ7" s="103">
        <v>12</v>
      </c>
      <c r="AR7" s="103" t="s">
        <v>2195</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3.4883720930232558</v>
      </c>
      <c r="BM7" s="103">
        <f>MOD('Customer Base'!$J$9*1000*0.8,$BO7)</f>
        <v>1680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1649</v>
      </c>
      <c r="Q8" s="103" t="s">
        <v>1535</v>
      </c>
      <c r="S8" s="103" t="s">
        <v>1212</v>
      </c>
      <c r="T8" s="103" t="s">
        <v>2837</v>
      </c>
      <c r="U8" s="103" t="s">
        <v>1208</v>
      </c>
      <c r="AD8" s="103" t="s">
        <v>1438</v>
      </c>
      <c r="AE8" s="103" t="s">
        <v>1426</v>
      </c>
      <c r="AF8" s="103" t="s">
        <v>1437</v>
      </c>
      <c r="AG8" s="103" t="s">
        <v>1416</v>
      </c>
      <c r="AH8" s="103" t="s">
        <v>1439</v>
      </c>
      <c r="AI8" s="103" t="s">
        <v>1440</v>
      </c>
      <c r="AJ8" s="103" t="s">
        <v>1456</v>
      </c>
      <c r="AM8" s="239">
        <v>0.5</v>
      </c>
      <c r="AN8" s="239" t="s">
        <v>2220</v>
      </c>
      <c r="AO8" s="103" t="str">
        <f>IF('Customer Base'!$I$15="MANUAL",IFERROR(AM8*B8,""),IF('Customer Base'!$I$15="AUTOMATE",IFERROR(AM8*A8,""),""))</f>
        <v/>
      </c>
      <c r="AQ8" s="103">
        <v>12</v>
      </c>
      <c r="AR8" s="103" t="s">
        <v>2195</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3</v>
      </c>
      <c r="BM8" s="103">
        <f>MOD('Customer Base'!$J$9*1000*0.8,$BO8)</f>
        <v>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1612</v>
      </c>
      <c r="S9" s="103" t="s">
        <v>1907</v>
      </c>
      <c r="T9" s="103" t="s">
        <v>2838</v>
      </c>
      <c r="U9" s="103" t="s">
        <v>1209</v>
      </c>
      <c r="W9" s="103" t="s">
        <v>1812</v>
      </c>
      <c r="AD9" s="103" t="s">
        <v>20</v>
      </c>
      <c r="AE9" s="103" t="s">
        <v>1417</v>
      </c>
      <c r="AF9" s="103" t="s">
        <v>1418</v>
      </c>
      <c r="AG9" s="103" t="s">
        <v>1416</v>
      </c>
      <c r="AH9" s="103" t="s">
        <v>21</v>
      </c>
      <c r="AI9" s="103" t="s">
        <v>22</v>
      </c>
      <c r="AJ9" s="103" t="s">
        <v>1425</v>
      </c>
      <c r="AM9" s="239">
        <v>0.8</v>
      </c>
      <c r="AN9" s="239" t="s">
        <v>2221</v>
      </c>
      <c r="AO9" s="103" t="str">
        <f>IF('Customer Base'!$I$15="MANUAL",IFERROR(AM9*B9,""),IF('Customer Base'!$I$15="AUTOMATE",IFERROR(AM9*A9,""),""))</f>
        <v/>
      </c>
      <c r="AQ9" s="103">
        <v>12</v>
      </c>
      <c r="AR9" s="103" t="s">
        <v>2195</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2.4489795918367347</v>
      </c>
      <c r="BM9" s="103">
        <f>MOD('Customer Base'!$J$9*1000*0.8,$BO9)</f>
        <v>2200</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T10" s="103" t="s">
        <v>1908</v>
      </c>
      <c r="U10" s="103" t="s">
        <v>1205</v>
      </c>
      <c r="W10" s="103" t="s">
        <v>1813</v>
      </c>
      <c r="AD10" s="103" t="s">
        <v>1442</v>
      </c>
      <c r="AE10" s="103" t="s">
        <v>1427</v>
      </c>
      <c r="AF10" s="103" t="s">
        <v>1432</v>
      </c>
      <c r="AG10" s="103" t="s">
        <v>1416</v>
      </c>
      <c r="AH10" s="103" t="s">
        <v>1443</v>
      </c>
      <c r="AI10" s="103" t="s">
        <v>1441</v>
      </c>
      <c r="AJ10" s="103" t="s">
        <v>1457</v>
      </c>
      <c r="AM10" s="239">
        <v>1.2</v>
      </c>
      <c r="AN10" s="239" t="s">
        <v>2314</v>
      </c>
      <c r="AO10" s="103">
        <f>IF('Customer Base'!$I$15="MANUAL",IFERROR(AM10*B10,""),IF('Customer Base'!$I$15="AUTOMATE",IFERROR(AM10*A10,""),""))</f>
        <v>0</v>
      </c>
      <c r="AQ10" s="103">
        <v>12</v>
      </c>
      <c r="AR10" s="103" t="s">
        <v>2195</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2.0689655172413794</v>
      </c>
      <c r="BM10" s="103">
        <f>MOD('Customer Base'!$J$9*1000*0.8,$BO10)</f>
        <v>400</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1578</v>
      </c>
      <c r="U11" s="103" t="s">
        <v>1232</v>
      </c>
      <c r="W11" s="103" t="s">
        <v>1814</v>
      </c>
      <c r="AD11" s="103" t="s">
        <v>1445</v>
      </c>
      <c r="AE11" s="103" t="s">
        <v>1428</v>
      </c>
      <c r="AF11" s="103" t="s">
        <v>1433</v>
      </c>
      <c r="AG11" s="103" t="s">
        <v>1416</v>
      </c>
      <c r="AH11" s="103" t="s">
        <v>1444</v>
      </c>
      <c r="AI11" s="103" t="s">
        <v>1455</v>
      </c>
      <c r="AJ11" s="103" t="s">
        <v>1458</v>
      </c>
      <c r="AM11" s="239">
        <v>0.25</v>
      </c>
      <c r="AN11" s="239" t="s">
        <v>2223</v>
      </c>
      <c r="AO11" s="103">
        <f>IF('Customer Base'!$I$15="MANUAL",IFERROR(AM11*B11,""),IF('Customer Base'!$I$15="AUTOMATE",IFERROR(AM11*A11,""),""))</f>
        <v>0</v>
      </c>
      <c r="AQ11" s="103">
        <v>24</v>
      </c>
      <c r="AR11" s="103" t="s">
        <v>2195</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1220</v>
      </c>
      <c r="U12" s="103" t="s">
        <v>1269</v>
      </c>
      <c r="W12" s="103" t="s">
        <v>1815</v>
      </c>
      <c r="AD12" s="103" t="s">
        <v>1447</v>
      </c>
      <c r="AE12" s="103" t="s">
        <v>1429</v>
      </c>
      <c r="AF12" s="103" t="s">
        <v>1434</v>
      </c>
      <c r="AG12" s="103" t="s">
        <v>1416</v>
      </c>
      <c r="AH12" s="103" t="s">
        <v>1448</v>
      </c>
      <c r="AI12" s="103" t="s">
        <v>1446</v>
      </c>
      <c r="AJ12" s="103" t="s">
        <v>1459</v>
      </c>
      <c r="AM12" s="239">
        <v>0.375</v>
      </c>
      <c r="AN12" s="239" t="s">
        <v>2224</v>
      </c>
      <c r="AO12" s="103">
        <f>IF('Customer Base'!$I$15="MANUAL",IFERROR(AM12*B12,""),IF('Customer Base'!$I$15="AUTOMATE",IFERROR(AM12*A12,""),""))</f>
        <v>0</v>
      </c>
      <c r="AQ12" s="103">
        <v>24</v>
      </c>
      <c r="AR12" s="103" t="s">
        <v>2195</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2.0689655172413794</v>
      </c>
      <c r="BM12" s="103">
        <f>MAX(BM4:BM10)</f>
        <v>2200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1623</v>
      </c>
      <c r="W13" s="103" t="s">
        <v>1816</v>
      </c>
      <c r="AD13" s="103" t="s">
        <v>1449</v>
      </c>
      <c r="AE13" s="103" t="s">
        <v>1430</v>
      </c>
      <c r="AF13" s="103" t="s">
        <v>1435</v>
      </c>
      <c r="AG13" s="103" t="s">
        <v>1416</v>
      </c>
      <c r="AH13" s="103" t="s">
        <v>1450</v>
      </c>
      <c r="AI13" s="103" t="s">
        <v>1451</v>
      </c>
      <c r="AJ13" s="103" t="s">
        <v>1456</v>
      </c>
      <c r="AM13" s="239">
        <v>0.5</v>
      </c>
      <c r="AN13" s="239" t="s">
        <v>2225</v>
      </c>
      <c r="AO13" s="103" t="str">
        <f>IF('Customer Base'!$I$15="MANUAL",IFERROR(AM13*B13,""),IF('Customer Base'!$I$15="AUTOMATE",IFERROR(AM13*A13,""),""))</f>
        <v/>
      </c>
      <c r="AQ13" s="103">
        <v>24</v>
      </c>
      <c r="AR13" s="103" t="s">
        <v>2195</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1233</v>
      </c>
      <c r="U14" s="103" t="s">
        <v>1270</v>
      </c>
      <c r="W14" s="103" t="s">
        <v>1817</v>
      </c>
      <c r="AD14" s="103" t="s">
        <v>1453</v>
      </c>
      <c r="AE14" s="103" t="s">
        <v>1431</v>
      </c>
      <c r="AF14" s="103" t="s">
        <v>1436</v>
      </c>
      <c r="AG14" s="103" t="s">
        <v>1416</v>
      </c>
      <c r="AH14" s="103" t="s">
        <v>1452</v>
      </c>
      <c r="AI14" s="103" t="s">
        <v>1454</v>
      </c>
      <c r="AJ14" s="103" t="s">
        <v>1460</v>
      </c>
      <c r="AM14" s="239">
        <v>0.8</v>
      </c>
      <c r="AN14" s="239" t="s">
        <v>2226</v>
      </c>
      <c r="AO14" s="103" t="str">
        <f>IF('Customer Base'!$I$15="MANUAL",IFERROR(AM14*B14,""),IF('Customer Base'!$I$15="AUTOMATE",IFERROR(AM14*A14,""),""))</f>
        <v/>
      </c>
      <c r="AQ14" s="103">
        <v>24</v>
      </c>
      <c r="AR14" s="103" t="s">
        <v>2195</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1265</v>
      </c>
      <c r="U15" s="103" t="s">
        <v>1652</v>
      </c>
      <c r="W15" s="103" t="s">
        <v>1818</v>
      </c>
      <c r="AD15" s="103" t="s">
        <v>2379</v>
      </c>
      <c r="AE15" s="103" t="s">
        <v>2380</v>
      </c>
      <c r="AF15" s="103" t="s">
        <v>2381</v>
      </c>
      <c r="AG15" s="103" t="s">
        <v>1416</v>
      </c>
      <c r="AH15" s="103" t="s">
        <v>2382</v>
      </c>
      <c r="AI15" s="103" t="s">
        <v>2383</v>
      </c>
      <c r="AJ15" s="103" t="s">
        <v>2384</v>
      </c>
      <c r="AM15" s="239">
        <v>1.2</v>
      </c>
      <c r="AN15" s="239" t="s">
        <v>2227</v>
      </c>
      <c r="AO15" s="103">
        <f>IF('Customer Base'!$I$15="MANUAL",IFERROR(AM15*B15,""),IF('Customer Base'!$I$15="AUTOMATE",IFERROR(AM15*A15,""),""))</f>
        <v>0</v>
      </c>
      <c r="AQ15" s="103">
        <v>24</v>
      </c>
      <c r="AR15" s="103" t="s">
        <v>2195</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1266</v>
      </c>
      <c r="AD16" s="103" t="s">
        <v>2580</v>
      </c>
      <c r="AE16" s="103" t="s">
        <v>2581</v>
      </c>
      <c r="AF16" s="103" t="s">
        <v>2582</v>
      </c>
      <c r="AG16" s="103" t="s">
        <v>1416</v>
      </c>
      <c r="AH16" s="103" t="s">
        <v>2583</v>
      </c>
      <c r="AI16" s="103" t="s">
        <v>2585</v>
      </c>
      <c r="AJ16" s="103" t="s">
        <v>2584</v>
      </c>
      <c r="AM16" s="239">
        <v>0.25</v>
      </c>
      <c r="AN16" s="239" t="s">
        <v>2228</v>
      </c>
      <c r="AO16" s="103">
        <f>IF('Customer Base'!$I$15="MANUAL",IFERROR(AM16*B16,""),IF('Customer Base'!$I$15="AUTOMATE",IFERROR(AM16*A16,""),""))</f>
        <v>0</v>
      </c>
      <c r="AQ16" s="103">
        <v>48</v>
      </c>
      <c r="AR16" s="103" t="s">
        <v>2195</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1267</v>
      </c>
      <c r="AM17" s="239">
        <v>0.375</v>
      </c>
      <c r="AN17" s="239" t="s">
        <v>2229</v>
      </c>
      <c r="AO17" s="103">
        <f>IF('Customer Base'!$I$15="MANUAL",IFERROR(AM17*B17,""),IF('Customer Base'!$I$15="AUTOMATE",IFERROR(AM17*A17,""),""))</f>
        <v>0</v>
      </c>
      <c r="AQ17" s="103">
        <v>48</v>
      </c>
      <c r="AR17" s="103" t="s">
        <v>2195</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1296</v>
      </c>
      <c r="AM18" s="239">
        <v>0.5</v>
      </c>
      <c r="AN18" s="239" t="s">
        <v>2230</v>
      </c>
      <c r="AO18" s="103" t="str">
        <f>IF('Customer Base'!$I$15="MANUAL",IFERROR(AM18*B18,""),IF('Customer Base'!$I$15="AUTOMATE",IFERROR(AM18*A18,""),""))</f>
        <v/>
      </c>
      <c r="AQ18" s="103">
        <v>48</v>
      </c>
      <c r="AR18" s="103" t="s">
        <v>2195</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1297</v>
      </c>
      <c r="AM19" s="239">
        <v>0.8</v>
      </c>
      <c r="AN19" s="239" t="s">
        <v>2231</v>
      </c>
      <c r="AO19" s="103" t="str">
        <f>IF('Customer Base'!$I$15="MANUAL",IFERROR(AM19*B19,""),IF('Customer Base'!$I$15="AUTOMATE",IFERROR(AM19*A19,""),""))</f>
        <v/>
      </c>
      <c r="AQ19" s="103">
        <v>48</v>
      </c>
      <c r="AR19" s="103" t="s">
        <v>2195</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1388</v>
      </c>
      <c r="AM20" s="239">
        <v>1.2</v>
      </c>
      <c r="AN20" s="239" t="s">
        <v>2232</v>
      </c>
      <c r="AO20" s="103" t="str">
        <f>IF('Customer Base'!$I$15="MANUAL",IFERROR(AM20*B20,""),IF('Customer Base'!$I$15="AUTOMATE",IFERROR(AM20*A20,""),""))</f>
        <v/>
      </c>
      <c r="AQ20" s="103">
        <v>48</v>
      </c>
      <c r="AR20" s="103" t="s">
        <v>2195</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1389</v>
      </c>
      <c r="AM21" s="103">
        <v>1.6</v>
      </c>
      <c r="AN21" s="103" t="s">
        <v>2253</v>
      </c>
      <c r="AO21" s="103" t="str">
        <f>IF('Customer Base'!$I$15="MANUAL",IFERROR(AM21*B21,""),IF('Customer Base'!$I$15="AUTOMATE",IFERROR(AM21*A21,""),""))</f>
        <v/>
      </c>
      <c r="AQ21" s="103">
        <v>48</v>
      </c>
      <c r="AR21" s="103" t="s">
        <v>2195</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1741</v>
      </c>
      <c r="AM22" s="103">
        <v>2</v>
      </c>
      <c r="AN22" s="103" t="s">
        <v>2254</v>
      </c>
      <c r="AO22" s="103" t="str">
        <f>IF('Customer Base'!$I$15="MANUAL",IFERROR(AM22*B22,""),IF('Customer Base'!$I$15="AUTOMATE",IFERROR(AM22*A22,""),""))</f>
        <v/>
      </c>
      <c r="AQ22" s="103">
        <v>48</v>
      </c>
      <c r="AR22" s="103" t="s">
        <v>2195</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1755</v>
      </c>
      <c r="AM23" s="103">
        <v>3</v>
      </c>
      <c r="AN23" s="103" t="s">
        <v>2255</v>
      </c>
      <c r="AO23" s="103" t="str">
        <f>IF('Customer Base'!$I$15="MANUAL",IFERROR(AM23*B23,""),IF('Customer Base'!$I$15="AUTOMATE",IFERROR(AM23*A23,""),""))</f>
        <v/>
      </c>
      <c r="AQ23" s="103">
        <v>48</v>
      </c>
      <c r="AR23" s="103" t="s">
        <v>2195</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2256</v>
      </c>
      <c r="AO24" s="103" t="str">
        <f>IF('Customer Base'!$I$15="MANUAL",IFERROR(AM24*B24,""),IF('Customer Base'!$I$15="AUTOMATE",IFERROR(AM24*A24,""),""))</f>
        <v/>
      </c>
      <c r="AQ24" s="103">
        <v>48</v>
      </c>
      <c r="AR24" s="103" t="s">
        <v>2195</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2220</v>
      </c>
      <c r="AO26" s="103" t="str">
        <f>IF('Customer Base'!$I$15="MANUAL",IFERROR(AM26*B26,""),IF('Customer Base'!$I$15="AUTOMATE",IFERROR(AM26*A26,""),""))</f>
        <v/>
      </c>
      <c r="AQ26" s="103">
        <v>12</v>
      </c>
      <c r="AR26" s="103" t="s">
        <v>2199</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2221</v>
      </c>
      <c r="AO27" s="103" t="str">
        <f>IF('Customer Base'!$I$15="MANUAL",IFERROR(AM27*B27,""),IF('Customer Base'!$I$15="AUTOMATE",IFERROR(AM27*A27,""),""))</f>
        <v/>
      </c>
      <c r="AQ27" s="103">
        <v>12</v>
      </c>
      <c r="AR27" s="103" t="s">
        <v>2199</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2222</v>
      </c>
      <c r="AO28" s="103" t="str">
        <f>IF('Customer Base'!$I$15="MANUAL",IFERROR(AM28*B28,""),IF('Customer Base'!$I$15="AUTOMATE",IFERROR(AM28*A28,""),""))</f>
        <v/>
      </c>
      <c r="AQ28" s="103">
        <v>12</v>
      </c>
      <c r="AR28" s="103" t="s">
        <v>2199</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30kWh Battery, and Remote Monitoring</v>
      </c>
      <c r="AM29" s="103">
        <v>1.6</v>
      </c>
      <c r="AN29" s="103" t="s">
        <v>2233</v>
      </c>
      <c r="AO29" s="103">
        <f>IF('Customer Base'!$I$15="MANUAL",IFERROR(AM29*B29,""),IF('Customer Base'!$I$15="AUTOMATE",IFERROR(AM29*A29,""),""))</f>
        <v>0</v>
      </c>
      <c r="AQ29" s="103">
        <v>12</v>
      </c>
      <c r="AR29" s="103" t="s">
        <v>2199</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15kWp Solar Panels and Remote Monitoring</v>
      </c>
      <c r="AM30" s="103">
        <v>2</v>
      </c>
      <c r="AN30" s="241" t="s">
        <v>2236</v>
      </c>
      <c r="AO30" s="103">
        <f>IF('Customer Base'!$I$15="MANUAL",IFERROR(AM30*B30,""),IF('Customer Base'!$I$15="AUTOMATE",IFERROR(AM30*A30,""),""))</f>
        <v>0</v>
      </c>
      <c r="AQ30" s="103">
        <v>12</v>
      </c>
      <c r="AR30" s="103" t="s">
        <v>2199</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1930</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30kWh Battery, 15kWp Solar Panels and Remote Monitoring</v>
      </c>
      <c r="AM31" s="103">
        <v>0.5</v>
      </c>
      <c r="AN31" s="103" t="s">
        <v>2225</v>
      </c>
      <c r="AO31" s="103" t="str">
        <f>IF('Customer Base'!$I$15="MANUAL",IFERROR(AM31*B31,""),IF('Customer Base'!$I$15="AUTOMATE",IFERROR(AM31*A31,""),""))</f>
        <v/>
      </c>
      <c r="AQ31" s="103">
        <v>24</v>
      </c>
      <c r="AR31" s="103" t="s">
        <v>2199</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1931</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30kWh Battery, and 15kWp Solar Panels</v>
      </c>
      <c r="AM32" s="103">
        <v>0.8</v>
      </c>
      <c r="AN32" s="103" t="s">
        <v>2226</v>
      </c>
      <c r="AO32" s="103" t="str">
        <f>IF('Customer Base'!$I$15="MANUAL",IFERROR(AM32*B32,""),IF('Customer Base'!$I$15="AUTOMATE",IFERROR(AM32*A32,""),""))</f>
        <v/>
      </c>
      <c r="AQ32" s="103">
        <v>24</v>
      </c>
      <c r="AR32" s="103" t="s">
        <v>2199</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1932</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30kWh Battery, 15kWp Solar Panels and Remote Monitoring</v>
      </c>
      <c r="AM33" s="103">
        <v>1.2</v>
      </c>
      <c r="AN33" s="103" t="s">
        <v>2227</v>
      </c>
      <c r="AO33" s="103" t="str">
        <f>IF('Customer Base'!$I$15="MANUAL",IFERROR(AM33*B33,""),IF('Customer Base'!$I$15="AUTOMATE",IFERROR(AM33*A33,""),""))</f>
        <v/>
      </c>
      <c r="AQ33" s="103">
        <v>24</v>
      </c>
      <c r="AR33" s="103" t="s">
        <v>2199</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1933</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2235</v>
      </c>
      <c r="AO34" s="103" t="str">
        <f>IF('Customer Base'!$I$15="MANUAL",IFERROR(AM34*B34,""),IF('Customer Base'!$I$15="AUTOMATE",IFERROR(AM34*A34,""),""))</f>
        <v/>
      </c>
      <c r="AQ34" s="103">
        <v>24</v>
      </c>
      <c r="AR34" s="103" t="s">
        <v>2199</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1934</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2234</v>
      </c>
      <c r="AO35" s="103" t="str">
        <f>IF('Customer Base'!$I$15="MANUAL",IFERROR(AM35*B35,""),IF('Customer Base'!$I$15="AUTOMATE",IFERROR(AM35*A35,""),""))</f>
        <v/>
      </c>
      <c r="AQ35" s="103">
        <v>24</v>
      </c>
      <c r="AR35" s="103" t="s">
        <v>2199</v>
      </c>
      <c r="AS35" s="103">
        <v>1</v>
      </c>
      <c r="AT35" s="103" t="str">
        <f t="shared" si="2"/>
        <v/>
      </c>
      <c r="AV35" s="103" t="str">
        <f t="shared" si="3"/>
        <v/>
      </c>
      <c r="AW35" s="103">
        <v>80</v>
      </c>
      <c r="BD35" s="103" t="e" cm="1">
        <f t="array" ref="BD35">INDEX(AM$205:AM$236,MATCH(0,COUNTIF($BD$5:BD34,AM$205:AM$236),0))</f>
        <v>#N/A</v>
      </c>
    </row>
    <row r="36" spans="1:56">
      <c r="C36" s="237" t="s">
        <v>2709</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2782</v>
      </c>
      <c r="L36" s="224">
        <f>J36/'Customer Base'!$J$5</f>
        <v>412.5</v>
      </c>
      <c r="M36" s="103">
        <v>628</v>
      </c>
      <c r="N36" s="103">
        <v>31</v>
      </c>
      <c r="O36" s="103" t="str">
        <f>IF('Customer Base'!$I$15="MANUAL",IF(B36&lt;&gt;"",C36,""),IF('Customer Base'!$I$15="AUTOMATE",IF(A36&lt;&gt;"",C36,""),""))</f>
        <v/>
      </c>
      <c r="AM36" s="103">
        <v>3</v>
      </c>
      <c r="AN36" s="103" t="s">
        <v>2311</v>
      </c>
      <c r="AO36" s="103">
        <f>IF('Customer Base'!$I$15="MANUAL",IFERROR(AM36*B36,""),IF('Customer Base'!$I$15="AUTOMATE",IFERROR(AM36*A36,""),""))</f>
        <v>0</v>
      </c>
      <c r="AQ36" s="103">
        <v>24</v>
      </c>
      <c r="AR36" s="103" t="s">
        <v>2199</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2230</v>
      </c>
      <c r="AO37" s="103" t="str">
        <f>IF('Customer Base'!$I$15="MANUAL",IFERROR(AM37*B37,""),IF('Customer Base'!$I$15="AUTOMATE",IFERROR(AM37*A37,""),""))</f>
        <v/>
      </c>
      <c r="AQ37" s="103">
        <v>48</v>
      </c>
      <c r="AR37" s="103" t="s">
        <v>2199</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2231</v>
      </c>
      <c r="AO38" s="103" t="str">
        <f>IF('Customer Base'!$I$15="MANUAL",IFERROR(AM38*B38,""),IF('Customer Base'!$I$15="AUTOMATE",IFERROR(AM38*A38,""),""))</f>
        <v/>
      </c>
      <c r="AQ38" s="103">
        <v>48</v>
      </c>
      <c r="AR38" s="103" t="s">
        <v>2199</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2232</v>
      </c>
      <c r="AO39" s="103" t="str">
        <f>IF('Customer Base'!$I$15="MANUAL",IFERROR(AM39*B39,""),IF('Customer Base'!$I$15="AUTOMATE",IFERROR(AM39*A39,""),""))</f>
        <v/>
      </c>
      <c r="AQ39" s="103">
        <v>48</v>
      </c>
      <c r="AR39" s="103" t="s">
        <v>2199</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2253</v>
      </c>
      <c r="AO40" s="103" t="str">
        <f>IF('Customer Base'!$I$15="MANUAL",IFERROR(AM40*B40,""),IF('Customer Base'!$I$15="AUTOMATE",IFERROR(AM40*A40,""),""))</f>
        <v/>
      </c>
      <c r="AQ40" s="103">
        <v>48</v>
      </c>
      <c r="AR40" s="103" t="s">
        <v>2199</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1935</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2254</v>
      </c>
      <c r="AO41" s="103" t="str">
        <f>IF('Customer Base'!$I$15="MANUAL",IFERROR(AM41*B41,""),IF('Customer Base'!$I$15="AUTOMATE",IFERROR(AM41*A41,""),""))</f>
        <v/>
      </c>
      <c r="AQ41" s="103">
        <v>48</v>
      </c>
      <c r="AR41" s="103" t="s">
        <v>2199</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2312</v>
      </c>
      <c r="AO42" s="103">
        <f>IF('Customer Base'!$I$15="MANUAL",IFERROR(AM42*B42,""),IF('Customer Base'!$I$15="AUTOMATE",IFERROR(AM42*A42,""),""))</f>
        <v>0</v>
      </c>
      <c r="AQ42" s="103">
        <v>48</v>
      </c>
      <c r="AR42" s="103" t="s">
        <v>2199</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2313</v>
      </c>
      <c r="AO43" s="103">
        <f>IF('Customer Base'!$I$15="MANUAL",IFERROR(AM43*B43,""),IF('Customer Base'!$I$15="AUTOMATE",IFERROR(AM43*A43,""),""))</f>
        <v>0</v>
      </c>
      <c r="AQ43" s="103">
        <v>48</v>
      </c>
      <c r="AR43" s="103" t="s">
        <v>2199</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2256</v>
      </c>
      <c r="AO44" s="103">
        <f>IF('Customer Base'!$I$15="MANUAL",IFERROR(AM44*B44,""),IF('Customer Base'!$I$15="AUTOMATE",IFERROR(AM44*A44,""),""))</f>
        <v>0</v>
      </c>
      <c r="AQ44" s="103">
        <v>48</v>
      </c>
      <c r="AR44" s="103" t="s">
        <v>2199</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1911</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2257</v>
      </c>
      <c r="AO45" s="103" t="str">
        <f>IF('Customer Base'!$I$15="MANUAL",IFERROR(AM45*B45,""),IF('Customer Base'!$I$15="AUTOMATE",IFERROR(AM45*A45,""),""))</f>
        <v/>
      </c>
      <c r="AP45" s="103">
        <v>450</v>
      </c>
      <c r="AQ45" s="103">
        <v>48</v>
      </c>
      <c r="AR45" s="103" t="s">
        <v>2199</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2710</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2251</v>
      </c>
      <c r="AO47" s="103" t="str">
        <f>IF('Customer Base'!$I$15="MANUAL",IFERROR(AM47*B47,""),IF('Customer Base'!$I$15="AUTOMATE",IFERROR(AM47*A47,""),""))</f>
        <v/>
      </c>
      <c r="AQ47" s="103">
        <v>24</v>
      </c>
      <c r="AR47" s="103" t="s">
        <v>2261</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2711</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2252</v>
      </c>
      <c r="AO48" s="103" t="str">
        <f>IF('Customer Base'!$I$15="MANUAL",IFERROR(AM48*B48,""),IF('Customer Base'!$I$15="AUTOMATE",IFERROR(AM48*A48,""),""))</f>
        <v/>
      </c>
      <c r="AQ48" s="103">
        <v>24</v>
      </c>
      <c r="AR48" s="103" t="s">
        <v>2261</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
      </c>
      <c r="AM49" s="103">
        <v>3</v>
      </c>
      <c r="AN49" s="103" t="s">
        <v>2255</v>
      </c>
      <c r="AO49" s="103" t="str">
        <f>IF('Customer Base'!$I$15="MANUAL",IFERROR(AM49*B49,""),IF('Customer Base'!$I$15="AUTOMATE",IFERROR(AM49*A49,""),""))</f>
        <v/>
      </c>
      <c r="AQ49" s="103">
        <v>48</v>
      </c>
      <c r="AR49" s="103" t="s">
        <v>2261</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2256</v>
      </c>
      <c r="AO50" s="103" t="str">
        <f>IF('Customer Base'!$I$15="MANUAL",IFERROR(AM50*B50,""),IF('Customer Base'!$I$15="AUTOMATE",IFERROR(AM50*A50,""),""))</f>
        <v/>
      </c>
      <c r="AQ50" s="103">
        <v>48</v>
      </c>
      <c r="AR50" s="103" t="s">
        <v>2261</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
      </c>
      <c r="AM51" s="103">
        <v>8</v>
      </c>
      <c r="AN51" s="103" t="s">
        <v>2258</v>
      </c>
      <c r="AO51" s="103" t="str">
        <f>IF('Customer Base'!$I$15="MANUAL",IFERROR(AM51*B51,""),IF('Customer Base'!$I$15="AUTOMATE",IFERROR(AM51*A51,""),""))</f>
        <v/>
      </c>
      <c r="AQ51" s="103">
        <v>48</v>
      </c>
      <c r="AR51" s="103" t="s">
        <v>2261</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2712</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
      </c>
      <c r="AM52" s="103">
        <v>10</v>
      </c>
      <c r="AN52" s="103" t="s">
        <v>2259</v>
      </c>
      <c r="AO52" s="103" t="str">
        <f>IF('Customer Base'!$I$15="MANUAL",IFERROR(AM52*B52,""),IF('Customer Base'!$I$15="AUTOMATE",IFERROR(AM52*A52,""),""))</f>
        <v/>
      </c>
      <c r="AQ52" s="103">
        <v>48</v>
      </c>
      <c r="AR52" s="103" t="s">
        <v>2261</v>
      </c>
      <c r="AS52" s="103">
        <v>1</v>
      </c>
      <c r="AT52" s="103" t="str">
        <f t="shared" si="9"/>
        <v/>
      </c>
      <c r="AV52" s="103" t="str">
        <f t="shared" si="8"/>
        <v/>
      </c>
      <c r="AW52" s="103">
        <v>140</v>
      </c>
    </row>
    <row r="53" spans="1:52">
      <c r="A53" s="103">
        <f>IF(AND('Customer Base'!D$8=48,'Customer Base'!D$13="Victron",'Customer Base'!E$13="Multiplus",'Customer Base'!D$14&gt;10,'Customer Base'!D$14&lt;=15),'Customer Base'!D$15,IF(AND('Customer Base'!D$7="Mini-Grid",'Customer Base'!D$8=48,'Customer Base'!F$13="Victron",'Customer Base'!F$14&gt;10,'Customer Base'!F$14&lt;=15),'Customer Base'!F$15,""))</f>
        <v>1</v>
      </c>
      <c r="B53" s="270">
        <v>9</v>
      </c>
      <c r="C53" s="237" t="s">
        <v>2713</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Victron MultiPlus-II 48/15000/200-100 230V</v>
      </c>
      <c r="AM53" s="103">
        <v>15</v>
      </c>
      <c r="AN53" s="103" t="s">
        <v>2260</v>
      </c>
      <c r="AO53" s="103">
        <f>IF('Customer Base'!$I$15="MANUAL",IFERROR(AM53*B53,""),IF('Customer Base'!$I$15="AUTOMATE",IFERROR(AM53*A53,""),""))</f>
        <v>15</v>
      </c>
      <c r="AQ53" s="103">
        <v>48</v>
      </c>
      <c r="AR53" s="103" t="s">
        <v>2261</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2255</v>
      </c>
      <c r="AO54" s="103">
        <f>IF('Customer Base'!$I$15="MANUAL",IFERROR(AM54*B54,""),IF('Customer Base'!$I$15="AUTOMATE",IFERROR(AM54*A54,""),""))</f>
        <v>0</v>
      </c>
      <c r="AQ54" s="103">
        <v>48</v>
      </c>
      <c r="AR54" s="103" t="s">
        <v>2262</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2256</v>
      </c>
      <c r="AO55" s="103">
        <f>IF('Customer Base'!$I$15="MANUAL",IFERROR(AM55*B55,""),IF('Customer Base'!$I$15="AUTOMATE",IFERROR(AM55*A55,""),""))</f>
        <v>0</v>
      </c>
      <c r="AQ55" s="103">
        <v>48</v>
      </c>
      <c r="AR55" s="103" t="s">
        <v>2262</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2256</v>
      </c>
      <c r="AO57" s="103" t="str">
        <f>IF('Customer Base'!$I$15="MANUAL",IFERROR(AM57*B57,""),IF('Customer Base'!$I$15="AUTOMATE",IFERROR(AM57*A57,""),""))</f>
        <v/>
      </c>
      <c r="AQ57" s="103">
        <v>48</v>
      </c>
      <c r="AR57" s="103" t="s">
        <v>2200</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2258</v>
      </c>
      <c r="AO58" s="103" t="str">
        <f>IF('Customer Base'!$I$15="MANUAL",IFERROR(AM58*B58,""),IF('Customer Base'!$I$15="AUTOMATE",IFERROR(AM58*A58,""),""))</f>
        <v/>
      </c>
      <c r="AQ58" s="103">
        <v>48</v>
      </c>
      <c r="AR58" s="103" t="s">
        <v>2200</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2259</v>
      </c>
      <c r="AO59" s="103" t="str">
        <f>IF('Customer Base'!$I$15="MANUAL",IFERROR(AM59*B59,""),IF('Customer Base'!$I$15="AUTOMATE",IFERROR(AM59*A59,""),""))</f>
        <v/>
      </c>
      <c r="AQ59" s="103">
        <v>48</v>
      </c>
      <c r="AR59" s="103" t="s">
        <v>2200</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2260</v>
      </c>
      <c r="AO60" s="103" t="str">
        <f>IF('Customer Base'!$I$15="MANUAL",IFERROR(AM60*B60,""),IF('Customer Base'!$I$15="AUTOMATE",IFERROR(AM60*A60,""),""))</f>
        <v/>
      </c>
      <c r="AQ60" s="103">
        <v>48</v>
      </c>
      <c r="AR60" s="103" t="s">
        <v>2200</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2714</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2256</v>
      </c>
      <c r="AO62" s="103">
        <f>IF('Customer Base'!$I$15="MANUAL",IFERROR(AM62*B62,""),IF('Customer Base'!$I$15="AUTOMATE",IFERROR(AM62*A62,""),""))</f>
        <v>0</v>
      </c>
      <c r="AQ62" s="103">
        <v>48</v>
      </c>
      <c r="AR62" s="103" t="s">
        <v>2201</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2251</v>
      </c>
      <c r="AO64" s="103">
        <f>IF('Customer Base'!$I$15="MANUAL",IFERROR(AM64*B64,""),IF('Customer Base'!$I$15="AUTOMATE",IFERROR(AM64*A64,""),""))</f>
        <v>0</v>
      </c>
      <c r="AQ64" s="103">
        <v>24</v>
      </c>
      <c r="AR64" s="103" t="s">
        <v>2263</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2255</v>
      </c>
      <c r="AO65" s="103">
        <f>IF('Customer Base'!$I$15="MANUAL",IFERROR(AM65*B65,""),IF('Customer Base'!$I$15="AUTOMATE",IFERROR(AM65*A65,""),""))</f>
        <v>0</v>
      </c>
      <c r="AQ65" s="103">
        <v>48</v>
      </c>
      <c r="AR65" s="103" t="s">
        <v>2263</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2256</v>
      </c>
      <c r="AO66" s="103">
        <f>IF('Customer Base'!$I$15="MANUAL",IFERROR(AM66*B66,""),IF('Customer Base'!$I$15="AUTOMATE",IFERROR(AM66*A66,""),""))</f>
        <v>0</v>
      </c>
      <c r="AQ66" s="103">
        <v>48</v>
      </c>
      <c r="AR66" s="103" t="s">
        <v>2263</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1883</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1774</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2251</v>
      </c>
      <c r="AO69" s="103" t="str">
        <f>IF('Customer Base'!$I$15="MANUAL",IFERROR(AM69*B69,""),IF('Customer Base'!$I$15="AUTOMATE",IFERROR(AM69*A69,""),""))</f>
        <v/>
      </c>
      <c r="AP69" s="103">
        <v>450</v>
      </c>
      <c r="AQ69" s="103">
        <v>24</v>
      </c>
      <c r="AR69" s="103" t="s">
        <v>2264</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1775</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2256</v>
      </c>
      <c r="AO70" s="103" t="str">
        <f>IF('Customer Base'!$I$15="MANUAL",IFERROR(AM70*B70,""),IF('Customer Base'!$I$15="AUTOMATE",IFERROR(AM70*A70,""),""))</f>
        <v/>
      </c>
      <c r="AP70" s="103">
        <v>450</v>
      </c>
      <c r="AQ70" s="103">
        <v>48</v>
      </c>
      <c r="AR70" s="103" t="s">
        <v>2264</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1777</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2258</v>
      </c>
      <c r="AO71" s="103" t="str">
        <f>IF('Customer Base'!$I$15="MANUAL",IFERROR(AM71*B71,""),IF('Customer Base'!$I$15="AUTOMATE",IFERROR(AM71*A71,""),""))</f>
        <v/>
      </c>
      <c r="AP71" s="103">
        <v>500</v>
      </c>
      <c r="AQ71" s="103">
        <v>48</v>
      </c>
      <c r="AR71" s="103" t="s">
        <v>2264</v>
      </c>
      <c r="AS71" s="103">
        <v>1</v>
      </c>
      <c r="AT71" s="103" t="str">
        <f t="shared" si="9"/>
        <v/>
      </c>
      <c r="AV71" s="103" t="str">
        <f t="shared" si="8"/>
        <v/>
      </c>
      <c r="AW71" s="103">
        <v>120</v>
      </c>
    </row>
    <row r="72" spans="1:49" ht="17">
      <c r="C72" s="352" t="s">
        <v>1776</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2251</v>
      </c>
      <c r="AO72" s="103">
        <f>IF('Customer Base'!$I$15="MANUAL",IFERROR(AM72*B72,""),IF('Customer Base'!$I$15="AUTOMATE",IFERROR(AM72*A72,""),""))</f>
        <v>0</v>
      </c>
      <c r="AP72" s="103">
        <v>145</v>
      </c>
      <c r="AQ72" s="103">
        <v>24</v>
      </c>
      <c r="AR72" s="103" t="s">
        <v>2265</v>
      </c>
      <c r="AS72" s="103">
        <v>1</v>
      </c>
      <c r="AT72" s="103" t="str">
        <f t="shared" si="9"/>
        <v/>
      </c>
      <c r="AV72" s="103" t="str">
        <f t="shared" si="8"/>
        <v/>
      </c>
      <c r="AW72" s="103">
        <v>60</v>
      </c>
    </row>
    <row r="73" spans="1:49">
      <c r="C73" s="351" t="s">
        <v>1772</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1920</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1912</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1913</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2255</v>
      </c>
      <c r="AO77" s="103" t="str">
        <f>IF('Customer Base'!$I$15="MANUAL",IFERROR(AM77*B77,""),IF('Customer Base'!$I$15="AUTOMATE",IFERROR(AM77*A77,""),""))</f>
        <v/>
      </c>
      <c r="AP77" s="103">
        <v>500</v>
      </c>
      <c r="AQ77" s="103">
        <v>48</v>
      </c>
      <c r="AR77" s="103" t="s">
        <v>2203</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1914</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2256</v>
      </c>
      <c r="AO78" s="103" t="str">
        <f>IF('Customer Base'!$I$15="MANUAL",IFERROR(AM78*B78,""),IF('Customer Base'!$I$15="AUTOMATE",IFERROR(AM78*A78,""),""))</f>
        <v/>
      </c>
      <c r="AP78" s="103">
        <v>500</v>
      </c>
      <c r="AQ78" s="103">
        <v>48</v>
      </c>
      <c r="AR78" s="103" t="s">
        <v>2203</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1915</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2257</v>
      </c>
      <c r="AO79" s="103" t="str">
        <f>IF('Customer Base'!$I$15="MANUAL",IFERROR(AM79*B79,""),IF('Customer Base'!$I$15="AUTOMATE",IFERROR(AM79*A79,""),""))</f>
        <v/>
      </c>
      <c r="AP79" s="103">
        <v>500</v>
      </c>
      <c r="AQ79" s="103">
        <v>48</v>
      </c>
      <c r="AR79" s="103" t="s">
        <v>2203</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1916</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2258</v>
      </c>
      <c r="AO80" s="103" t="str">
        <f>IF('Customer Base'!$I$15="MANUAL",IFERROR(AM80*B80,""),IF('Customer Base'!$I$15="AUTOMATE",IFERROR(AM80*A80,""),""))</f>
        <v/>
      </c>
      <c r="AP80" s="103">
        <v>500</v>
      </c>
      <c r="AQ80" s="103">
        <v>48</v>
      </c>
      <c r="AR80" s="103" t="s">
        <v>2203</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1917</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2266</v>
      </c>
      <c r="AO81" s="103" t="str">
        <f>IF('Customer Base'!$I$15="MANUAL",IFERROR(AM81*B81,""),IF('Customer Base'!$I$15="AUTOMATE",IFERROR(AM81*A81,""),""))</f>
        <v/>
      </c>
      <c r="AP81" s="103">
        <v>500</v>
      </c>
      <c r="AQ81" s="103">
        <v>48</v>
      </c>
      <c r="AR81" s="103" t="s">
        <v>2203</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1918</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2259</v>
      </c>
      <c r="AO82" s="103" t="str">
        <f>IF('Customer Base'!$I$15="MANUAL",IFERROR(AM82*B82,""),IF('Customer Base'!$I$15="AUTOMATE",IFERROR(AM82*A82,""),""))</f>
        <v/>
      </c>
      <c r="AP82" s="103">
        <v>800</v>
      </c>
      <c r="AQ82" s="103">
        <v>48</v>
      </c>
      <c r="AR82" s="103" t="s">
        <v>2203</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1919</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2267</v>
      </c>
      <c r="AO83" s="103" t="str">
        <f>IF('Customer Base'!$I$15="MANUAL",IFERROR(AM83*B83,""),IF('Customer Base'!$I$15="AUTOMATE",IFERROR(AM83*A83,""),""))</f>
        <v/>
      </c>
      <c r="AP83" s="103">
        <v>800</v>
      </c>
      <c r="AQ83" s="103">
        <v>48</v>
      </c>
      <c r="AR83" s="103" t="s">
        <v>2203</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1942</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2337</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2254</v>
      </c>
      <c r="AO86" s="103" t="str">
        <f>IF('Customer Base'!$I$15="MANUAL",IFERROR(AM86*B86,""),IF('Customer Base'!$I$15="AUTOMATE",IFERROR(AM86*A86,""),""))</f>
        <v/>
      </c>
      <c r="AP86" s="103">
        <v>600</v>
      </c>
      <c r="AQ86" s="103">
        <v>48</v>
      </c>
      <c r="AR86" s="103" t="s">
        <v>2204</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2338</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2255</v>
      </c>
      <c r="AO87" s="103" t="str">
        <f>IF('Customer Base'!$I$15="MANUAL",IFERROR(AM87*B87,""),IF('Customer Base'!$I$15="AUTOMATE",IFERROR(AM87*A87,""),""))</f>
        <v/>
      </c>
      <c r="AP87" s="103">
        <v>600</v>
      </c>
      <c r="AQ87" s="103">
        <v>48</v>
      </c>
      <c r="AR87" s="103" t="s">
        <v>2204</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2339</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2256</v>
      </c>
      <c r="AO88" s="103" t="str">
        <f>IF('Customer Base'!$I$15="MANUAL",IFERROR(AM88*B88,""),IF('Customer Base'!$I$15="AUTOMATE",IFERROR(AM88*A88,""),""))</f>
        <v/>
      </c>
      <c r="AP88" s="103">
        <v>600</v>
      </c>
      <c r="AQ88" s="103">
        <v>48</v>
      </c>
      <c r="AR88" s="103" t="s">
        <v>2204</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2340</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2256</v>
      </c>
      <c r="AO89" s="103" t="str">
        <f>IF('Customer Base'!$I$15="MANUAL",IFERROR(AM89*B89,""),IF('Customer Base'!$I$15="AUTOMATE",IFERROR(AM89*A89,""),""))</f>
        <v/>
      </c>
      <c r="AP89" s="103">
        <v>1100</v>
      </c>
      <c r="AQ89" s="103">
        <v>48</v>
      </c>
      <c r="AR89" s="103" t="s">
        <v>2204</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2341</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2259</v>
      </c>
      <c r="AO90" s="103" t="str">
        <f>IF('Customer Base'!$I$15="MANUAL",IFERROR(AM90*B90,""),IF('Customer Base'!$I$15="AUTOMATE",IFERROR(AM90*A90,""),""))</f>
        <v/>
      </c>
      <c r="AP90" s="103">
        <v>1100</v>
      </c>
      <c r="AQ90" s="103">
        <v>48</v>
      </c>
      <c r="AR90" s="103" t="s">
        <v>2204</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2342</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2268</v>
      </c>
      <c r="AO91" s="103" t="str">
        <f>IF('Customer Base'!$I$15="MANUAL",IFERROR(AM91*B91,""),IF('Customer Base'!$I$15="AUTOMATE",IFERROR(AM91*A91,""),""))</f>
        <v/>
      </c>
      <c r="AP91" s="103">
        <v>1100</v>
      </c>
      <c r="AQ91" s="103">
        <v>48</v>
      </c>
      <c r="AR91" s="103" t="s">
        <v>2204</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2343</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2269</v>
      </c>
      <c r="AO92" s="103" t="str">
        <f>IF('Customer Base'!$I$15="MANUAL",IFERROR(AM92*B92,""),IF('Customer Base'!$I$15="AUTOMATE",IFERROR(AM92*A92,""),""))</f>
        <v/>
      </c>
      <c r="AP92" s="103">
        <v>1100</v>
      </c>
      <c r="AQ92" s="103">
        <v>48</v>
      </c>
      <c r="AR92" s="103" t="s">
        <v>2204</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2344</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2270</v>
      </c>
      <c r="AO93" s="103" t="str">
        <f>IF('Customer Base'!$I$15="MANUAL",IFERROR(AM93*B93,""),IF('Customer Base'!$I$15="AUTOMATE",IFERROR(AM93*A93,""),""))</f>
        <v/>
      </c>
      <c r="AP93" s="103">
        <v>1100</v>
      </c>
      <c r="AQ93" s="103">
        <v>48</v>
      </c>
      <c r="AR93" s="103" t="s">
        <v>2204</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2345</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2271</v>
      </c>
      <c r="AO94" s="103" t="str">
        <f>IF('Customer Base'!$I$15="MANUAL",IFERROR(AM94*B94,""),IF('Customer Base'!$I$15="AUTOMATE",IFERROR(AM94*A94,""),""))</f>
        <v/>
      </c>
      <c r="AP94" s="103">
        <v>1100</v>
      </c>
      <c r="AQ94" s="103">
        <v>48</v>
      </c>
      <c r="AR94" s="103" t="s">
        <v>2204</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2346</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2347</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2348</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2349</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2350</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2351</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1897</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2274</v>
      </c>
      <c r="AO103" s="103" t="str">
        <f>IF('Customer Base'!$I$15="MANUAL",IFERROR(AM103*B103,""),IF('Customer Base'!$I$15="AUTOMATE",IFERROR(AM103*A103,""),""))</f>
        <v/>
      </c>
      <c r="AP103" s="103">
        <v>1000</v>
      </c>
      <c r="AQ103" s="103" t="s">
        <v>2198</v>
      </c>
      <c r="AR103" s="103" t="s">
        <v>2205</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2275</v>
      </c>
      <c r="AO104" s="103" t="str">
        <f>IF('Customer Base'!$I$15="MANUAL",IFERROR(AM104*B104,""),IF('Customer Base'!$I$15="AUTOMATE",IFERROR(AM104*A104,""),""))</f>
        <v/>
      </c>
      <c r="AP104" s="103">
        <v>1000</v>
      </c>
      <c r="AQ104" s="103" t="s">
        <v>2198</v>
      </c>
      <c r="AR104" s="103" t="s">
        <v>2206</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2715</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2277</v>
      </c>
      <c r="AO105" s="103" t="str">
        <f>IF('Customer Base'!$I$15="MANUAL",IFERROR(AM105*B105,""),IF('Customer Base'!$I$15="AUTOMATE",IFERROR(AM105*A105,""),""))</f>
        <v/>
      </c>
      <c r="AP105" s="103">
        <v>1000</v>
      </c>
      <c r="AQ105" s="103" t="s">
        <v>2198</v>
      </c>
      <c r="AR105" s="103" t="s">
        <v>2206</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2276</v>
      </c>
      <c r="AO106" s="103" t="str">
        <f>IF('Customer Base'!$I$15="MANUAL",IFERROR(AM106*B106,""),IF('Customer Base'!$I$15="AUTOMATE",IFERROR(AM106*A106,""),""))</f>
        <v/>
      </c>
      <c r="AP106" s="103">
        <v>1000</v>
      </c>
      <c r="AQ106" s="103" t="s">
        <v>2198</v>
      </c>
      <c r="AR106" s="103" t="s">
        <v>2206</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2274</v>
      </c>
      <c r="AO107" s="103" t="str">
        <f>IF('Customer Base'!$I$15="MANUAL",IFERROR(AM107*B107,""),IF('Customer Base'!$I$15="AUTOMATE",IFERROR(AM107*A107,""),""))</f>
        <v/>
      </c>
      <c r="AP107" s="103">
        <v>1000</v>
      </c>
      <c r="AQ107" s="103" t="s">
        <v>2198</v>
      </c>
      <c r="AR107" s="103" t="s">
        <v>2207</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2275</v>
      </c>
      <c r="AO108" s="103" t="str">
        <f>IF('Customer Base'!$I$15="MANUAL",IFERROR(AM108*B108,""),IF('Customer Base'!$I$15="AUTOMATE",IFERROR(AM108*A108,""),""))</f>
        <v/>
      </c>
      <c r="AP108" s="103">
        <v>1000</v>
      </c>
      <c r="AQ108" s="103" t="s">
        <v>2198</v>
      </c>
      <c r="AR108" s="103" t="s">
        <v>2207</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2277</v>
      </c>
      <c r="AO109" s="103" t="str">
        <f>IF('Customer Base'!$I$15="MANUAL",IFERROR(AM109*B109,""),IF('Customer Base'!$I$15="AUTOMATE",IFERROR(AM109*A109,""),""))</f>
        <v/>
      </c>
      <c r="AP109" s="103">
        <v>1000</v>
      </c>
      <c r="AQ109" s="103" t="s">
        <v>2198</v>
      </c>
      <c r="AR109" s="103" t="s">
        <v>2207</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2762</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2278</v>
      </c>
      <c r="AO110" s="103" t="str">
        <f>IF('Customer Base'!$I$15="MANUAL",IFERROR(AM110*B110,""),IF('Customer Base'!$I$15="AUTOMATE",IFERROR(AM110*A110,""),""))</f>
        <v/>
      </c>
      <c r="AP110" s="103">
        <v>1000</v>
      </c>
      <c r="AQ110" s="103" t="s">
        <v>2198</v>
      </c>
      <c r="AR110" s="103" t="s">
        <v>2207</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2763</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2279</v>
      </c>
      <c r="AO111" s="103" t="str">
        <f>IF('Customer Base'!$I$15="MANUAL",IFERROR(AM111*B111,""),IF('Customer Base'!$I$15="AUTOMATE",IFERROR(AM111*A111,""),""))</f>
        <v/>
      </c>
      <c r="AP111" s="103">
        <v>1000</v>
      </c>
      <c r="AQ111" s="103" t="s">
        <v>2198</v>
      </c>
      <c r="AR111" s="103" t="s">
        <v>2207</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2764</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
      </c>
      <c r="AM112" s="103">
        <v>20</v>
      </c>
      <c r="AN112" s="103" t="s">
        <v>2280</v>
      </c>
      <c r="AO112" s="103" t="str">
        <f>IF('Customer Base'!$I$15="MANUAL",IFERROR(AM112*B112,""),IF('Customer Base'!$I$15="AUTOMATE",IFERROR(AM112*A112,""),""))</f>
        <v/>
      </c>
      <c r="AP112" s="103">
        <v>1000</v>
      </c>
      <c r="AQ112" s="103" t="s">
        <v>2198</v>
      </c>
      <c r="AR112" s="103" t="s">
        <v>2207</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2281</v>
      </c>
      <c r="AO113" s="103" t="str">
        <f>IF('Customer Base'!$I$15="MANUAL",IFERROR(AM113*B113,""),IF('Customer Base'!$I$15="AUTOMATE",IFERROR(AM113*A113,""),""))</f>
        <v/>
      </c>
      <c r="AP113" s="103">
        <v>1000</v>
      </c>
      <c r="AQ113" s="103" t="s">
        <v>2198</v>
      </c>
      <c r="AR113" s="103" t="s">
        <v>2208</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v>4</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2282</v>
      </c>
      <c r="AO114" s="103" t="str">
        <f>IF('Customer Base'!$I$15="MANUAL",IFERROR(AM114*B114,""),IF('Customer Base'!$I$15="AUTOMATE",IFERROR(AM114*A114,""),""))</f>
        <v/>
      </c>
      <c r="AP114" s="103">
        <v>1000</v>
      </c>
      <c r="AQ114" s="103" t="s">
        <v>2198</v>
      </c>
      <c r="AR114" s="103" t="s">
        <v>2208</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2716</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2769</v>
      </c>
      <c r="AO115" s="103" t="str">
        <f>IF('Customer Base'!$I$15="MANUAL",IFERROR(AM115*B115,""),IF('Customer Base'!$I$15="AUTOMATE",IFERROR(AM115*A115,""),""))</f>
        <v/>
      </c>
      <c r="AP115" s="103">
        <v>1000</v>
      </c>
      <c r="AQ115" s="103" t="s">
        <v>2198</v>
      </c>
      <c r="AR115" s="103" t="s">
        <v>2771</v>
      </c>
      <c r="AS115" s="103">
        <v>3</v>
      </c>
      <c r="AT115" s="103" t="str">
        <f t="shared" si="19"/>
        <v/>
      </c>
      <c r="AV115" s="103" t="str">
        <f t="shared" si="20"/>
        <v/>
      </c>
    </row>
    <row r="116" spans="1:48">
      <c r="C116" s="248" t="s">
        <v>2717</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2769</v>
      </c>
      <c r="AO116" s="103">
        <f>IF('Customer Base'!$I$15="MANUAL",IFERROR(AM116*B116,""),IF('Customer Base'!$I$15="AUTOMATE",IFERROR(AM116*A116,""),""))</f>
        <v>0</v>
      </c>
      <c r="AP116" s="103">
        <v>1000</v>
      </c>
      <c r="AQ116" s="103" t="s">
        <v>2198</v>
      </c>
      <c r="AR116" s="103" t="s">
        <v>2771</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2718</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2770</v>
      </c>
      <c r="AO117" s="103" t="str">
        <f>IF('Customer Base'!$I$15="MANUAL",IFERROR(AM117*B117,""),IF('Customer Base'!$I$15="AUTOMATE",IFERROR(AM117*A117,""),""))</f>
        <v/>
      </c>
      <c r="AP117" s="103">
        <v>1000</v>
      </c>
      <c r="AQ117" s="103" t="s">
        <v>2198</v>
      </c>
      <c r="AR117" s="103" t="s">
        <v>2771</v>
      </c>
      <c r="AS117" s="103">
        <v>3</v>
      </c>
      <c r="AT117" s="103" t="str">
        <f t="shared" si="19"/>
        <v/>
      </c>
      <c r="AV117" s="103" t="str">
        <f t="shared" si="20"/>
        <v/>
      </c>
    </row>
    <row r="118" spans="1:48">
      <c r="C118" s="248" t="s">
        <v>2719</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2770</v>
      </c>
      <c r="AO118" s="103">
        <f>IF('Customer Base'!$I$15="MANUAL",IFERROR(AM118*B118,""),IF('Customer Base'!$I$15="AUTOMATE",IFERROR(AM118*A118,""),""))</f>
        <v>0</v>
      </c>
      <c r="AP118" s="103">
        <v>1000</v>
      </c>
      <c r="AQ118" s="103" t="s">
        <v>2198</v>
      </c>
      <c r="AR118" s="103" t="s">
        <v>2771</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2283</v>
      </c>
      <c r="AO119" s="103" t="str">
        <f>IF('Customer Base'!$I$15="MANUAL",IFERROR(AM119*B119,""),IF('Customer Base'!$I$15="AUTOMATE",IFERROR(AM119*A119,""),""))</f>
        <v/>
      </c>
      <c r="AP119" s="103">
        <v>1000</v>
      </c>
      <c r="AQ119" s="103" t="s">
        <v>2198</v>
      </c>
      <c r="AR119" s="103" t="s">
        <v>2209</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2284</v>
      </c>
      <c r="AO120" s="103" t="str">
        <f>IF('Customer Base'!$I$15="MANUAL",IFERROR(AM120*B120,""),IF('Customer Base'!$I$15="AUTOMATE",IFERROR(AM120*A120,""),""))</f>
        <v/>
      </c>
      <c r="AP120" s="103">
        <v>1000</v>
      </c>
      <c r="AQ120" s="103" t="s">
        <v>2198</v>
      </c>
      <c r="AR120" s="103" t="s">
        <v>2209</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1483</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2285</v>
      </c>
      <c r="AO122" s="103">
        <f>IF('Customer Base'!$I$15="MANUAL",IFERROR(AM122*B122,""),IF('Customer Base'!$I$15="AUTOMATE",IFERROR(AM122*A122,""),""))</f>
        <v>0</v>
      </c>
      <c r="AP122" s="103">
        <v>1000</v>
      </c>
      <c r="AQ122" s="103">
        <v>48</v>
      </c>
      <c r="AR122" s="103" t="s">
        <v>2272</v>
      </c>
      <c r="AS122" s="103">
        <v>3</v>
      </c>
      <c r="AT122" s="103" t="str">
        <f t="shared" ref="AT122:AT133" si="25">IF(AND(AR122=$AY$1,$AZ$1=AN122),BA$1,"")</f>
        <v/>
      </c>
      <c r="AV122" s="103" t="str">
        <f t="shared" ref="AV122:AV133" si="26">IF(AU122&lt;&gt;"",AU122,AT122)</f>
        <v/>
      </c>
    </row>
    <row r="123" spans="1:48">
      <c r="C123" s="250" t="s">
        <v>1484</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2286</v>
      </c>
      <c r="AO123" s="103">
        <f>IF('Customer Base'!$I$15="MANUAL",IFERROR(AM123*B123,""),IF('Customer Base'!$I$15="AUTOMATE",IFERROR(AM123*A123,""),""))</f>
        <v>0</v>
      </c>
      <c r="AP123" s="103">
        <v>1000</v>
      </c>
      <c r="AQ123" s="103">
        <v>48</v>
      </c>
      <c r="AR123" s="103" t="s">
        <v>2272</v>
      </c>
      <c r="AS123" s="103">
        <v>3</v>
      </c>
      <c r="AT123" s="103" t="str">
        <f t="shared" si="25"/>
        <v/>
      </c>
      <c r="AV123" s="103" t="str">
        <f t="shared" si="26"/>
        <v/>
      </c>
    </row>
    <row r="124" spans="1:48">
      <c r="C124" s="250" t="s">
        <v>1485</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2287</v>
      </c>
      <c r="AO124" s="103">
        <f>IF('Customer Base'!$I$15="MANUAL",IFERROR(AM124*B124,""),IF('Customer Base'!$I$15="AUTOMATE",IFERROR(AM124*A124,""),""))</f>
        <v>0</v>
      </c>
      <c r="AP124" s="103">
        <v>1000</v>
      </c>
      <c r="AQ124" s="103">
        <v>48</v>
      </c>
      <c r="AR124" s="103" t="s">
        <v>2272</v>
      </c>
      <c r="AS124" s="103">
        <v>3</v>
      </c>
      <c r="AT124" s="103" t="str">
        <f t="shared" si="25"/>
        <v/>
      </c>
      <c r="AV124" s="103" t="str">
        <f t="shared" si="26"/>
        <v/>
      </c>
    </row>
    <row r="125" spans="1:48">
      <c r="C125" s="250" t="s">
        <v>1486</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2285</v>
      </c>
      <c r="AO125" s="103">
        <f>IF('Customer Base'!$I$15="MANUAL",IFERROR(AM125*B125,""),IF('Customer Base'!$I$15="AUTOMATE",IFERROR(AM125*A125,""),""))</f>
        <v>0</v>
      </c>
      <c r="AP125" s="103">
        <v>1000</v>
      </c>
      <c r="AQ125" s="103">
        <v>48</v>
      </c>
      <c r="AR125" s="103" t="s">
        <v>2273</v>
      </c>
      <c r="AS125" s="103">
        <v>3</v>
      </c>
      <c r="AT125" s="103" t="str">
        <f t="shared" si="25"/>
        <v/>
      </c>
      <c r="AV125" s="103" t="str">
        <f t="shared" si="26"/>
        <v/>
      </c>
    </row>
    <row r="126" spans="1:48">
      <c r="C126" s="250" t="s">
        <v>1487</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2288</v>
      </c>
      <c r="AO126" s="103">
        <f>IF('Customer Base'!$I$15="MANUAL",IFERROR(AM126*B126,""),IF('Customer Base'!$I$15="AUTOMATE",IFERROR(AM126*A126,""),""))</f>
        <v>0</v>
      </c>
      <c r="AP126" s="103">
        <v>1000</v>
      </c>
      <c r="AQ126" s="103">
        <v>48</v>
      </c>
      <c r="AR126" s="103" t="s">
        <v>2273</v>
      </c>
      <c r="AS126" s="103">
        <v>3</v>
      </c>
      <c r="AT126" s="103" t="str">
        <f t="shared" si="25"/>
        <v/>
      </c>
      <c r="AV126" s="103" t="str">
        <f t="shared" si="26"/>
        <v/>
      </c>
    </row>
    <row r="127" spans="1:48">
      <c r="C127" s="250" t="s">
        <v>1488</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2286</v>
      </c>
      <c r="AO127" s="103">
        <f>IF('Customer Base'!$I$15="MANUAL",IFERROR(AM127*B127,""),IF('Customer Base'!$I$15="AUTOMATE",IFERROR(AM127*A127,""),""))</f>
        <v>0</v>
      </c>
      <c r="AP127" s="103">
        <v>1000</v>
      </c>
      <c r="AQ127" s="103">
        <v>48</v>
      </c>
      <c r="AR127" s="103" t="s">
        <v>2273</v>
      </c>
      <c r="AS127" s="103">
        <v>3</v>
      </c>
      <c r="AT127" s="103" t="str">
        <f t="shared" si="25"/>
        <v/>
      </c>
      <c r="AV127" s="103" t="str">
        <f t="shared" si="26"/>
        <v/>
      </c>
    </row>
    <row r="128" spans="1:48">
      <c r="C128" s="250" t="s">
        <v>1489</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2287</v>
      </c>
      <c r="AO128" s="103">
        <f>IF('Customer Base'!$I$15="MANUAL",IFERROR(AM128*B128,""),IF('Customer Base'!$I$15="AUTOMATE",IFERROR(AM128*A128,""),""))</f>
        <v>0</v>
      </c>
      <c r="AP128" s="103">
        <v>1000</v>
      </c>
      <c r="AQ128" s="103">
        <v>48</v>
      </c>
      <c r="AR128" s="103" t="s">
        <v>2273</v>
      </c>
      <c r="AS128" s="103">
        <v>3</v>
      </c>
      <c r="AT128" s="103" t="str">
        <f t="shared" si="25"/>
        <v/>
      </c>
      <c r="AV128" s="103" t="str">
        <f t="shared" si="26"/>
        <v/>
      </c>
    </row>
    <row r="129" spans="1:48">
      <c r="C129" s="250" t="s">
        <v>1490</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2289</v>
      </c>
      <c r="AO129" s="103">
        <f>IF('Customer Base'!$I$15="MANUAL",IFERROR(AM129*B129,""),IF('Customer Base'!$I$15="AUTOMATE",IFERROR(AM129*A129,""),""))</f>
        <v>0</v>
      </c>
      <c r="AP129" s="103">
        <v>1000</v>
      </c>
      <c r="AQ129" s="103">
        <v>48</v>
      </c>
      <c r="AR129" s="103" t="s">
        <v>2273</v>
      </c>
      <c r="AS129" s="103">
        <v>3</v>
      </c>
      <c r="AT129" s="103" t="str">
        <f t="shared" si="25"/>
        <v/>
      </c>
      <c r="AV129" s="103" t="str">
        <f t="shared" si="26"/>
        <v/>
      </c>
    </row>
    <row r="130" spans="1:48">
      <c r="C130" s="250" t="s">
        <v>1491</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2290</v>
      </c>
      <c r="AO130" s="103">
        <f>IF('Customer Base'!$I$15="MANUAL",IFERROR(AM130*B130,""),IF('Customer Base'!$I$15="AUTOMATE",IFERROR(AM130*A130,""),""))</f>
        <v>0</v>
      </c>
      <c r="AP130" s="103">
        <v>1000</v>
      </c>
      <c r="AQ130" s="103">
        <v>48</v>
      </c>
      <c r="AR130" s="103" t="s">
        <v>2273</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1470</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IFERROR(IF(OR(ROUNDUP(SUM(A103:A118)/6,0)=0),"",ROUNDUP(SUM(A103:A118)/6,0)),"")</f>
        <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2724</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2725</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2722</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2723</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1656</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1657</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1658</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1659</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1660</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1661</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2720</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2721</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1825</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2623</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1662</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1884</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1635</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1636</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1637</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1634</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1638</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Base'!J9&gt;300,'Customer Base'!J9&lt;=500)),1,"")</f>
        <v/>
      </c>
      <c r="B168" s="270" t="s">
        <v>1</v>
      </c>
      <c r="C168" s="348" t="s">
        <v>1639</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1641</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1640</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1642</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1643</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1644</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1645</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1252</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1247</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1248</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1249</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1250</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1251</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1828</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1830</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1829</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1831</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1832</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1833</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1834</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1835</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1836</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1837</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1838</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1839</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1840</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1841</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1277</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1896</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1819</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2292</v>
      </c>
      <c r="AO205" s="103">
        <f>IF('Customer Base'!$I$15="MANUAL",IFERROR(AM205*B205,""),IF('Customer Base'!$I$15="AUTOMATE",IFERROR(AM205*A205,""),""))</f>
        <v>0</v>
      </c>
      <c r="AR205" s="103" t="s">
        <v>2211</v>
      </c>
      <c r="AT205" s="103" t="str">
        <f t="shared" ref="AT205:AT232" si="39">IF(AND(AR205=$AY$3,$AZ$3=AN205),BA$3,"")</f>
        <v/>
      </c>
      <c r="AV205" s="103" t="str">
        <f t="shared" si="36"/>
        <v/>
      </c>
    </row>
    <row r="206" spans="1:48">
      <c r="C206" s="257" t="s">
        <v>1820</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2291</v>
      </c>
      <c r="AO206" s="103">
        <f>IF('Customer Base'!$I$15="MANUAL",IFERROR(AM206*B206,""),IF('Customer Base'!$I$15="AUTOMATE",IFERROR(AM206*A206,""),""))</f>
        <v>0</v>
      </c>
      <c r="AR206" s="103" t="s">
        <v>2211</v>
      </c>
      <c r="AT206" s="103" t="str">
        <f t="shared" si="39"/>
        <v/>
      </c>
      <c r="AV206" s="103" t="str">
        <f t="shared" si="36"/>
        <v/>
      </c>
    </row>
    <row r="207" spans="1:48">
      <c r="A207" s="103">
        <f>IFERROR(IF(AND('Customer Base'!D$7&lt;&gt;"Grid-Tied",'Customer Base'!D$20="BYD",'Customer Base'!E$20=5),ROUNDUP('Customer Base'!D$21,0),""),"")</f>
        <v>6</v>
      </c>
      <c r="B207" s="270">
        <v>54</v>
      </c>
      <c r="C207" s="257" t="s">
        <v>2772</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2291</v>
      </c>
      <c r="AO207" s="103">
        <f>IF('Customer Base'!$I$15="MANUAL",IFERROR(AM207*B207,""),IF('Customer Base'!$I$15="AUTOMATE",IFERROR(AM207*A207,""),""))</f>
        <v>30</v>
      </c>
      <c r="AR207" s="103" t="s">
        <v>2211</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1821</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2293</v>
      </c>
      <c r="AO211" s="103" t="str">
        <f>IF('Customer Base'!$I$15="MANUAL",IFERROR(AM211*B211,""),IF('Customer Base'!$I$15="AUTOMATE",IFERROR(AM211*A211,""),""))</f>
        <v/>
      </c>
      <c r="AR211" s="103" t="s">
        <v>2211</v>
      </c>
      <c r="AT211" s="103" t="str">
        <f t="shared" si="39"/>
        <v/>
      </c>
      <c r="AV211" s="103" t="str">
        <f t="shared" si="36"/>
        <v/>
      </c>
    </row>
    <row r="212" spans="1:48">
      <c r="C212" s="257" t="s">
        <v>1822</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2294</v>
      </c>
      <c r="AO212" s="103">
        <f>IF('Customer Base'!$I$15="MANUAL",IFERROR(AM212*B212,""),IF('Customer Base'!$I$15="AUTOMATE",IFERROR(AM212*A212,""),""))</f>
        <v>0</v>
      </c>
      <c r="AR212" s="103" t="s">
        <v>2211</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1936</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2295</v>
      </c>
      <c r="AO215" s="103" t="str">
        <f>IF('Customer Base'!$I$15="MANUAL",IFERROR(AM215*B215,""),IF('Customer Base'!$I$15="AUTOMATE",IFERROR(AM215*A215,""),""))</f>
        <v/>
      </c>
      <c r="AR215" s="103" t="s">
        <v>2212</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1921</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2213</v>
      </c>
      <c r="AT217" s="103" t="str">
        <f t="shared" si="39"/>
        <v/>
      </c>
      <c r="AV217" s="103" t="str">
        <f t="shared" si="36"/>
        <v/>
      </c>
    </row>
    <row r="218" spans="1:48">
      <c r="C218" s="253" t="s">
        <v>1922</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1923</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2237</v>
      </c>
      <c r="AO221" s="103" t="str">
        <f>IF('Customer Base'!$I$15="MANUAL",IFERROR(AM221*B221,""),IF('Customer Base'!$I$15="AUTOMATE",IFERROR(AM221*A221,""),""))</f>
        <v/>
      </c>
      <c r="AR221" s="103" t="s">
        <v>2214</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2238</v>
      </c>
      <c r="AO222" s="103" t="str">
        <f>IF('Customer Base'!$I$15="MANUAL",IFERROR(AM222*B222,""),IF('Customer Base'!$I$15="AUTOMATE",IFERROR(AM222*A222,""),""))</f>
        <v/>
      </c>
      <c r="AR222" s="103" t="s">
        <v>2214</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2239</v>
      </c>
      <c r="AO223" s="103" t="str">
        <f>IF('Customer Base'!$I$15="MANUAL",IFERROR(AM223*B223,""),IF('Customer Base'!$I$15="AUTOMATE",IFERROR(AM223*A223,""),""))</f>
        <v/>
      </c>
      <c r="AR223" s="103" t="s">
        <v>2214</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2240</v>
      </c>
      <c r="AO224" s="103" t="str">
        <f>IF('Customer Base'!$I$15="MANUAL",IFERROR(AM224*B224,""),IF('Customer Base'!$I$15="AUTOMATE",IFERROR(AM224*A224,""),""))</f>
        <v/>
      </c>
      <c r="AR224" s="103" t="s">
        <v>2214</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2241</v>
      </c>
      <c r="AO225" s="103" t="str">
        <f>IF('Customer Base'!$I$15="MANUAL",IFERROR(AM225*B225,""),IF('Customer Base'!$I$15="AUTOMATE",IFERROR(AM225*A225,""),""))</f>
        <v/>
      </c>
      <c r="AR225" s="103" t="s">
        <v>2214</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2242</v>
      </c>
      <c r="AO226" s="103" t="str">
        <f>IF('Customer Base'!$I$15="MANUAL",IFERROR(AM226*B226,""),IF('Customer Base'!$I$15="AUTOMATE",IFERROR(AM226*A226,""),""))</f>
        <v/>
      </c>
      <c r="AR226" s="103" t="s">
        <v>2214</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2243</v>
      </c>
      <c r="AO227" s="103" t="str">
        <f>IF('Customer Base'!$I$15="MANUAL",IFERROR(AM227*B227,""),IF('Customer Base'!$I$15="AUTOMATE",IFERROR(AM227*A227,""),""))</f>
        <v/>
      </c>
      <c r="AR227" s="103" t="s">
        <v>2214</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2242</v>
      </c>
      <c r="AO228" s="103">
        <f>IF('Customer Base'!$I$15="MANUAL",IFERROR(AM228*B228,""),IF('Customer Base'!$I$15="AUTOMATE",IFERROR(AM228*A228,""),""))</f>
        <v>0</v>
      </c>
      <c r="AR228" s="103" t="s">
        <v>2214</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2243</v>
      </c>
      <c r="AO229" s="103">
        <f>IF('Customer Base'!$I$15="MANUAL",IFERROR(AM229*B229,""),IF('Customer Base'!$I$15="AUTOMATE",IFERROR(AM229*A229,""),""))</f>
        <v>0</v>
      </c>
      <c r="AR229" s="103" t="s">
        <v>2214</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2244</v>
      </c>
      <c r="AO230" s="103">
        <f>IF('Customer Base'!$I$15="MANUAL",IFERROR(AM230*B230,""),IF('Customer Base'!$I$15="AUTOMATE",IFERROR(AM230*A230,""),""))</f>
        <v>0</v>
      </c>
      <c r="AR230" s="103" t="s">
        <v>2214</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2246</v>
      </c>
      <c r="AO231" s="103" t="str">
        <f>IF('Customer Base'!$I$15="MANUAL",IFERROR(AM231*B231,""),IF('Customer Base'!$I$15="AUTOMATE",IFERROR(AM231*A231,""),""))</f>
        <v/>
      </c>
      <c r="AR231" s="103" t="s">
        <v>2214</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2244</v>
      </c>
      <c r="AO232" s="103">
        <f>IF('Customer Base'!$I$15="MANUAL",IFERROR(AM232*B232,""),IF('Customer Base'!$I$15="AUTOMATE",IFERROR(AM232*A232,""),""))</f>
        <v>0</v>
      </c>
      <c r="AR232" s="103" t="s">
        <v>2215</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2247</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2248</v>
      </c>
      <c r="AO233" s="103" t="str">
        <f>IF('Customer Base'!$I$15="MANUAL",IFERROR(AM233*B233,""),IF('Customer Base'!$I$15="AUTOMATE",IFERROR(AM233*A233,""),""))</f>
        <v/>
      </c>
      <c r="AR233" s="103" t="s">
        <v>2216</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1522</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2245</v>
      </c>
      <c r="AO234" s="103" t="str">
        <f>IF('Customer Base'!$I$15="MANUAL",IFERROR(AM234*B234,""),IF('Customer Base'!$I$15="AUTOMATE",IFERROR(AM234*A234,""),""))</f>
        <v/>
      </c>
      <c r="AR234" s="103" t="s">
        <v>2217</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1523</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2249</v>
      </c>
      <c r="AO235" s="103" t="str">
        <f>IF('Customer Base'!$I$15="MANUAL",IFERROR(AM235*B235,""),IF('Customer Base'!$I$15="AUTOMATE",IFERROR(AM235*A235,""),""))</f>
        <v/>
      </c>
      <c r="AR235" s="103" t="s">
        <v>2217</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1524</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2250</v>
      </c>
      <c r="AO236" s="103" t="str">
        <f>IF('Customer Base'!$I$15="MANUAL",IFERROR(AM236*B236,""),IF('Customer Base'!$I$15="AUTOMATE",IFERROR(AM236*A236,""),""))</f>
        <v/>
      </c>
      <c r="AR236" s="103" t="s">
        <v>2217</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1885</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2301</v>
      </c>
      <c r="AO242" s="103" t="str">
        <f>IF('Customer Base'!$I$15="MANUAL",IFERROR(AM242*B242,""),IF('Customer Base'!$I$15="AUTOMATE",IFERROR(AM242*A242,""),""))</f>
        <v/>
      </c>
      <c r="AP242" s="103">
        <v>14</v>
      </c>
      <c r="AQ242" s="103">
        <v>49.12</v>
      </c>
      <c r="AR242" s="103" t="s">
        <v>2308</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1879</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2302</v>
      </c>
      <c r="AO243" s="103" t="str">
        <f>IF('Customer Base'!$I$15="MANUAL",IFERROR(AM243*B243,""),IF('Customer Base'!$I$15="AUTOMATE",IFERROR(AM243*A243,""),""))</f>
        <v/>
      </c>
      <c r="AP243" s="103">
        <v>13.57</v>
      </c>
      <c r="AQ243" s="103">
        <v>50.02</v>
      </c>
      <c r="AR243" s="103" t="s">
        <v>2308</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2186</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
      </c>
      <c r="AM245" s="103">
        <v>0.55500000000000005</v>
      </c>
      <c r="AN245" s="103" t="s">
        <v>2303</v>
      </c>
      <c r="AO245" s="103" t="str">
        <f>IF('Customer Base'!$I$15="MANUAL",IFERROR(AM245*B245,""),IF('Customer Base'!$I$15="AUTOMATE",IFERROR(AM245*A245,""),""))</f>
        <v/>
      </c>
      <c r="AP245" s="103">
        <v>14.12</v>
      </c>
      <c r="AQ245" s="103">
        <v>49.72</v>
      </c>
      <c r="AR245" s="103" t="s">
        <v>2299</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2652</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2655</v>
      </c>
      <c r="AO247" s="103" t="str">
        <f>IF('Customer Base'!$I$15="MANUAL",IFERROR(AM247*B247,""),IF('Customer Base'!$I$15="AUTOMATE",IFERROR(AM247*A247,""),""))</f>
        <v/>
      </c>
      <c r="AP247" s="103">
        <v>14.31</v>
      </c>
      <c r="AQ247" s="103">
        <v>50.5</v>
      </c>
      <c r="AR247" s="103" t="s">
        <v>2298</v>
      </c>
      <c r="AS247" s="103" t="str">
        <f t="shared" ref="AS247" si="50">IF(AT247&lt;&gt;"",AQ247,"")</f>
        <v/>
      </c>
      <c r="AT247" s="103" t="str">
        <f t="shared" ref="AT247" si="51">IF(AND(AR247=$AY$4,$AZ$4=AN247),BA$4,"")</f>
        <v/>
      </c>
    </row>
    <row r="248" spans="1:48">
      <c r="A248" s="103">
        <f>IFERROR(IF(AND('Customer Base'!D$7&lt;&gt;"Backup",'Customer Base'!D$26=600,'Customer Base'!D$25="JA Solar"),ROUNDUP('Customer Base'!D$27/AM248,0),""),"")</f>
        <v>25</v>
      </c>
      <c r="B248" s="270">
        <v>224</v>
      </c>
      <c r="C248" s="103" t="s">
        <v>2833</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JA Solar JAM66-S45 600 Watts Solar Panel</v>
      </c>
      <c r="AM248" s="103">
        <v>0.6</v>
      </c>
      <c r="AN248" s="103" t="s">
        <v>2834</v>
      </c>
      <c r="AO248" s="103">
        <f>IF('Customer Base'!$I$15="MANUAL",IFERROR(AM248*B248,""),IF('Customer Base'!$I$15="AUTOMATE",IFERROR(AM248*A248,""),""))</f>
        <v>15</v>
      </c>
      <c r="AP248" s="103">
        <v>15.95</v>
      </c>
      <c r="AQ248" s="103">
        <v>47.7</v>
      </c>
      <c r="AR248" s="103" t="s">
        <v>2298</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2296</v>
      </c>
      <c r="D249" s="327">
        <v>129.79</v>
      </c>
      <c r="E249" s="327">
        <v>105.754</v>
      </c>
      <c r="F249" s="260">
        <f t="shared" si="46"/>
        <v>106.47251845775224</v>
      </c>
      <c r="G249" s="260">
        <f>IFERROR(ROUNDUP(F249*'Customer Base'!$J$5,2),0)</f>
        <v>1703.57</v>
      </c>
      <c r="H249" s="260">
        <f t="shared" si="47"/>
        <v>86.754716981132077</v>
      </c>
      <c r="I249" s="260">
        <f>IFERROR(ROUNDUP(H249*'Customer Base'!$J$5,2),0)</f>
        <v>1388.08</v>
      </c>
      <c r="J249" s="103" t="str">
        <f t="shared" si="40"/>
        <v/>
      </c>
      <c r="L249" s="103" t="str">
        <f t="shared" si="41"/>
        <v/>
      </c>
      <c r="N249" s="103">
        <v>248</v>
      </c>
      <c r="O249" s="103" t="str">
        <f>IF('Customer Base'!$I$15="MANUAL",IF(B249&lt;&gt;"",C249,""),IF('Customer Base'!$I$15="AUTOMATE",IF(A249&lt;&gt;"",C249,""),""))</f>
        <v/>
      </c>
      <c r="AM249" s="103">
        <v>0.41499999999999998</v>
      </c>
      <c r="AN249" s="103" t="s">
        <v>2304</v>
      </c>
      <c r="AO249" s="103" t="str">
        <f>IF('Customer Base'!$I$15="MANUAL",IFERROR(AM249*B249,""),IF('Customer Base'!$I$15="AUTOMATE",IFERROR(AM249*A249,""),""))</f>
        <v/>
      </c>
      <c r="AP249" s="103">
        <v>13.87</v>
      </c>
      <c r="AQ249" s="103">
        <v>38.08</v>
      </c>
      <c r="AR249" s="103" t="s">
        <v>2297</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2744</v>
      </c>
      <c r="D251" s="327">
        <v>64.900000000000006</v>
      </c>
      <c r="E251" s="327">
        <v>62.192</v>
      </c>
      <c r="F251" s="260">
        <f t="shared" si="46"/>
        <v>53.240360951599676</v>
      </c>
      <c r="G251" s="260">
        <f>IFERROR(ROUNDUP(F251*'Customer Base'!$J$5,2),0)</f>
        <v>851.85</v>
      </c>
      <c r="H251" s="260">
        <f t="shared" si="47"/>
        <v>51.018867924528301</v>
      </c>
      <c r="I251" s="260">
        <f>IFERROR(ROUNDUP(H251*'Customer Base'!$J$5,2),0)</f>
        <v>816.31</v>
      </c>
      <c r="J251" s="103" t="str">
        <f t="shared" si="40"/>
        <v/>
      </c>
      <c r="L251" s="103" t="str">
        <f t="shared" si="41"/>
        <v/>
      </c>
      <c r="N251" s="103">
        <v>250</v>
      </c>
      <c r="O251" s="103" t="str">
        <f>IF('Customer Base'!$I$15="MANUAL",IF(B251&lt;&gt;"",C251,""),IF('Customer Base'!$I$15="AUTOMATE",IF(A251&lt;&gt;"",C251,""),""))</f>
        <v/>
      </c>
      <c r="AM251" s="103">
        <v>0.115</v>
      </c>
      <c r="AN251" s="103" t="s">
        <v>2305</v>
      </c>
      <c r="AO251" s="103" t="str">
        <f>IF('Customer Base'!$I$15="MANUAL",IFERROR(AM251*B251,""),IF('Customer Base'!$I$15="AUTOMATE",IFERROR(AM251*A251,""),""))</f>
        <v/>
      </c>
      <c r="AP251" s="103">
        <v>6.61</v>
      </c>
      <c r="AQ251" s="103">
        <v>23.32</v>
      </c>
      <c r="AR251" s="103" t="s">
        <v>2300</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1356</v>
      </c>
      <c r="D252" s="327">
        <v>118.44</v>
      </c>
      <c r="E252" s="327">
        <v>113.505</v>
      </c>
      <c r="F252" s="260">
        <f t="shared" ref="F252:F289" si="52">$D252/1.219</f>
        <v>97.161607875307624</v>
      </c>
      <c r="G252" s="260">
        <f>IFERROR(ROUNDUP(F252*'Customer Base'!$J$5,2),0)</f>
        <v>1554.59</v>
      </c>
      <c r="H252" s="260">
        <f t="shared" ref="H252:H289" si="53">$E252/1.219</f>
        <v>93.113207547169807</v>
      </c>
      <c r="I252" s="260">
        <f>IFERROR(ROUNDUP(H252*'Customer Base'!$J$5,2),0)</f>
        <v>1489.82</v>
      </c>
      <c r="J252" s="103" t="str">
        <f t="shared" si="40"/>
        <v/>
      </c>
      <c r="L252" s="103" t="str">
        <f t="shared" si="41"/>
        <v/>
      </c>
      <c r="N252" s="103">
        <v>251</v>
      </c>
      <c r="O252" s="103" t="str">
        <f>IF('Customer Base'!$I$15="MANUAL",IF(B252&lt;&gt;"",C252,""),IF('Customer Base'!$I$15="AUTOMATE",IF(A252&lt;&gt;"",C252,""),""))</f>
        <v/>
      </c>
      <c r="AM252" s="103">
        <v>0.27</v>
      </c>
      <c r="AN252" s="103" t="s">
        <v>2306</v>
      </c>
      <c r="AO252" s="103" t="str">
        <f>IF('Customer Base'!$I$15="MANUAL",IFERROR(AM252*B252,""),IF('Customer Base'!$I$15="AUTOMATE",IFERROR(AM252*A252,""),""))</f>
        <v/>
      </c>
      <c r="AP252" s="103">
        <v>9.2100000000000009</v>
      </c>
      <c r="AQ252" s="103">
        <v>38.04</v>
      </c>
      <c r="AR252" s="103" t="s">
        <v>2300</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2743</v>
      </c>
      <c r="D253" s="327">
        <v>131.54</v>
      </c>
      <c r="E253" s="327">
        <v>126.063</v>
      </c>
      <c r="F253" s="260">
        <f t="shared" si="52"/>
        <v>107.90812141099261</v>
      </c>
      <c r="G253" s="260">
        <f>IFERROR(ROUNDUP(F253*'Customer Base'!$J$5,2),0)</f>
        <v>1726.53</v>
      </c>
      <c r="H253" s="260">
        <f t="shared" si="53"/>
        <v>103.41509433962264</v>
      </c>
      <c r="I253" s="260">
        <f>IFERROR(ROUNDUP(H253*'Customer Base'!$J$5,2),0)</f>
        <v>1654.65</v>
      </c>
      <c r="J253" s="103" t="str">
        <f t="shared" si="40"/>
        <v/>
      </c>
      <c r="L253" s="103" t="str">
        <f t="shared" si="41"/>
        <v/>
      </c>
      <c r="N253" s="103">
        <v>252</v>
      </c>
      <c r="O253" s="103" t="str">
        <f>IF('Customer Base'!$I$15="MANUAL",IF(B253&lt;&gt;"",C253,""),IF('Customer Base'!$I$15="AUTOMATE",IF(A253&lt;&gt;"",C253,""),""))</f>
        <v/>
      </c>
      <c r="AM253" s="103">
        <v>0.30499999999999999</v>
      </c>
      <c r="AN253" s="103" t="s">
        <v>2307</v>
      </c>
      <c r="AO253" s="103" t="str">
        <f>IF('Customer Base'!$I$15="MANUAL",IFERROR(AM253*B253,""),IF('Customer Base'!$I$15="AUTOMATE",IFERROR(AM253*A253,""),""))</f>
        <v/>
      </c>
      <c r="AP253" s="103">
        <v>10.27</v>
      </c>
      <c r="AQ253" s="103">
        <v>39.86</v>
      </c>
      <c r="AR253" s="103" t="s">
        <v>2300</v>
      </c>
    </row>
    <row r="254" spans="1:48">
      <c r="A254" s="103" t="str">
        <f>IFERROR(IF(AND('Customer Base'!D$7&lt;&gt;"Backup",'Customer Base'!D$26=330,'Customer Base'!D$25="Victron"),ROUNDUP('Customer Base'!D$27/AM254,0),""),"")</f>
        <v/>
      </c>
      <c r="B254" s="270" t="s">
        <v>1</v>
      </c>
      <c r="C254" s="259" t="s">
        <v>2742</v>
      </c>
      <c r="D254" s="327">
        <v>129.78</v>
      </c>
      <c r="E254" s="327">
        <v>124.373</v>
      </c>
      <c r="F254" s="260">
        <f t="shared" si="52"/>
        <v>106.46431501230516</v>
      </c>
      <c r="G254" s="260">
        <f>IFERROR(ROUNDUP(F254*'Customer Base'!$J$5,2),0)</f>
        <v>1703.43</v>
      </c>
      <c r="H254" s="260">
        <f t="shared" si="53"/>
        <v>102.0287120590648</v>
      </c>
      <c r="I254" s="260">
        <f>IFERROR(ROUNDUP(H254*'Customer Base'!$J$5,2),0)</f>
        <v>1632.46</v>
      </c>
      <c r="J254" s="103" t="str">
        <f t="shared" si="40"/>
        <v/>
      </c>
      <c r="L254" s="103" t="str">
        <f t="shared" si="41"/>
        <v/>
      </c>
      <c r="N254" s="103">
        <v>253</v>
      </c>
      <c r="O254" s="103" t="str">
        <f>IF('Customer Base'!$I$15="MANUAL",IF(B254&lt;&gt;"",C254,""),IF('Customer Base'!$I$15="AUTOMATE",IF(A254&lt;&gt;"",C254,""),""))</f>
        <v/>
      </c>
      <c r="AM254" s="103">
        <v>0.33</v>
      </c>
      <c r="AN254" s="103" t="s">
        <v>2745</v>
      </c>
      <c r="AO254" s="103" t="str">
        <f>IF('Customer Base'!$I$15="MANUAL",IFERROR(AM254*B254,""),IF('Customer Base'!$I$15="AUTOMATE",IFERROR(AM254*A254,""),""))</f>
        <v/>
      </c>
      <c r="AP254" s="103">
        <v>9.57</v>
      </c>
      <c r="AQ254" s="103">
        <v>44.72</v>
      </c>
      <c r="AR254" s="103" t="s">
        <v>2300</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1886</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829.67</v>
      </c>
      <c r="H257" s="238">
        <f t="shared" si="53"/>
        <v>48.839212469237076</v>
      </c>
      <c r="I257" s="238">
        <f>IFERROR(ROUNDUP(H257*'Customer Base'!$J$5,2),0)</f>
        <v>781.43</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889</v>
      </c>
      <c r="H258" s="238">
        <f t="shared" si="53"/>
        <v>52.334372436423294</v>
      </c>
      <c r="I258" s="238">
        <f>IFERROR(ROUNDUP(H258*'Customer Base'!$J$5,2),0)</f>
        <v>837.35</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1042.96</v>
      </c>
      <c r="H259" s="238">
        <f t="shared" si="53"/>
        <v>61.397867104183746</v>
      </c>
      <c r="I259" s="238">
        <f>IFERROR(ROUNDUP(H259*'Customer Base'!$J$5,2),0)</f>
        <v>982.37</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1</v>
      </c>
      <c r="B260" s="270" t="s">
        <v>1</v>
      </c>
      <c r="C260" s="237" t="s">
        <v>1675</v>
      </c>
      <c r="D260" s="267">
        <v>90.3</v>
      </c>
      <c r="E260" s="267">
        <v>85.05</v>
      </c>
      <c r="F260" s="238">
        <f t="shared" si="52"/>
        <v>74.077112387202618</v>
      </c>
      <c r="G260" s="238">
        <f>IFERROR(ROUNDUP(F260*'Customer Base'!$J$5,2),0)</f>
        <v>1185.24</v>
      </c>
      <c r="H260" s="238">
        <f t="shared" si="53"/>
        <v>69.770303527481531</v>
      </c>
      <c r="I260" s="238">
        <f>IFERROR(ROUNDUP(H260*'Customer Base'!$J$5,2),0)</f>
        <v>1116.33</v>
      </c>
      <c r="J260" s="103" t="str">
        <f t="shared" si="40"/>
        <v/>
      </c>
      <c r="L260" s="103" t="str">
        <f t="shared" si="41"/>
        <v/>
      </c>
      <c r="N260" s="103">
        <v>260</v>
      </c>
      <c r="O260" s="103" t="str">
        <f ca="1">IF('Customer Base'!$I$15="MANUAL",IF(B260&lt;&gt;"",C260,""),IF('Customer Base'!$I$15="AUTOMATE",IF(A260&lt;&gt;"",C260,""),""))</f>
        <v>Victron SmartSolar MPPT 100/20 up to 48V</v>
      </c>
      <c r="AO260" s="103">
        <f ca="1">IF('Customer Base'!$I$15="MANUAL",IFERROR(AM260*B260,""),IF('Customer Base'!$I$15="AUTOMATE",IFERROR(AM260*A260,""),""))</f>
        <v>0</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1706.72</v>
      </c>
      <c r="H261" s="238">
        <f t="shared" si="53"/>
        <v>100.4692370795734</v>
      </c>
      <c r="I261" s="238">
        <f>IFERROR(ROUNDUP(H261*'Customer Base'!$J$5,2),0)</f>
        <v>1607.51</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2453.5600000000004</v>
      </c>
      <c r="H262" s="238">
        <f t="shared" si="53"/>
        <v>144.43117309269891</v>
      </c>
      <c r="I262" s="238">
        <f>IFERROR(ROUNDUP(H262*'Customer Base'!$J$5,2),0)</f>
        <v>2310.9</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Base'!D$13="Victron",'Customer Base'!D$14&lt;&gt;6),IF(AND(OR(AND('Client List'!EH474=100,'Client List'!EF474&gt;1160,'Client List'!EF474&lt;2000,'Client List'!EF$474&gt;0),AND('Client List'!EH474=150,'Client List'!EF$474&lt;=AW$263)),OR(SUM('Client List'!EE477:EE485)&gt;0,SUM('Client List'!EE477:EE491)=0)),'Client List'!EC$474,IF(AND(OR(AND('Client List'!IP474=100,'Client List'!IN474&gt;1160,'Client List'!IN474&lt;2000,'Client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2453.5600000000004</v>
      </c>
      <c r="H263" s="238">
        <f t="shared" si="53"/>
        <v>144.43117309269891</v>
      </c>
      <c r="I263" s="238">
        <f>IFERROR(ROUNDUP(H263*'Customer Base'!$J$5,2),0)</f>
        <v>2310.9</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2903.76</v>
      </c>
      <c r="H264" s="238">
        <f t="shared" si="53"/>
        <v>170.93027071369974</v>
      </c>
      <c r="I264" s="238">
        <f>IFERROR(ROUNDUP(H264*'Customer Base'!$J$5,2),0)</f>
        <v>2734.8900000000003</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4657.8600000000006</v>
      </c>
      <c r="H265" s="238">
        <f t="shared" si="53"/>
        <v>274.1906480721903</v>
      </c>
      <c r="I265" s="238">
        <f>IFERROR(ROUNDUP(H265*'Customer Base'!$J$5,2),0)</f>
        <v>4387.0600000000004</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2740</v>
      </c>
      <c r="D266" s="267">
        <v>354.87</v>
      </c>
      <c r="E266" s="267">
        <v>334.238</v>
      </c>
      <c r="F266" s="238">
        <f t="shared" si="52"/>
        <v>291.11566858080391</v>
      </c>
      <c r="G266" s="238">
        <f>IFERROR(ROUNDUP(F266*'Customer Base'!$J$5,2),0)</f>
        <v>4657.8600000000006</v>
      </c>
      <c r="H266" s="238">
        <f t="shared" si="53"/>
        <v>274.19031993437244</v>
      </c>
      <c r="I266" s="238">
        <f>IFERROR(ROUNDUP(H266*'Customer Base'!$J$5,2),0)</f>
        <v>4387.05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5084.5700000000006</v>
      </c>
      <c r="H267" s="238">
        <f t="shared" si="53"/>
        <v>299.30795734208368</v>
      </c>
      <c r="I267" s="238">
        <f>IFERROR(ROUNDUP(H267*'Customer Base'!$J$5,2),0)</f>
        <v>4788.93</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5498.1500000000005</v>
      </c>
      <c r="H268" s="238">
        <f t="shared" si="53"/>
        <v>324.42526661197701</v>
      </c>
      <c r="I268" s="238">
        <f>IFERROR(ROUNDUP(H268*'Customer Base'!$J$5,2),0)</f>
        <v>5190.8100000000004</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5498.1500000000005</v>
      </c>
      <c r="H269" s="238">
        <f t="shared" si="53"/>
        <v>324.42165709598032</v>
      </c>
      <c r="I269" s="238">
        <f>IFERROR(ROUNDUP(H269*'Customer Base'!$J$5,2),0)</f>
        <v>5190.75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Base'!D$13="Victron",'Customer Base'!D$14&lt;&gt;6),IF(AND('Client List'!EH474=150,'Client List'!EF$474&gt;AW$268,'Client List'!EF$474&lt;=AW$270,OR(SUM('Client List'!EE477:EE485)&gt;0,SUM('Client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6020.9400000000005</v>
      </c>
      <c r="H270" s="238">
        <f t="shared" si="53"/>
        <v>354.43314191960621</v>
      </c>
      <c r="I270" s="238">
        <f>IFERROR(ROUNDUP(H270*'Customer Base'!$J$5,2),0)</f>
        <v>5670.9400000000005</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6151.54</v>
      </c>
      <c r="H271" s="238">
        <f t="shared" si="53"/>
        <v>362.11452009844129</v>
      </c>
      <c r="I271" s="238">
        <f>IFERROR(ROUNDUP(H271*'Customer Base'!$J$5,2),0)</f>
        <v>5793.84</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6862.68</v>
      </c>
      <c r="H272" s="238">
        <f t="shared" si="53"/>
        <v>403.97670221493024</v>
      </c>
      <c r="I272" s="238">
        <f>IFERROR(ROUNDUP(H272*'Customer Base'!$J$5,2),0)</f>
        <v>6463.63</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6992.88</v>
      </c>
      <c r="H273" s="238">
        <f t="shared" si="53"/>
        <v>411.64479081214108</v>
      </c>
      <c r="I273" s="238">
        <f>IFERROR(ROUNDUP(H273*'Customer Base'!$J$5,2),0)</f>
        <v>6586.3200000000006</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5511.2800000000007</v>
      </c>
      <c r="H274" s="238">
        <f t="shared" si="53"/>
        <v>324.42526661197701</v>
      </c>
      <c r="I274" s="238">
        <f>IFERROR(ROUNDUP(H274*'Customer Base'!$J$5,2),0)</f>
        <v>5190.8100000000004</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2741</v>
      </c>
      <c r="D275" s="267">
        <v>419.89</v>
      </c>
      <c r="E275" s="267">
        <v>395.47399999999999</v>
      </c>
      <c r="F275" s="238">
        <f t="shared" si="52"/>
        <v>344.45447087776864</v>
      </c>
      <c r="G275" s="238">
        <f>IFERROR(ROUNDUP(F275*'Customer Base'!$J$5,2),0)</f>
        <v>5511.2800000000007</v>
      </c>
      <c r="H275" s="238">
        <f t="shared" si="53"/>
        <v>324.42493847415909</v>
      </c>
      <c r="I275" s="238">
        <f>IFERROR(ROUNDUP(H275*'Customer Base'!$J$5,2),0)</f>
        <v>5190.8</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6352.75</v>
      </c>
      <c r="H276" s="238">
        <f t="shared" si="53"/>
        <v>373.96882690730104</v>
      </c>
      <c r="I276" s="238">
        <f>IFERROR(ROUNDUP(H276*'Customer Base'!$J$5,2),0)</f>
        <v>5983.51</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
      </c>
      <c r="B277" s="270">
        <v>1</v>
      </c>
      <c r="C277" s="237" t="s">
        <v>873</v>
      </c>
      <c r="D277" s="267">
        <v>516.52</v>
      </c>
      <c r="E277" s="267">
        <v>486.48599999999999</v>
      </c>
      <c r="F277" s="238">
        <f t="shared" si="52"/>
        <v>423.72436423297779</v>
      </c>
      <c r="G277" s="238">
        <f>IFERROR(ROUNDUP(F277*'Customer Base'!$J$5,2),0)</f>
        <v>6779.59</v>
      </c>
      <c r="H277" s="238">
        <f t="shared" si="53"/>
        <v>399.08613617719436</v>
      </c>
      <c r="I277" s="238">
        <f>IFERROR(ROUNDUP(H277*'Customer Base'!$J$5,2),0)</f>
        <v>6385.38</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6779.59</v>
      </c>
      <c r="H278" s="238">
        <f t="shared" si="53"/>
        <v>399.08941755537325</v>
      </c>
      <c r="I278" s="238">
        <f>IFERROR(ROUNDUP(H278*'Customer Base'!$J$5,2),0)</f>
        <v>6385.4400000000005</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7289.26</v>
      </c>
      <c r="H279" s="238">
        <f t="shared" si="53"/>
        <v>429.09401148482362</v>
      </c>
      <c r="I279" s="238">
        <f>IFERROR(ROUNDUP(H279*'Customer Base'!$J$5,2),0)</f>
        <v>6865.51</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7419.59</v>
      </c>
      <c r="H280" s="238">
        <f t="shared" si="53"/>
        <v>436.76210008203441</v>
      </c>
      <c r="I280" s="238">
        <f>IFERROR(ROUNDUP(H280*'Customer Base'!$J$5,2),0)</f>
        <v>6988.2</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2</v>
      </c>
      <c r="B281" s="270" t="s">
        <v>1</v>
      </c>
      <c r="C281" s="237" t="s">
        <v>876</v>
      </c>
      <c r="D281" s="267">
        <v>619.46</v>
      </c>
      <c r="E281" s="267">
        <v>583.44299999999998</v>
      </c>
      <c r="F281" s="238">
        <f t="shared" si="52"/>
        <v>508.17063166529942</v>
      </c>
      <c r="G281" s="238">
        <f>IFERROR(ROUNDUP(F281*'Customer Base'!$J$5,2),0)</f>
        <v>8130.74</v>
      </c>
      <c r="H281" s="238">
        <f t="shared" si="53"/>
        <v>478.62428219852336</v>
      </c>
      <c r="I281" s="238">
        <f>IFERROR(ROUNDUP(H281*'Customer Base'!$J$5,2),0)</f>
        <v>7657.99</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8260.94</v>
      </c>
      <c r="H282" s="238">
        <f t="shared" si="53"/>
        <v>486.29237079573414</v>
      </c>
      <c r="I282" s="238">
        <f>IFERROR(ROUNDUP(H282*'Customer Base'!$J$5,2),0)</f>
        <v>7780.68</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14708.59</v>
      </c>
      <c r="H283" s="238">
        <f t="shared" si="53"/>
        <v>865.84249384741588</v>
      </c>
      <c r="I283" s="238">
        <f>IFERROR(ROUNDUP(H283*'Customer Base'!$J$5,2),0)</f>
        <v>13853.48</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25755.019999999997</v>
      </c>
      <c r="H284" s="238">
        <f t="shared" si="53"/>
        <v>1516.1017227235436</v>
      </c>
      <c r="I284" s="238">
        <f>IFERROR(ROUNDUP(H284*'Customer Base'!$J$5,2),0)</f>
        <v>24257.629999999997</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426.71999999999997</v>
      </c>
      <c r="H286" s="245">
        <f t="shared" si="53"/>
        <v>25.117309269893351</v>
      </c>
      <c r="I286" s="245">
        <f>IFERROR(ROUNDUP(H286*'Customer Base'!$J$5,2),0)</f>
        <v>401.88</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308.19</v>
      </c>
      <c r="H287" s="245">
        <f t="shared" si="53"/>
        <v>18.140278917145199</v>
      </c>
      <c r="I287" s="245">
        <f>IFERROR(ROUNDUP(H287*'Customer Base'!$J$5,2),0)</f>
        <v>290.25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308.19</v>
      </c>
      <c r="H288" s="245">
        <f t="shared" si="53"/>
        <v>18.140278917145199</v>
      </c>
      <c r="I288" s="245">
        <f>IFERROR(ROUNDUP(H288*'Customer Base'!$J$5,2),0)</f>
        <v>290.25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308.19</v>
      </c>
      <c r="H289" s="245">
        <f t="shared" si="53"/>
        <v>18.140278917145199</v>
      </c>
      <c r="I289" s="245">
        <f>IFERROR(ROUNDUP(H289*'Customer Base'!$J$5,2),0)</f>
        <v>290.25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1891</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1469.67</v>
      </c>
      <c r="H292" s="249">
        <f t="shared" si="61"/>
        <v>86.515176374077114</v>
      </c>
      <c r="I292" s="249">
        <f>IFERROR(ROUNDUP(H292*'Customer Base'!$J$5,2),0)</f>
        <v>1384.25</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1469.67</v>
      </c>
      <c r="H293" s="249">
        <f t="shared" si="61"/>
        <v>86.515176374077114</v>
      </c>
      <c r="I293" s="249">
        <f>IFERROR(ROUNDUP(H293*'Customer Base'!$J$5,2),0)</f>
        <v>1384.25</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1825.24</v>
      </c>
      <c r="H294" s="249">
        <f t="shared" si="61"/>
        <v>107.44626743232158</v>
      </c>
      <c r="I294" s="249">
        <f>IFERROR(ROUNDUP(H294*'Customer Base'!$J$5,2),0)</f>
        <v>1719.15</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1825.24</v>
      </c>
      <c r="H295" s="249">
        <f t="shared" si="61"/>
        <v>107.44626743232158</v>
      </c>
      <c r="I295" s="249">
        <f>IFERROR(ROUNDUP(H295*'Customer Base'!$J$5,2),0)</f>
        <v>1719.15</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2109.67</v>
      </c>
      <c r="H296" s="249">
        <f t="shared" si="61"/>
        <v>124.19114027891715</v>
      </c>
      <c r="I296" s="249">
        <f>IFERROR(ROUNDUP(H296*'Customer Base'!$J$5,2),0)</f>
        <v>1987.06</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3650.4700000000003</v>
      </c>
      <c r="H298" s="261">
        <f t="shared" si="61"/>
        <v>214.89253486464315</v>
      </c>
      <c r="I298" s="249">
        <f>IFERROR(ROUNDUP(H298*'Customer Base'!$J$5,2),0)</f>
        <v>3438.2900000000004</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2728</v>
      </c>
      <c r="D299" s="329">
        <v>320.57</v>
      </c>
      <c r="E299" s="329">
        <v>301.93599999999998</v>
      </c>
      <c r="F299" s="261">
        <f t="shared" si="60"/>
        <v>262.97785069729287</v>
      </c>
      <c r="G299" s="249">
        <f>IFERROR(ROUNDUP(F299*'Customer Base'!$J$5,2),0)</f>
        <v>4207.6500000000005</v>
      </c>
      <c r="H299" s="261">
        <f t="shared" si="61"/>
        <v>247.69155045118947</v>
      </c>
      <c r="I299" s="249">
        <f>IFERROR(ROUNDUP(H299*'Customer Base'!$J$5,2),0)</f>
        <v>3963.07</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2729</v>
      </c>
      <c r="D300" s="329">
        <v>220.33</v>
      </c>
      <c r="E300" s="329">
        <v>207.52199999999999</v>
      </c>
      <c r="F300" s="261">
        <f t="shared" si="60"/>
        <v>180.74651353568498</v>
      </c>
      <c r="G300" s="249">
        <f>IFERROR(ROUNDUP(F300*'Customer Base'!$J$5,2),0)</f>
        <v>2891.9500000000003</v>
      </c>
      <c r="H300" s="261">
        <f t="shared" si="61"/>
        <v>170.23954060705495</v>
      </c>
      <c r="I300" s="249">
        <f>IFERROR(ROUNDUP(H300*'Customer Base'!$J$5,2),0)</f>
        <v>2723.84</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v>1</v>
      </c>
      <c r="C301" s="248" t="s">
        <v>2831</v>
      </c>
      <c r="D301" s="329">
        <v>210.08</v>
      </c>
      <c r="E301" s="329">
        <v>208.32</v>
      </c>
      <c r="F301" s="261">
        <f t="shared" si="60"/>
        <v>172.33798195242002</v>
      </c>
      <c r="G301" s="249">
        <f>IFERROR(ROUNDUP(F301*'Customer Base'!$J$5,2),0)</f>
        <v>2757.4100000000003</v>
      </c>
      <c r="H301" s="261">
        <f t="shared" si="61"/>
        <v>170.89417555373254</v>
      </c>
      <c r="I301" s="249">
        <f>IFERROR(ROUNDUP(H301*'Customer Base'!$J$5,2),0)</f>
        <v>2734.3100000000004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v>1</v>
      </c>
      <c r="C302" s="248" t="s">
        <v>1031</v>
      </c>
      <c r="D302" s="329">
        <v>15.34</v>
      </c>
      <c r="E302" s="329">
        <v>14.4504</v>
      </c>
      <c r="F302" s="261">
        <f t="shared" si="60"/>
        <v>12.584085315832649</v>
      </c>
      <c r="G302" s="249">
        <f>IFERROR(ROUNDUP(F302*'Customer Base'!$J$5,2),0)</f>
        <v>201.35</v>
      </c>
      <c r="H302" s="261">
        <f t="shared" si="61"/>
        <v>11.85430680885972</v>
      </c>
      <c r="I302" s="249">
        <f>IFERROR(ROUNDUP(H302*'Customer Base'!$J$5,2),0)</f>
        <v>189.67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272.75</v>
      </c>
      <c r="H303" s="261">
        <f t="shared" si="61"/>
        <v>16.054142739950777</v>
      </c>
      <c r="I303" s="249">
        <f>IFERROR(ROUNDUP(H303*'Customer Base'!$J$5,2),0)</f>
        <v>256.87</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2730</v>
      </c>
      <c r="D304" s="329">
        <v>17.170000000000002</v>
      </c>
      <c r="E304" s="329">
        <v>16.167999999999999</v>
      </c>
      <c r="F304" s="261">
        <f t="shared" si="60"/>
        <v>14.085315832649714</v>
      </c>
      <c r="G304" s="249">
        <f>IFERROR(ROUNDUP(F304*'Customer Base'!$J$5,2),0)</f>
        <v>225.37</v>
      </c>
      <c r="H304" s="261">
        <f t="shared" si="61"/>
        <v>13.263330598851516</v>
      </c>
      <c r="I304" s="249">
        <f>IFERROR(ROUNDUP(H304*'Customer Base'!$J$5,2),0)</f>
        <v>212.22</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1546</v>
      </c>
      <c r="D305" s="329">
        <v>438.86</v>
      </c>
      <c r="E305" s="329">
        <v>413.34300000000002</v>
      </c>
      <c r="F305" s="261">
        <f t="shared" si="60"/>
        <v>360.01640689089419</v>
      </c>
      <c r="G305" s="249">
        <f>IFERROR(ROUNDUP(F305*'Customer Base'!$J$5,2),0)</f>
        <v>5760.27</v>
      </c>
      <c r="H305" s="261">
        <f t="shared" si="61"/>
        <v>339.0836751435603</v>
      </c>
      <c r="I305" s="249">
        <f>IFERROR(ROUNDUP(H305*'Customer Base'!$J$5,2),0)</f>
        <v>5425.34</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2731</v>
      </c>
      <c r="D306" s="329">
        <v>570.70000000000005</v>
      </c>
      <c r="E306" s="329">
        <v>537.51599999999996</v>
      </c>
      <c r="F306" s="261">
        <f t="shared" si="60"/>
        <v>468.17063166529942</v>
      </c>
      <c r="G306" s="249">
        <f>IFERROR(ROUNDUP(F306*'Customer Base'!$J$5,2),0)</f>
        <v>7490.74</v>
      </c>
      <c r="H306" s="261">
        <f t="shared" si="61"/>
        <v>440.94831829368331</v>
      </c>
      <c r="I306" s="249">
        <f>IFERROR(ROUNDUP(H306*'Customer Base'!$J$5,2),0)</f>
        <v>7055.18</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3259.46</v>
      </c>
      <c r="H307" s="261">
        <f t="shared" si="61"/>
        <v>191.87530762920423</v>
      </c>
      <c r="I307" s="249">
        <f>IFERROR(ROUNDUP(H307*'Customer Base'!$J$5,2),0)</f>
        <v>3070.01</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296.25</v>
      </c>
      <c r="H308" s="261">
        <f t="shared" si="61"/>
        <v>17.435602953240362</v>
      </c>
      <c r="I308" s="249">
        <f>IFERROR(ROUNDUP(H308*'Customer Base'!$J$5,2),0)</f>
        <v>278.96999999999997</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2732</v>
      </c>
      <c r="D309" s="329">
        <v>134.54</v>
      </c>
      <c r="E309" s="329">
        <v>126.71599999999999</v>
      </c>
      <c r="F309" s="261">
        <f t="shared" si="60"/>
        <v>110.36915504511893</v>
      </c>
      <c r="G309" s="249">
        <f>IFERROR(ROUNDUP(F309*'Customer Base'!$J$5,2),0)</f>
        <v>1765.91</v>
      </c>
      <c r="H309" s="261">
        <f t="shared" si="61"/>
        <v>103.95077932731746</v>
      </c>
      <c r="I309" s="249">
        <f>IFERROR(ROUNDUP(H309*'Customer Base'!$J$5,2),0)</f>
        <v>1663.22</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471.34</v>
      </c>
      <c r="H310" s="261">
        <f t="shared" si="61"/>
        <v>26.512715340442988</v>
      </c>
      <c r="I310" s="249">
        <f>IFERROR(ROUNDUP(H310*'Customer Base'!$J$5,2),0)</f>
        <v>424.21</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1622</v>
      </c>
      <c r="D311" s="329">
        <v>24.57</v>
      </c>
      <c r="E311" s="329">
        <v>22.113</v>
      </c>
      <c r="F311" s="261">
        <f t="shared" ref="F311:F376" si="62">$D311/1.219</f>
        <v>20.155865463494667</v>
      </c>
      <c r="G311" s="249">
        <f>IFERROR(ROUNDUP(F311*'Customer Base'!$J$5,2),0)</f>
        <v>322.5</v>
      </c>
      <c r="H311" s="261">
        <f t="shared" ref="H311:H376" si="63">$E311/1.219</f>
        <v>18.140278917145199</v>
      </c>
      <c r="I311" s="249">
        <f>IFERROR(ROUNDUP(H311*'Customer Base'!$J$5,2),0)</f>
        <v>290.25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520.96</v>
      </c>
      <c r="H312" s="261">
        <f t="shared" si="63"/>
        <v>29.303527481542243</v>
      </c>
      <c r="I312" s="249">
        <f>IFERROR(ROUNDUP(H312*'Customer Base'!$J$5,2),0)</f>
        <v>468.86</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2734</v>
      </c>
      <c r="D314" s="326">
        <v>173.38</v>
      </c>
      <c r="E314" s="326">
        <v>163.29599999999999</v>
      </c>
      <c r="F314" s="258">
        <f t="shared" si="62"/>
        <v>142.23133716160785</v>
      </c>
      <c r="G314" s="245">
        <f>IFERROR(ROUNDUP(F314*'Customer Base'!$J$5,2),0)</f>
        <v>2275.71</v>
      </c>
      <c r="H314" s="258">
        <f t="shared" si="63"/>
        <v>133.95898277276456</v>
      </c>
      <c r="I314" s="245">
        <f>IFERROR(ROUNDUP(H314*'Customer Base'!$J$5,2),0)</f>
        <v>2143.3500000000004</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746.85</v>
      </c>
      <c r="H315" s="258">
        <f t="shared" si="63"/>
        <v>43.962264150943398</v>
      </c>
      <c r="I315" s="245">
        <f>IFERROR(ROUNDUP(H315*'Customer Base'!$J$5,2),0)</f>
        <v>703.4</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1315.71</v>
      </c>
      <c r="H316" s="258">
        <f t="shared" si="63"/>
        <v>77.452009844134537</v>
      </c>
      <c r="I316" s="245">
        <f>IFERROR(ROUNDUP(H316*'Customer Base'!$J$5,2),0)</f>
        <v>1239.24</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2733</v>
      </c>
      <c r="D317" s="326">
        <v>133.63999999999999</v>
      </c>
      <c r="E317" s="326">
        <v>125.874</v>
      </c>
      <c r="F317" s="258">
        <f t="shared" si="62"/>
        <v>109.63084495488103</v>
      </c>
      <c r="G317" s="245">
        <f>IFERROR(ROUNDUP(F317*'Customer Base'!$J$5,2),0)</f>
        <v>1754.1</v>
      </c>
      <c r="H317" s="258">
        <f t="shared" si="63"/>
        <v>103.26004922067267</v>
      </c>
      <c r="I317" s="245">
        <f>IFERROR(ROUNDUP(H317*'Customer Base'!$J$5,2),0)</f>
        <v>1652.17</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1920.14</v>
      </c>
      <c r="H318" s="258">
        <f t="shared" si="63"/>
        <v>113.02789171452009</v>
      </c>
      <c r="I318" s="245">
        <f>IFERROR(ROUNDUP(H318*'Customer Base'!$J$5,2),0)</f>
        <v>1808.45</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1892</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2145.11</v>
      </c>
      <c r="H321" s="238">
        <f t="shared" si="63"/>
        <v>126.27727645611155</v>
      </c>
      <c r="I321" s="238">
        <f>IFERROR(ROUNDUP(H321*'Customer Base'!$J$5,2),0)</f>
        <v>2020.44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B322" s="270">
        <v>2</v>
      </c>
      <c r="C322" s="237" t="s">
        <v>2753</v>
      </c>
      <c r="D322" s="267">
        <v>223.94</v>
      </c>
      <c r="E322" s="267">
        <v>210.92400000000001</v>
      </c>
      <c r="F322" s="238">
        <f t="shared" si="62"/>
        <v>183.70795734208366</v>
      </c>
      <c r="G322" s="238">
        <f>IFERROR(ROUNDUP(F322*'Customer Base'!$J$5,2),0)</f>
        <v>2939.3300000000004</v>
      </c>
      <c r="H322" s="238">
        <f t="shared" si="63"/>
        <v>173.03035274815423</v>
      </c>
      <c r="I322" s="238">
        <f>IFERROR(ROUNDUP(H322*'Customer Base'!$J$5,2),0)</f>
        <v>2768.4900000000002</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B323" s="270" t="s">
        <v>1</v>
      </c>
      <c r="C323" s="237" t="s">
        <v>2754</v>
      </c>
      <c r="D323" s="267">
        <v>18.95</v>
      </c>
      <c r="E323" s="267">
        <v>17.852</v>
      </c>
      <c r="F323" s="238">
        <f t="shared" si="62"/>
        <v>15.545529122231336</v>
      </c>
      <c r="G323" s="238">
        <f>IFERROR(ROUNDUP(F323*'Customer Base'!$J$5,2),0)</f>
        <v>248.73</v>
      </c>
      <c r="H323" s="238">
        <f t="shared" si="63"/>
        <v>14.644790812141098</v>
      </c>
      <c r="I323" s="238">
        <f>IFERROR(ROUNDUP(H323*'Customer Base'!$J$5,2),0)</f>
        <v>234.32</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2755</v>
      </c>
      <c r="D324" s="267">
        <v>28.896000000000001</v>
      </c>
      <c r="E324" s="267">
        <v>27.216000000000001</v>
      </c>
      <c r="F324" s="238">
        <f t="shared" si="62"/>
        <v>23.70467596390484</v>
      </c>
      <c r="G324" s="238">
        <f>IFERROR(ROUNDUP(F324*'Customer Base'!$J$5,2),0)</f>
        <v>379.28</v>
      </c>
      <c r="H324" s="238">
        <f t="shared" si="63"/>
        <v>22.326497128794092</v>
      </c>
      <c r="I324" s="238">
        <f>IFERROR(ROUNDUP(H324*'Customer Base'!$J$5,2),0)</f>
        <v>357.23</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2756</v>
      </c>
      <c r="D325" s="267">
        <v>18.95</v>
      </c>
      <c r="E325" s="267">
        <v>17.852</v>
      </c>
      <c r="F325" s="238">
        <f t="shared" si="62"/>
        <v>15.545529122231336</v>
      </c>
      <c r="G325" s="238">
        <f>IFERROR(ROUNDUP(F325*'Customer Base'!$J$5,2),0)</f>
        <v>248.73</v>
      </c>
      <c r="H325" s="238">
        <f t="shared" si="63"/>
        <v>14.644790812141098</v>
      </c>
      <c r="I325" s="238">
        <f>IFERROR(ROUNDUP(H325*'Customer Base'!$J$5,2),0)</f>
        <v>234.32</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367.52</v>
      </c>
      <c r="H326" s="238">
        <f t="shared" si="63"/>
        <v>21.635767022149299</v>
      </c>
      <c r="I326" s="238">
        <f>IFERROR(ROUNDUP(H326*'Customer Base'!$J$5,2),0)</f>
        <v>346.18</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B327" s="270" t="s">
        <v>1</v>
      </c>
      <c r="C327" s="237" t="s">
        <v>2757</v>
      </c>
      <c r="D327" s="267">
        <v>44.24</v>
      </c>
      <c r="E327" s="267">
        <v>41.67</v>
      </c>
      <c r="F327" s="238">
        <f t="shared" si="62"/>
        <v>36.292042657916326</v>
      </c>
      <c r="G327" s="238">
        <f>IFERROR(ROUNDUP(F327*'Customer Base'!$J$5,2),0)</f>
        <v>580.67999999999995</v>
      </c>
      <c r="H327" s="238">
        <f t="shared" si="63"/>
        <v>34.183757178014766</v>
      </c>
      <c r="I327" s="238">
        <f>IFERROR(ROUNDUP(H327*'Customer Base'!$J$5,2),0)</f>
        <v>546.95000000000005</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2758</v>
      </c>
      <c r="D328" s="267">
        <v>50.57</v>
      </c>
      <c r="E328" s="267">
        <v>47.628</v>
      </c>
      <c r="F328" s="238">
        <f t="shared" si="62"/>
        <v>41.484823625922886</v>
      </c>
      <c r="G328" s="238">
        <f>IFERROR(ROUNDUP(F328*'Customer Base'!$J$5,2),0)</f>
        <v>663.76</v>
      </c>
      <c r="H328" s="238">
        <f t="shared" si="63"/>
        <v>39.071369975389658</v>
      </c>
      <c r="I328" s="238">
        <f>IFERROR(ROUNDUP(H328*'Customer Base'!$J$5,2),0)</f>
        <v>625.15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2759</v>
      </c>
      <c r="D329" s="267">
        <v>57.79</v>
      </c>
      <c r="E329" s="267">
        <v>54.432000000000002</v>
      </c>
      <c r="F329" s="238">
        <f t="shared" si="62"/>
        <v>47.40771123872026</v>
      </c>
      <c r="G329" s="238">
        <f>IFERROR(ROUNDUP(F329*'Customer Base'!$J$5,2),0)</f>
        <v>758.53</v>
      </c>
      <c r="H329" s="238">
        <f t="shared" si="63"/>
        <v>44.652994257588183</v>
      </c>
      <c r="I329" s="238">
        <f>IFERROR(ROUNDUP(H329*'Customer Base'!$J$5,2),0)</f>
        <v>714.45</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2760</v>
      </c>
      <c r="D330" s="267">
        <v>62.3</v>
      </c>
      <c r="E330" s="267">
        <v>58.676000000000002</v>
      </c>
      <c r="F330" s="238">
        <f t="shared" si="62"/>
        <v>51.107465135356847</v>
      </c>
      <c r="G330" s="238">
        <f>IFERROR(ROUNDUP(F330*'Customer Base'!$J$5,2),0)</f>
        <v>817.72</v>
      </c>
      <c r="H330" s="238">
        <f t="shared" si="63"/>
        <v>48.134536505332235</v>
      </c>
      <c r="I330" s="238">
        <f>IFERROR(ROUNDUP(H330*'Customer Base'!$J$5,2),0)</f>
        <v>770.16</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1730.47</v>
      </c>
      <c r="H331" s="238">
        <f t="shared" si="63"/>
        <v>101.86464315012304</v>
      </c>
      <c r="I331" s="238">
        <f>IFERROR(ROUNDUP(H331*'Customer Base'!$J$5,2),0)</f>
        <v>1629.84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2690.6000000000004</v>
      </c>
      <c r="H332" s="238">
        <f t="shared" si="63"/>
        <v>158.38556193601312</v>
      </c>
      <c r="I332" s="238">
        <f>IFERROR(ROUNDUP(H332*'Customer Base'!$J$5,2),0)</f>
        <v>2534.17</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462.42</v>
      </c>
      <c r="H333" s="238">
        <f t="shared" si="63"/>
        <v>27.217391304347821</v>
      </c>
      <c r="I333" s="238">
        <f>IFERROR(ROUNDUP(H333*'Customer Base'!$J$5,2),0)</f>
        <v>435.48</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t="str">
        <f ca="1">IFERROR(IF(AND(AND('Customer Base'!D$13="Victron",'Customer Base'!D14&lt;&gt;6),'Customer Base'!D$7&lt;&gt;"Backup",'Client List'!$EE$474&lt;&gt;""),IF(IF('Client List'!IM474=2,'Client List'!IK474,0)+IF('Client List'!EE474=2,'Client List'!EC474,0)=0,"",IF('Client List'!IM474=2,'Client List'!IK474,0)+IF('Client List'!EE474=2,'Client List'!EC474,0)),""),"")</f>
        <v/>
      </c>
      <c r="B335" s="270">
        <v>1</v>
      </c>
      <c r="C335" s="237" t="s">
        <v>1043</v>
      </c>
      <c r="D335" s="267">
        <v>120.4</v>
      </c>
      <c r="E335" s="267">
        <v>113.4</v>
      </c>
      <c r="F335" s="238">
        <f t="shared" si="62"/>
        <v>98.769483182936838</v>
      </c>
      <c r="G335" s="238">
        <f>IFERROR(ROUNDUP(F335*'Customer Base'!$J$5,2),0)</f>
        <v>1580.32</v>
      </c>
      <c r="H335" s="238">
        <f t="shared" si="63"/>
        <v>93.027071369975388</v>
      </c>
      <c r="I335" s="238">
        <f>IFERROR(ROUNDUP(H335*'Customer Base'!$J$5,2),0)</f>
        <v>1488.44</v>
      </c>
      <c r="J335" s="103" t="str">
        <f t="shared" si="57"/>
        <v/>
      </c>
      <c r="L335" s="103" t="str">
        <f t="shared" si="58"/>
        <v/>
      </c>
      <c r="N335" s="103">
        <v>344</v>
      </c>
      <c r="O335" s="103" t="str">
        <f ca="1">IF('Customer Base'!$I$15="MANUAL",IF(B335&lt;&gt;"",C335,""),IF('Customer Base'!$I$15="AUTOMATE",IF(A335&lt;&gt;"",C335,""),""))</f>
        <v/>
      </c>
      <c r="AO335" s="103" t="str">
        <f ca="1">IF('Customer Base'!$I$15="MANUAL",IFERROR(AM335*B335,""),IF('Customer Base'!$I$15="AUTOMATE",IFERROR(AM335*A335,""),""))</f>
        <v/>
      </c>
      <c r="AV335" s="103">
        <f t="shared" si="59"/>
        <v>0</v>
      </c>
    </row>
    <row r="336" spans="1:48">
      <c r="A336" s="103">
        <f ca="1">IFERROR(IF(AND(AND('Customer Base'!D$13="Victron",'Customer Base'!D14&lt;&gt;6),'Customer Base'!D$7&lt;&gt;"Backup",'Client List'!$EE$474&lt;&gt;""),IF(IF('Client List'!IM474=3,'Client List'!IK474,0)+IF('Client List'!EE474=3,'Client List'!EC474,0)=0,"",IF('Client List'!IM474=3,'Client List'!IK474,0)+IF('Client List'!EE474=3,'Client List'!EC474,0)),""),"")</f>
        <v>2</v>
      </c>
      <c r="B336" s="270" t="s">
        <v>1</v>
      </c>
      <c r="C336" s="237" t="s">
        <v>1044</v>
      </c>
      <c r="D336" s="267">
        <v>126.42</v>
      </c>
      <c r="E336" s="267">
        <v>119.07</v>
      </c>
      <c r="F336" s="238">
        <f t="shared" si="62"/>
        <v>103.70795734208367</v>
      </c>
      <c r="G336" s="238">
        <f>IFERROR(ROUNDUP(F336*'Customer Base'!$J$5,2),0)</f>
        <v>1659.33</v>
      </c>
      <c r="H336" s="238">
        <f t="shared" si="63"/>
        <v>97.678424938474151</v>
      </c>
      <c r="I336" s="238">
        <f>IFERROR(ROUNDUP(H336*'Customer Base'!$J$5,2),0)</f>
        <v>1562.86</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IFERROR(IF(AND(AND('Customer Base'!D$13="Victron",'Customer Base'!D14&lt;&gt;6),'Customer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2144.71</v>
      </c>
      <c r="H337" s="238">
        <f t="shared" si="63"/>
        <v>126.25102543068088</v>
      </c>
      <c r="I337" s="238">
        <f>IFERROR(ROUNDUP(H337*'Customer Base'!$J$5,2),0)</f>
        <v>2020.02</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2709.11</v>
      </c>
      <c r="H338" s="238">
        <f t="shared" si="63"/>
        <v>159.47497949138636</v>
      </c>
      <c r="I338" s="238">
        <f>IFERROR(ROUNDUP(H338*'Customer Base'!$J$5,2),0)</f>
        <v>2551.6000000000004</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3160.63</v>
      </c>
      <c r="H339" s="238">
        <f t="shared" si="63"/>
        <v>186.05414273995078</v>
      </c>
      <c r="I339" s="238">
        <f>IFERROR(ROUNDUP(H339*'Customer Base'!$J$5,2),0)</f>
        <v>2976.8700000000003</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3138.05</v>
      </c>
      <c r="H340" s="238">
        <f t="shared" si="63"/>
        <v>184.72518457752255</v>
      </c>
      <c r="I340" s="238">
        <f>IFERROR(ROUNDUP(H340*'Customer Base'!$J$5,2),0)</f>
        <v>2955.61</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3070.32</v>
      </c>
      <c r="H341" s="238">
        <f t="shared" si="63"/>
        <v>180.73831009023789</v>
      </c>
      <c r="I341" s="238">
        <f>IFERROR(ROUNDUP(H341*'Customer Base'!$J$5,2),0)</f>
        <v>2891.82</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6050.34</v>
      </c>
      <c r="H342" s="238">
        <f t="shared" si="63"/>
        <v>356.16078753076289</v>
      </c>
      <c r="I342" s="238">
        <f>IFERROR(ROUNDUP(H342*'Customer Base'!$J$5,2),0)</f>
        <v>5698.58</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4515.18</v>
      </c>
      <c r="H344" s="238">
        <f t="shared" si="63"/>
        <v>265.79163248564396</v>
      </c>
      <c r="I344" s="238">
        <f>IFERROR(ROUNDUP(H344*'Customer Base'!$J$5,2),0)</f>
        <v>4252.67</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4650.6400000000003</v>
      </c>
      <c r="H345" s="238">
        <f t="shared" si="63"/>
        <v>273.76538146021329</v>
      </c>
      <c r="I345" s="238">
        <f>IFERROR(ROUNDUP(H345*'Customer Base'!$J$5,2),0)</f>
        <v>4380.25</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5169.88</v>
      </c>
      <c r="H346" s="238">
        <f t="shared" si="63"/>
        <v>304.33141919606231</v>
      </c>
      <c r="I346" s="238">
        <f>IFERROR(ROUNDUP(H346*'Customer Base'!$J$5,2),0)</f>
        <v>4869.3100000000004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6230.95</v>
      </c>
      <c r="H347" s="238">
        <f t="shared" si="63"/>
        <v>366.79245283018867</v>
      </c>
      <c r="I347" s="238">
        <f>IFERROR(ROUNDUP(H347*'Customer Base'!$J$5,2),0)</f>
        <v>5868.68</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25578.48</v>
      </c>
      <c r="H348" s="238">
        <f t="shared" si="63"/>
        <v>1505.7095980311731</v>
      </c>
      <c r="I348" s="238">
        <f>IFERROR(ROUNDUP(H348*'Customer Base'!$J$5,2),0)</f>
        <v>24091.359999999997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17654.34</v>
      </c>
      <c r="H349" s="238">
        <f t="shared" si="63"/>
        <v>1039.2452830188679</v>
      </c>
      <c r="I349" s="238">
        <f>IFERROR(ROUNDUP(H349*'Customer Base'!$J$5,2),0)</f>
        <v>16627.929999999997</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18060.71</v>
      </c>
      <c r="H350" s="238">
        <f t="shared" si="63"/>
        <v>1063.1665299425758</v>
      </c>
      <c r="I350" s="238">
        <f>IFERROR(ROUNDUP(H350*'Customer Base'!$J$5,2),0)</f>
        <v>17010.669999999998</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24539.989999999998</v>
      </c>
      <c r="H351" s="238">
        <f t="shared" si="63"/>
        <v>1444.577522559475</v>
      </c>
      <c r="I351" s="238">
        <f>IFERROR(ROUNDUP(H351*'Customer Base'!$J$5,2),0)</f>
        <v>23113.25</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24449.69</v>
      </c>
      <c r="H352" s="238">
        <f t="shared" si="63"/>
        <v>1439.261689909762</v>
      </c>
      <c r="I352" s="238">
        <f>IFERROR(ROUNDUP(H352*'Customer Base'!$J$5,2),0)</f>
        <v>23028.19</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26368.639999999999</v>
      </c>
      <c r="H353" s="238">
        <f t="shared" si="63"/>
        <v>1552.2231337161606</v>
      </c>
      <c r="I353" s="238">
        <f>IFERROR(ROUNDUP(H353*'Customer Base'!$J$5,2),0)</f>
        <v>24835.579999999998</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903.04</v>
      </c>
      <c r="H354" s="238">
        <f t="shared" si="63"/>
        <v>53.15832649712879</v>
      </c>
      <c r="I354" s="238">
        <f>IFERROR(ROUNDUP(H354*'Customer Base'!$J$5,2),0)</f>
        <v>850.54</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948.18999999999994</v>
      </c>
      <c r="H355" s="238">
        <f t="shared" si="63"/>
        <v>55.816242821985234</v>
      </c>
      <c r="I355" s="238">
        <f>IFERROR(ROUNDUP(H355*'Customer Base'!$J$5,2),0)</f>
        <v>893.06</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B357" s="270" t="s">
        <v>1</v>
      </c>
      <c r="C357" s="237" t="s">
        <v>1029</v>
      </c>
      <c r="D357" s="267">
        <v>48.85</v>
      </c>
      <c r="E357" s="267">
        <v>46.008000000000003</v>
      </c>
      <c r="F357" s="238">
        <f t="shared" si="62"/>
        <v>40.073831009023792</v>
      </c>
      <c r="G357" s="238">
        <f>IFERROR(ROUNDUP(F357*'Customer Base'!$J$5,2),0)</f>
        <v>641.18999999999994</v>
      </c>
      <c r="H357" s="238">
        <f t="shared" si="63"/>
        <v>37.742411812961443</v>
      </c>
      <c r="I357" s="238">
        <f>IFERROR(ROUNDUP(H357*'Customer Base'!$J$5,2),0)</f>
        <v>603.88</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B358" s="270">
        <v>1</v>
      </c>
      <c r="C358" s="237" t="s">
        <v>1030</v>
      </c>
      <c r="D358" s="267">
        <v>92.03</v>
      </c>
      <c r="E358" s="267">
        <v>86.686000000000007</v>
      </c>
      <c r="F358" s="238">
        <f t="shared" si="62"/>
        <v>75.496308449548806</v>
      </c>
      <c r="G358" s="238">
        <f>IFERROR(ROUNDUP(F358*'Customer Base'!$J$5,2),0)</f>
        <v>1207.95</v>
      </c>
      <c r="H358" s="238">
        <f t="shared" si="63"/>
        <v>71.112387202625101</v>
      </c>
      <c r="I358" s="238">
        <f>IFERROR(ROUNDUP(H358*'Customer Base'!$J$5,2),0)</f>
        <v>1137.8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2727</v>
      </c>
      <c r="D360" s="267">
        <v>63.86</v>
      </c>
      <c r="E360" s="267">
        <v>60.151000000000003</v>
      </c>
      <c r="F360" s="238">
        <f t="shared" si="62"/>
        <v>52.387202625102539</v>
      </c>
      <c r="G360" s="238">
        <f>IFERROR(ROUNDUP(F360*'Customer Base'!$J$5,2),0)</f>
        <v>838.2</v>
      </c>
      <c r="H360" s="238">
        <f t="shared" si="63"/>
        <v>49.344544708777683</v>
      </c>
      <c r="I360" s="238">
        <f>IFERROR(ROUNDUP(H360*'Customer Base'!$J$5,2),0)</f>
        <v>789.52</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t="str">
        <f>IFERROR(IF(AND(OR(AND('Customer Base'!D$13&lt;&gt;"Victron",'Customer Base'!D7="Hybrid"),'Customer Base'!D7="Mini-Grid",'Customer Base'!D7="Grid-Tied"),(SUMPRODUCT(A242:A254,AQ242:AQ254)/SUM(A6:A132))&gt;600),IF('Customer Base'!D13&lt;&gt;"Victron",'Customer Base'!D15,IF(AND('Customer Base'!D7="Mini-Grid",'Customer Base'!F13&lt;&gt;""),'Customer Base'!F15,"")),""),"")</f>
        <v/>
      </c>
      <c r="B361" s="270">
        <v>4</v>
      </c>
      <c r="C361" s="237" t="s">
        <v>946</v>
      </c>
      <c r="D361" s="267">
        <v>104.51</v>
      </c>
      <c r="E361" s="267">
        <v>98.430999999999997</v>
      </c>
      <c r="F361" s="238">
        <f t="shared" si="62"/>
        <v>85.734208367514356</v>
      </c>
      <c r="G361" s="238">
        <f>IFERROR(ROUNDUP(F361*'Customer Base'!$J$5,2),0)</f>
        <v>1371.75</v>
      </c>
      <c r="H361" s="238">
        <f t="shared" si="63"/>
        <v>80.747333880229689</v>
      </c>
      <c r="I361" s="238">
        <f>IFERROR(ROUNDUP(H361*'Customer Base'!$J$5,2),0)</f>
        <v>1291.96</v>
      </c>
      <c r="J361" s="103" t="str">
        <f t="shared" si="64"/>
        <v/>
      </c>
      <c r="L361" s="103" t="str">
        <f t="shared" si="65"/>
        <v/>
      </c>
      <c r="N361" s="103">
        <v>370</v>
      </c>
      <c r="O361" s="103" t="str">
        <f>IF('Customer Base'!$I$15="MANUAL",IF(B361&lt;&gt;"",C361,""),IF('Customer Base'!$I$15="AUTOMATE",IF(A361&lt;&gt;"",C361,""),""))</f>
        <v/>
      </c>
      <c r="AO361" s="103" t="str">
        <f>IF('Customer Base'!$I$15="MANUAL",IFERROR(AM361*B361,""),IF('Customer Base'!$I$15="AUTOMATE",IFERROR(AM361*A361,""),""))</f>
        <v/>
      </c>
      <c r="AV361" s="103">
        <f t="shared" si="66"/>
        <v>0</v>
      </c>
    </row>
    <row r="362" spans="1:48">
      <c r="C362" s="237" t="s">
        <v>947</v>
      </c>
      <c r="D362" s="267">
        <v>113.31</v>
      </c>
      <c r="E362" s="267">
        <v>106.726</v>
      </c>
      <c r="F362" s="238">
        <f t="shared" si="62"/>
        <v>92.953240360951597</v>
      </c>
      <c r="G362" s="238">
        <f>IFERROR(ROUNDUP(F362*'Customer Base'!$J$5,2),0)</f>
        <v>1487.26</v>
      </c>
      <c r="H362" s="238">
        <f t="shared" si="63"/>
        <v>87.552091878588996</v>
      </c>
      <c r="I362" s="238">
        <f>IFERROR(ROUNDUP(H362*'Customer Base'!$J$5,2),0)</f>
        <v>1400.84</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2726</v>
      </c>
      <c r="D363" s="267">
        <v>37.58</v>
      </c>
      <c r="E363" s="267">
        <v>35.396999999999998</v>
      </c>
      <c r="F363" s="238">
        <f t="shared" si="62"/>
        <v>30.828547990155862</v>
      </c>
      <c r="G363" s="238">
        <f>IFERROR(ROUNDUP(F363*'Customer Base'!$J$5,2),0)</f>
        <v>493.26</v>
      </c>
      <c r="H363" s="238">
        <f t="shared" si="63"/>
        <v>29.037735849056599</v>
      </c>
      <c r="I363" s="238">
        <f>IFERROR(ROUNDUP(H363*'Customer Base'!$J$5,2),0)</f>
        <v>464.61</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1894</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Base'!D$7&lt;&gt;"Backup",'Customer Base'!D14&lt;&gt;6),IF(Items!L$1=1,0,Items!L$1*10),0)=0,"",IF('CABLE SIZING TOOL'!E$104*100&lt;=3,'Customer Base'!D$31*L$1*2,0)+IF(AND('Customer Base'!D7="Mini-Grid",'CABLE SIZING TOOL'!K$104*100&lt;=3),'Customer Base'!D$31*L$5*2,0)+IF(AND('Customer Base'!D$13="Victron",'Customer Base'!D$7&lt;&gt;"Backup",'Customer Base'!D14&lt;&gt;6),IF(Items!L$1=1,0,Items!L$1*10),0)),"")</f>
        <v>60</v>
      </c>
      <c r="B366" s="270">
        <v>856</v>
      </c>
      <c r="C366" s="253" t="s">
        <v>1134</v>
      </c>
      <c r="D366" s="325">
        <v>1.02</v>
      </c>
      <c r="E366" s="325">
        <v>0.93500000000000005</v>
      </c>
      <c r="F366" s="255">
        <f t="shared" si="62"/>
        <v>0.83675143560295318</v>
      </c>
      <c r="G366" s="255">
        <f>IFERROR(ROUNDUP(F366*'Customer Base'!$J$5,2),0)</f>
        <v>13.39</v>
      </c>
      <c r="H366" s="255">
        <f t="shared" si="63"/>
        <v>0.76702214930270718</v>
      </c>
      <c r="I366" s="255">
        <f>IFERROR(ROUNDUP(H366*'Customer Base'!$J$5,2),0)</f>
        <v>12.28</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17.860000000000003</v>
      </c>
      <c r="H367" s="255">
        <f t="shared" si="63"/>
        <v>1.0278917145200983</v>
      </c>
      <c r="I367" s="255">
        <f>IFERROR(ROUNDUP(H367*'Customer Base'!$J$5,2),0)</f>
        <v>16.450000000000003</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180</v>
      </c>
      <c r="B368" s="270">
        <v>66</v>
      </c>
      <c r="C368" s="253" t="s">
        <v>1136</v>
      </c>
      <c r="D368" s="325">
        <v>2.35</v>
      </c>
      <c r="E368" s="325">
        <v>2.1589999999999998</v>
      </c>
      <c r="F368" s="255">
        <f t="shared" si="62"/>
        <v>1.9278096800656275</v>
      </c>
      <c r="G368" s="255">
        <f>IFERROR(ROUNDUP(F368*'Customer Base'!$J$5,2),0)</f>
        <v>30.85</v>
      </c>
      <c r="H368" s="255">
        <f t="shared" si="63"/>
        <v>1.7711238720262508</v>
      </c>
      <c r="I368" s="255">
        <f>IFERROR(ROUNDUP(H368*'Customer Base'!$J$5,2),0)</f>
        <v>28.34</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Base'!J$8+IF(AND('Customer Base'!D13="Victron",'Customer Base'!D7="Backup"),'Customer Base'!J8,0)+IF(AND('Customer Base'!D7="Backup",'Customer Base'!D13="Victron"),0,IF(AND('CABLE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30</v>
      </c>
      <c r="B369" s="270">
        <v>270</v>
      </c>
      <c r="C369" s="253" t="s">
        <v>1142</v>
      </c>
      <c r="D369" s="325">
        <v>4.53</v>
      </c>
      <c r="E369" s="325">
        <v>4.165</v>
      </c>
      <c r="F369" s="255">
        <f t="shared" si="62"/>
        <v>3.7161607875307627</v>
      </c>
      <c r="G369" s="255">
        <f>IFERROR(ROUNDUP(F369*'Customer Base'!$J$5,2),0)</f>
        <v>59.46</v>
      </c>
      <c r="H369" s="255">
        <f t="shared" si="63"/>
        <v>3.416735028712059</v>
      </c>
      <c r="I369" s="255">
        <f>IFERROR(ROUNDUP(H369*'Customer Base'!$J$5,2),0)</f>
        <v>54.669999999999995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15</v>
      </c>
      <c r="B370" s="270">
        <v>5</v>
      </c>
      <c r="C370" s="253" t="s">
        <v>1143</v>
      </c>
      <c r="D370" s="325">
        <v>8.25</v>
      </c>
      <c r="E370" s="325">
        <v>7.5819999999999999</v>
      </c>
      <c r="F370" s="255">
        <f t="shared" si="62"/>
        <v>6.7678424938474153</v>
      </c>
      <c r="G370" s="255">
        <f>IFERROR(ROUNDUP(F370*'Customer Base'!$J$5,2),0)</f>
        <v>108.29</v>
      </c>
      <c r="H370" s="255">
        <f t="shared" si="63"/>
        <v>6.2198523379819521</v>
      </c>
      <c r="I370" s="255">
        <f>IFERROR(ROUNDUP(H370*'Customer Base'!$J$5,2),0)</f>
        <v>99.52000000000001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167.35999999999999</v>
      </c>
      <c r="H371" s="255">
        <f t="shared" si="63"/>
        <v>9.6086956521739122</v>
      </c>
      <c r="I371" s="255">
        <f>IFERROR(ROUNDUP(H371*'Customer Base'!$J$5,2),0)</f>
        <v>153.73999999999998</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B372" s="270" t="s">
        <v>1</v>
      </c>
      <c r="C372" s="253" t="s">
        <v>1145</v>
      </c>
      <c r="D372" s="325">
        <v>23.85</v>
      </c>
      <c r="E372" s="325">
        <v>21.913</v>
      </c>
      <c r="F372" s="255">
        <f t="shared" si="62"/>
        <v>19.565217391304348</v>
      </c>
      <c r="G372" s="255">
        <f>IFERROR(ROUNDUP(F372*'Customer Base'!$J$5,2),0)</f>
        <v>313.05</v>
      </c>
      <c r="H372" s="255">
        <f t="shared" si="63"/>
        <v>17.976210008203445</v>
      </c>
      <c r="I372" s="255">
        <f>IFERROR(ROUNDUP(H372*'Customer Base'!$J$5,2),0)</f>
        <v>287.62</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402.17</v>
      </c>
      <c r="H373" s="255">
        <f t="shared" si="63"/>
        <v>23.09433962264151</v>
      </c>
      <c r="I373" s="255">
        <f>IFERROR(ROUNDUP(H373*'Customer Base'!$J$5,2),0)</f>
        <v>369.51</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f>IF('CABLE SIZING TOOL'!I$45=95,5*'Customer Base'!D$15,"")</f>
        <v>5</v>
      </c>
      <c r="B374" s="270">
        <v>45</v>
      </c>
      <c r="C374" s="253" t="s">
        <v>1147</v>
      </c>
      <c r="D374" s="325">
        <v>41.27</v>
      </c>
      <c r="E374" s="325">
        <v>37.927</v>
      </c>
      <c r="F374" s="255">
        <f t="shared" si="62"/>
        <v>33.855619360131257</v>
      </c>
      <c r="G374" s="255">
        <f>IFERROR(ROUNDUP(F374*'Customer Base'!$J$5,2),0)</f>
        <v>541.68999999999994</v>
      </c>
      <c r="H374" s="255">
        <f t="shared" si="63"/>
        <v>31.113207547169807</v>
      </c>
      <c r="I374" s="255">
        <f>IFERROR(ROUNDUP(H374*'Customer Base'!$J$5,2),0)</f>
        <v>497.82</v>
      </c>
      <c r="J374" s="103" t="str">
        <f t="shared" si="64"/>
        <v/>
      </c>
      <c r="L374" s="103" t="str">
        <f t="shared" si="65"/>
        <v/>
      </c>
      <c r="N374" s="103">
        <v>383</v>
      </c>
      <c r="O374" s="103" t="str">
        <f>IF('Customer Base'!$I$15="MANUAL",IF(B374&lt;&gt;"",C374,""),IF('Customer Base'!$I$15="AUTOMATE",IF(A374&lt;&gt;"",C374,""),""))</f>
        <v>Hikra Sol DC Solar cable 1x95mm2 1500V H1Z2Z2</v>
      </c>
      <c r="AO374" s="103">
        <f>IF('Customer Base'!$I$15="MANUAL",IFERROR(AM374*B374,""),IF('Customer Base'!$I$15="AUTOMATE",IFERROR(AM374*A374,""),""))</f>
        <v>0</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137.94999999999999</v>
      </c>
      <c r="H376" s="255">
        <f t="shared" si="63"/>
        <v>7.9212469237079572</v>
      </c>
      <c r="I376" s="255">
        <f>IFERROR(ROUNDUP(H376*'Customer Base'!$J$5,2),0)</f>
        <v>126.74000000000001</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206.47</v>
      </c>
      <c r="H377" s="255">
        <f t="shared" ref="H377:H399" si="68">$E377/1.219</f>
        <v>11.853978671041837</v>
      </c>
      <c r="I377" s="255">
        <f>IFERROR(ROUNDUP(H377*'Customer Base'!$J$5,2),0)</f>
        <v>189.67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314.49</v>
      </c>
      <c r="H378" s="255">
        <f t="shared" si="68"/>
        <v>18.059885151763741</v>
      </c>
      <c r="I378" s="255">
        <f>IFERROR(ROUNDUP(H378*'Customer Base'!$J$5,2),0)</f>
        <v>288.95999999999998</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79" s="270" t="s">
        <v>1</v>
      </c>
      <c r="C379" s="253" t="s">
        <v>1137</v>
      </c>
      <c r="D379" s="325">
        <v>25.44</v>
      </c>
      <c r="E379" s="325">
        <v>23.375</v>
      </c>
      <c r="F379" s="255">
        <f t="shared" si="67"/>
        <v>20.869565217391305</v>
      </c>
      <c r="G379" s="255">
        <f>IFERROR(ROUNDUP(F379*'Customer Base'!$J$5,2),0)</f>
        <v>333.92</v>
      </c>
      <c r="H379" s="255">
        <f t="shared" si="68"/>
        <v>19.175553732567678</v>
      </c>
      <c r="I379" s="255">
        <f>IFERROR(ROUNDUP(H379*'Customer Base'!$J$5,2),0)</f>
        <v>306.81</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15</v>
      </c>
      <c r="B380" s="270">
        <v>90</v>
      </c>
      <c r="C380" s="253" t="s">
        <v>1138</v>
      </c>
      <c r="D380" s="325">
        <v>28.68</v>
      </c>
      <c r="E380" s="325">
        <v>27.13</v>
      </c>
      <c r="F380" s="255">
        <f t="shared" si="67"/>
        <v>23.527481542247742</v>
      </c>
      <c r="G380" s="255">
        <f>IFERROR(ROUNDUP(F380*'Customer Base'!$J$5,2),0)</f>
        <v>376.44</v>
      </c>
      <c r="H380" s="255">
        <f t="shared" si="68"/>
        <v>22.255947497949137</v>
      </c>
      <c r="I380" s="255">
        <f>IFERROR(ROUNDUP(H380*'Customer Base'!$J$5,2),0)</f>
        <v>356.09999999999997</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525.03</v>
      </c>
      <c r="H381" s="255">
        <f t="shared" si="68"/>
        <v>32.813781788351108</v>
      </c>
      <c r="I381" s="255">
        <f>IFERROR(ROUNDUP(H381*'Customer Base'!$J$5,2),0)</f>
        <v>525.03</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525.03</v>
      </c>
      <c r="H382" s="255">
        <f t="shared" si="68"/>
        <v>32.813781788351108</v>
      </c>
      <c r="I382" s="255">
        <f>IFERROR(ROUNDUP(H382*'Customer Base'!$J$5,2),0)</f>
        <v>525.03</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525.03</v>
      </c>
      <c r="H383" s="255">
        <f t="shared" si="68"/>
        <v>32.813781788351108</v>
      </c>
      <c r="I383" s="255">
        <f>IFERROR(ROUNDUP(H383*'Customer Base'!$J$5,2),0)</f>
        <v>525.03</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1843</v>
      </c>
      <c r="D384" s="325">
        <v>42</v>
      </c>
      <c r="E384" s="325">
        <v>42</v>
      </c>
      <c r="F384" s="255">
        <f t="shared" si="67"/>
        <v>34.454470877768664</v>
      </c>
      <c r="G384" s="255">
        <f>IFERROR(ROUNDUP(F384*'Customer Base'!$J$5,2),0)</f>
        <v>551.28</v>
      </c>
      <c r="H384" s="255">
        <f t="shared" si="68"/>
        <v>34.454470877768664</v>
      </c>
      <c r="I384" s="255">
        <f>IFERROR(ROUNDUP(H384*'Customer Base'!$J$5,2),0)</f>
        <v>551.28</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639.87</v>
      </c>
      <c r="H385" s="255">
        <f t="shared" si="68"/>
        <v>39.991796554552913</v>
      </c>
      <c r="I385" s="255">
        <f>IFERROR(ROUNDUP(H385*'Customer Base'!$J$5,2),0)</f>
        <v>639.87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v>25</v>
      </c>
      <c r="C386" s="253" t="s">
        <v>1276</v>
      </c>
      <c r="D386" s="325">
        <v>65.45</v>
      </c>
      <c r="E386" s="325">
        <v>65.45</v>
      </c>
      <c r="F386" s="255">
        <f t="shared" si="67"/>
        <v>53.691550451189499</v>
      </c>
      <c r="G386" s="255">
        <f>IFERROR(ROUNDUP(F386*'Customer Base'!$J$5,2),0)</f>
        <v>859.06999999999994</v>
      </c>
      <c r="H386" s="255">
        <f t="shared" si="68"/>
        <v>53.691550451189499</v>
      </c>
      <c r="I386" s="255">
        <f>IFERROR(ROUNDUP(H386*'Customer Base'!$J$5,2),0)</f>
        <v>859.06999999999994</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1796</v>
      </c>
      <c r="D387" s="325">
        <v>85</v>
      </c>
      <c r="E387" s="325">
        <v>85</v>
      </c>
      <c r="F387" s="255">
        <f t="shared" si="67"/>
        <v>69.729286300246102</v>
      </c>
      <c r="G387" s="255">
        <f>IFERROR(ROUNDUP(F387*'Customer Base'!$J$5,2),0)</f>
        <v>1115.67</v>
      </c>
      <c r="H387" s="255">
        <f t="shared" si="68"/>
        <v>69.729286300246102</v>
      </c>
      <c r="I387" s="255">
        <f>IFERROR(ROUNDUP(H387*'Customer Base'!$J$5,2),0)</f>
        <v>1115.67</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2602</v>
      </c>
      <c r="D388" s="325">
        <v>100</v>
      </c>
      <c r="E388" s="325">
        <v>100</v>
      </c>
      <c r="F388" s="255">
        <f t="shared" si="67"/>
        <v>82.034454470877762</v>
      </c>
      <c r="G388" s="255">
        <f>IFERROR(ROUNDUP(F388*'Customer Base'!$J$5,2),0)</f>
        <v>1312.56</v>
      </c>
      <c r="H388" s="255">
        <f t="shared" si="68"/>
        <v>82.034454470877762</v>
      </c>
      <c r="I388" s="255">
        <f>IFERROR(ROUNDUP(H388*'Customer Base'!$J$5,2),0)</f>
        <v>1312.56</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1633</v>
      </c>
      <c r="D389" s="325">
        <v>125</v>
      </c>
      <c r="E389" s="325">
        <v>125</v>
      </c>
      <c r="F389" s="255">
        <f t="shared" si="67"/>
        <v>102.54306808859721</v>
      </c>
      <c r="G389" s="255">
        <f>IFERROR(ROUNDUP(F389*'Customer Base'!$J$5,2),0)</f>
        <v>1640.69</v>
      </c>
      <c r="H389" s="255">
        <f t="shared" si="68"/>
        <v>102.54306808859721</v>
      </c>
      <c r="I389" s="255">
        <f>IFERROR(ROUNDUP(H389*'Customer Base'!$J$5,2),0)</f>
        <v>1640.69</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1837.58</v>
      </c>
      <c r="H390" s="255">
        <f t="shared" si="68"/>
        <v>114.84823625922887</v>
      </c>
      <c r="I390" s="255">
        <f>IFERROR(ROUNDUP(H390*'Customer Base'!$J$5,2),0)</f>
        <v>1837.58</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2603</v>
      </c>
      <c r="D391" s="325">
        <v>160</v>
      </c>
      <c r="E391" s="325">
        <v>160</v>
      </c>
      <c r="F391" s="255">
        <f t="shared" si="67"/>
        <v>131.25512715340443</v>
      </c>
      <c r="G391" s="255">
        <f>IFERROR(ROUNDUP(F391*'Customer Base'!$J$5,2),0)</f>
        <v>2100.09</v>
      </c>
      <c r="H391" s="255">
        <f t="shared" si="68"/>
        <v>131.25512715340443</v>
      </c>
      <c r="I391" s="255">
        <f>IFERROR(ROUNDUP(H391*'Customer Base'!$J$5,2),0)</f>
        <v>2100.09</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2604</v>
      </c>
      <c r="D392" s="325">
        <v>180</v>
      </c>
      <c r="E392" s="325">
        <v>180</v>
      </c>
      <c r="F392" s="255">
        <f t="shared" si="67"/>
        <v>147.66201804757998</v>
      </c>
      <c r="G392" s="255">
        <f>IFERROR(ROUNDUP(F392*'Customer Base'!$J$5,2),0)</f>
        <v>2362.6000000000004</v>
      </c>
      <c r="H392" s="255">
        <f t="shared" si="68"/>
        <v>147.66201804757998</v>
      </c>
      <c r="I392" s="255">
        <f>IFERROR(ROUNDUP(H392*'Customer Base'!$J$5,2),0)</f>
        <v>2362.6000000000004</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26.26</v>
      </c>
      <c r="H394" s="255">
        <f t="shared" si="68"/>
        <v>1.6406890894175552</v>
      </c>
      <c r="I394" s="255">
        <f>IFERROR(ROUNDUP(H394*'Customer Base'!$J$5,2),0)</f>
        <v>26.26</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1858</v>
      </c>
      <c r="D395" s="325">
        <v>2.2000000000000002</v>
      </c>
      <c r="E395" s="325">
        <v>2.2000000000000002</v>
      </c>
      <c r="F395" s="255">
        <f t="shared" si="67"/>
        <v>1.8047579983593109</v>
      </c>
      <c r="G395" s="255">
        <f>IFERROR(ROUNDUP(F395*'Customer Base'!$J$5,2),0)</f>
        <v>28.880000000000003</v>
      </c>
      <c r="H395" s="255">
        <f t="shared" si="68"/>
        <v>1.8047579983593109</v>
      </c>
      <c r="I395" s="255">
        <f>IFERROR(ROUNDUP(H395*'Customer Base'!$J$5,2),0)</f>
        <v>28.880000000000003</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55</v>
      </c>
      <c r="B396" s="270">
        <v>255</v>
      </c>
      <c r="C396" s="253" t="s">
        <v>984</v>
      </c>
      <c r="D396" s="325">
        <v>2.2000000000000002</v>
      </c>
      <c r="E396" s="325">
        <v>2.2000000000000002</v>
      </c>
      <c r="F396" s="255">
        <f t="shared" si="67"/>
        <v>1.8047579983593109</v>
      </c>
      <c r="G396" s="255">
        <f>IFERROR(ROUNDUP(F396*'Customer Base'!$J$5,2),0)</f>
        <v>28.880000000000003</v>
      </c>
      <c r="H396" s="255">
        <f t="shared" si="68"/>
        <v>1.8047579983593109</v>
      </c>
      <c r="I396" s="255">
        <f>IFERROR(ROUNDUP(H396*'Customer Base'!$J$5,2),0)</f>
        <v>28.880000000000003</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1655</v>
      </c>
      <c r="D397" s="325">
        <v>4.4000000000000004</v>
      </c>
      <c r="E397" s="325">
        <v>4.4000000000000004</v>
      </c>
      <c r="F397" s="255">
        <f t="shared" si="67"/>
        <v>3.6095159967186219</v>
      </c>
      <c r="G397" s="255">
        <f>IFERROR(ROUNDUP(F397*'Customer Base'!$J$5,2),0)</f>
        <v>57.76</v>
      </c>
      <c r="H397" s="255">
        <f t="shared" si="68"/>
        <v>3.6095159967186219</v>
      </c>
      <c r="I397" s="255">
        <f>IFERROR(ROUNDUP(H397*'Customer Base'!$J$5,2),0)</f>
        <v>57.76</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1255</v>
      </c>
      <c r="D398" s="325">
        <v>6.62</v>
      </c>
      <c r="E398" s="325">
        <v>6.62</v>
      </c>
      <c r="F398" s="255">
        <f t="shared" si="67"/>
        <v>5.4306808859721079</v>
      </c>
      <c r="G398" s="255">
        <f>IFERROR(ROUNDUP(F398*'Customer Base'!$J$5,2),0)</f>
        <v>86.9</v>
      </c>
      <c r="H398" s="255">
        <f t="shared" si="68"/>
        <v>5.4306808859721079</v>
      </c>
      <c r="I398" s="255">
        <f>IFERROR(ROUNDUP(H398*'Customer Base'!$J$5,2),0)</f>
        <v>86.9</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1225</v>
      </c>
      <c r="D400" s="325">
        <f>F400*1.219</f>
        <v>29.256</v>
      </c>
      <c r="E400" s="325">
        <f>H400*1.219</f>
        <v>25.599</v>
      </c>
      <c r="F400" s="255">
        <f>1%*IF('Customer Base'!I15="AUTOMATE",ROUNDUP(SUMPRODUCT($A$242:$A$254,F$242:F$254),-2),ROUNDUP(SUMPRODUCT($B$242:$B$254,F$242:F$254),-2))</f>
        <v>24</v>
      </c>
      <c r="G400" s="255">
        <f>IFERROR(ROUNDUP(F400*'Customer Base'!$J$5,2),0)</f>
        <v>384</v>
      </c>
      <c r="H400" s="255">
        <f>1%*IF('Customer Base'!I15="AUTOMATE",ROUNDUP(SUMPRODUCT($A$242:$A$254,H$242:H$254),-2),ROUNDUP(SUMPRODUCT($B$242:$B$254,H$242:H$254),-2))</f>
        <v>21</v>
      </c>
      <c r="I400" s="255">
        <f>IFERROR(ROUNDUP(H400*'Customer Base'!$J$5,2),0)</f>
        <v>336</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19.690000000000001</v>
      </c>
      <c r="H402" s="255">
        <f t="shared" si="71"/>
        <v>1.2305168170631664</v>
      </c>
      <c r="I402" s="255">
        <f>IFERROR(ROUNDUP(H402*'Customer Base'!$J$5,2),0)</f>
        <v>19.690000000000001</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1224</v>
      </c>
      <c r="D403" s="325">
        <v>2.5</v>
      </c>
      <c r="E403" s="325">
        <v>2.5</v>
      </c>
      <c r="F403" s="255">
        <f t="shared" si="70"/>
        <v>2.0508613617719442</v>
      </c>
      <c r="G403" s="255">
        <f>IFERROR(ROUNDUP(F403*'Customer Base'!$J$5,2),0)</f>
        <v>32.82</v>
      </c>
      <c r="H403" s="255">
        <f t="shared" si="71"/>
        <v>2.0508613617719442</v>
      </c>
      <c r="I403" s="255">
        <f>IFERROR(ROUNDUP(H403*'Customer Base'!$J$5,2),0)</f>
        <v>32.82</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1893</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1</v>
      </c>
      <c r="B406" s="270">
        <v>13</v>
      </c>
      <c r="C406" s="243" t="s">
        <v>917</v>
      </c>
      <c r="D406" s="331">
        <v>12.64</v>
      </c>
      <c r="E406" s="331">
        <v>11.907</v>
      </c>
      <c r="F406" s="264">
        <f t="shared" ref="F406:F451" si="74">$D406/1.219</f>
        <v>10.36915504511895</v>
      </c>
      <c r="G406" s="238">
        <f>IFERROR(ROUNDUP(F406*'Customer Base'!$J$5,2),0)</f>
        <v>165.91</v>
      </c>
      <c r="H406" s="264">
        <f t="shared" ref="H406:H451" si="75">$E406/1.219</f>
        <v>9.7678424938474144</v>
      </c>
      <c r="I406" s="238">
        <f>IFERROR(ROUNDUP(H406*'Customer Base'!$J$5,2),0)</f>
        <v>156.29</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213.29</v>
      </c>
      <c r="H407" s="264">
        <f t="shared" si="75"/>
        <v>12.558654634946675</v>
      </c>
      <c r="I407" s="238">
        <f>IFERROR(ROUNDUP(H407*'Customer Base'!$J$5,2),0)</f>
        <v>200.94</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1293</v>
      </c>
      <c r="D408" s="331">
        <v>151.9</v>
      </c>
      <c r="E408" s="331">
        <v>151.9</v>
      </c>
      <c r="F408" s="264">
        <f t="shared" si="74"/>
        <v>124.61033634126332</v>
      </c>
      <c r="G408" s="238">
        <f>IFERROR(ROUNDUP(F408*'Customer Base'!$J$5,2),0)</f>
        <v>1993.77</v>
      </c>
      <c r="H408" s="264">
        <f t="shared" si="75"/>
        <v>124.61033634126332</v>
      </c>
      <c r="I408" s="238">
        <f>IFERROR(ROUNDUP(H408*'Customer Base'!$J$5,2),0)</f>
        <v>1993.77</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177.85999999999999</v>
      </c>
      <c r="H410" s="264">
        <f t="shared" si="75"/>
        <v>10.472518457752255</v>
      </c>
      <c r="I410" s="238">
        <f>IFERROR(ROUNDUP(H410*'Customer Base'!$J$5,2),0)</f>
        <v>167.57</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3</v>
      </c>
      <c r="B411" s="270">
        <v>1</v>
      </c>
      <c r="C411" s="243" t="s">
        <v>920</v>
      </c>
      <c r="D411" s="331">
        <v>13.55</v>
      </c>
      <c r="E411" s="331">
        <v>12.766</v>
      </c>
      <c r="F411" s="264">
        <f t="shared" si="74"/>
        <v>11.115668580803938</v>
      </c>
      <c r="G411" s="238">
        <f>IFERROR(ROUNDUP(F411*'Customer Base'!$J$5,2),0)</f>
        <v>177.85999999999999</v>
      </c>
      <c r="H411" s="264">
        <f t="shared" si="75"/>
        <v>10.472518457752255</v>
      </c>
      <c r="I411" s="238">
        <f>IFERROR(ROUNDUP(H411*'Customer Base'!$J$5,2),0)</f>
        <v>167.57</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201.35</v>
      </c>
      <c r="H412" s="264">
        <f t="shared" si="75"/>
        <v>11.853978671041837</v>
      </c>
      <c r="I412" s="238">
        <f>IFERROR(ROUNDUP(H412*'Customer Base'!$J$5,2),0)</f>
        <v>189.67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225.37</v>
      </c>
      <c r="H413" s="264">
        <f t="shared" si="75"/>
        <v>13.263330598851516</v>
      </c>
      <c r="I413" s="238">
        <f>IFERROR(ROUNDUP(H413*'Customer Base'!$J$5,2),0)</f>
        <v>212.22</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272.62</v>
      </c>
      <c r="H414" s="264">
        <f t="shared" si="75"/>
        <v>16.054142739950777</v>
      </c>
      <c r="I414" s="238">
        <f>IFERROR(ROUNDUP(H414*'Customer Base'!$J$5,2),0)</f>
        <v>256.87</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2738</v>
      </c>
      <c r="D415" s="331">
        <v>29.79</v>
      </c>
      <c r="E415" s="331">
        <v>28.058</v>
      </c>
      <c r="F415" s="264">
        <f t="shared" si="74"/>
        <v>24.438063986874486</v>
      </c>
      <c r="G415" s="238">
        <f>IFERROR(ROUNDUP(F415*'Customer Base'!$J$5,2),0)</f>
        <v>391.01</v>
      </c>
      <c r="H415" s="264">
        <f t="shared" si="75"/>
        <v>23.017227235438881</v>
      </c>
      <c r="I415" s="238">
        <f>IFERROR(ROUNDUP(H415*'Customer Base'!$J$5,2),0)</f>
        <v>368.28</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2739</v>
      </c>
      <c r="D416" s="331">
        <v>28.896000000000001</v>
      </c>
      <c r="E416" s="331">
        <v>27.216000000000001</v>
      </c>
      <c r="F416" s="264">
        <f t="shared" si="74"/>
        <v>23.70467596390484</v>
      </c>
      <c r="G416" s="238">
        <f>IFERROR(ROUNDUP(F416*'Customer Base'!$J$5,2),0)</f>
        <v>379.28</v>
      </c>
      <c r="H416" s="264">
        <f t="shared" si="75"/>
        <v>22.326497128794092</v>
      </c>
      <c r="I416" s="238">
        <f>IFERROR(ROUNDUP(H416*'Customer Base'!$J$5,2),0)</f>
        <v>357.23</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912.49</v>
      </c>
      <c r="H417" s="264">
        <f t="shared" si="75"/>
        <v>53.716160787530761</v>
      </c>
      <c r="I417" s="238">
        <f>IFERROR(ROUNDUP(H417*'Customer Base'!$J$5,2),0)</f>
        <v>859.46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2737</v>
      </c>
      <c r="D418" s="331">
        <v>60.51</v>
      </c>
      <c r="E418" s="331">
        <v>56.991999999999997</v>
      </c>
      <c r="F418" s="264">
        <f t="shared" si="74"/>
        <v>49.639048400328136</v>
      </c>
      <c r="G418" s="238">
        <f>IFERROR(ROUNDUP(F418*'Customer Base'!$J$5,2),0)</f>
        <v>794.23</v>
      </c>
      <c r="H418" s="264">
        <f t="shared" si="75"/>
        <v>46.75307629204265</v>
      </c>
      <c r="I418" s="238">
        <f>IFERROR(ROUNDUP(H418*'Customer Base'!$J$5,2),0)</f>
        <v>748.05</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2736</v>
      </c>
      <c r="D419" s="331">
        <v>517.41</v>
      </c>
      <c r="E419" s="331">
        <v>487.32799999999997</v>
      </c>
      <c r="F419" s="264">
        <f t="shared" si="74"/>
        <v>424.45447087776859</v>
      </c>
      <c r="G419" s="238">
        <f>IFERROR(ROUNDUP(F419*'Customer Base'!$J$5,2),0)</f>
        <v>6791.2800000000007</v>
      </c>
      <c r="H419" s="264">
        <f t="shared" si="75"/>
        <v>399.77686628383918</v>
      </c>
      <c r="I419" s="238">
        <f>IFERROR(ROUNDUP(H419*'Customer Base'!$J$5,2),0)</f>
        <v>6396.43</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2735</v>
      </c>
      <c r="D420" s="331">
        <v>55.07</v>
      </c>
      <c r="E420" s="331">
        <v>51.872</v>
      </c>
      <c r="F420" s="264">
        <f t="shared" si="74"/>
        <v>45.176374077112385</v>
      </c>
      <c r="G420" s="238">
        <f>IFERROR(ROUNDUP(F420*'Customer Base'!$J$5,2),0)</f>
        <v>722.83</v>
      </c>
      <c r="H420" s="264">
        <f t="shared" si="75"/>
        <v>42.55291222313371</v>
      </c>
      <c r="I420" s="238">
        <f>IFERROR(ROUNDUP(H420*'Customer Base'!$J$5,2),0)</f>
        <v>680.85</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379.33</v>
      </c>
      <c r="H421" s="264">
        <f t="shared" si="75"/>
        <v>22.326497128794092</v>
      </c>
      <c r="I421" s="238">
        <f>IFERROR(ROUNDUP(H421*'Customer Base'!$J$5,2),0)</f>
        <v>357.23</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355.58</v>
      </c>
      <c r="H422" s="264">
        <f t="shared" si="75"/>
        <v>20.931091058244462</v>
      </c>
      <c r="I422" s="238">
        <f>IFERROR(ROUNDUP(H422*'Customer Base'!$J$5,2),0)</f>
        <v>334.9</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367.52</v>
      </c>
      <c r="H423" s="264">
        <f t="shared" si="75"/>
        <v>21.635767022149299</v>
      </c>
      <c r="I423" s="238">
        <f>IFERROR(ROUNDUP(H423*'Customer Base'!$J$5,2),0)</f>
        <v>346.18</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414.9</v>
      </c>
      <c r="H424" s="264">
        <f t="shared" si="75"/>
        <v>24.426579163248562</v>
      </c>
      <c r="I424" s="238">
        <f>IFERROR(ROUNDUP(H424*'Customer Base'!$J$5,2),0)</f>
        <v>390.83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130.47</v>
      </c>
      <c r="H425" s="264">
        <f t="shared" si="75"/>
        <v>7.6817063166529946</v>
      </c>
      <c r="I425" s="238">
        <f>IFERROR(ROUNDUP(H425*'Customer Base'!$J$5,2),0)</f>
        <v>122.91000000000001</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189.67</v>
      </c>
      <c r="H427" s="264">
        <f t="shared" si="75"/>
        <v>11.163248564397046</v>
      </c>
      <c r="I427" s="238">
        <f>IFERROR(ROUNDUP(H427*'Customer Base'!$J$5,2),0)</f>
        <v>178.62</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229.44</v>
      </c>
      <c r="H428" s="264">
        <f t="shared" si="75"/>
        <v>11.163248564397046</v>
      </c>
      <c r="I428" s="238">
        <f>IFERROR(ROUNDUP(H428*'Customer Base'!$J$5,2),0)</f>
        <v>178.62</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229.44</v>
      </c>
      <c r="H429" s="264">
        <f t="shared" si="75"/>
        <v>11.163248564397046</v>
      </c>
      <c r="I429" s="238">
        <f>IFERROR(ROUNDUP(H429*'Customer Base'!$J$5,2),0)</f>
        <v>178.62</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189.67</v>
      </c>
      <c r="H430" s="264">
        <f t="shared" si="75"/>
        <v>11.163248564397046</v>
      </c>
      <c r="I430" s="238">
        <f>IFERROR(ROUNDUP(H430*'Customer Base'!$J$5,2),0)</f>
        <v>178.62</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296.25</v>
      </c>
      <c r="H432" s="245">
        <f t="shared" si="75"/>
        <v>17.435602953240362</v>
      </c>
      <c r="I432" s="245">
        <f>IFERROR(ROUNDUP(H432*'Customer Base'!$J$5,2),0)</f>
        <v>278.96999999999997</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130.47</v>
      </c>
      <c r="H433" s="245">
        <f t="shared" si="75"/>
        <v>7.6817063166529946</v>
      </c>
      <c r="I433" s="245">
        <f>IFERROR(ROUNDUP(H433*'Customer Base'!$J$5,2),0)</f>
        <v>122.91000000000001</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2761</v>
      </c>
      <c r="D434" s="328">
        <v>9.94</v>
      </c>
      <c r="E434" s="328">
        <v>9.3640000000000008</v>
      </c>
      <c r="F434" s="245">
        <f t="shared" si="74"/>
        <v>8.1542247744052485</v>
      </c>
      <c r="G434" s="245">
        <f>IFERROR(ROUNDUP(F434*'Customer Base'!$J$5,2),0)</f>
        <v>130.47</v>
      </c>
      <c r="H434" s="245">
        <f t="shared" si="75"/>
        <v>7.6817063166529946</v>
      </c>
      <c r="I434" s="245">
        <f>IFERROR(ROUNDUP(H434*'Customer Base'!$J$5,2),0)</f>
        <v>122.91000000000001</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118.53</v>
      </c>
      <c r="H435" s="245">
        <f t="shared" si="75"/>
        <v>6.9770303527481543</v>
      </c>
      <c r="I435" s="245">
        <f>IFERROR(ROUNDUP(H435*'Customer Base'!$J$5,2),0)</f>
        <v>111.64</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153.97</v>
      </c>
      <c r="H436" s="245">
        <f t="shared" si="75"/>
        <v>9.0631665299425759</v>
      </c>
      <c r="I436" s="245">
        <f>IFERROR(ROUNDUP(H436*'Customer Base'!$J$5,2),0)</f>
        <v>145.01999999999998</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367.52</v>
      </c>
      <c r="H437" s="245">
        <f t="shared" si="75"/>
        <v>21.635767022149299</v>
      </c>
      <c r="I437" s="245">
        <f>IFERROR(ROUNDUP(H437*'Customer Base'!$J$5,2),0)</f>
        <v>346.18</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474.09999999999997</v>
      </c>
      <c r="H438" s="245">
        <f t="shared" si="75"/>
        <v>27.908121410992617</v>
      </c>
      <c r="I438" s="245">
        <f>IFERROR(ROUNDUP(H438*'Customer Base'!$J$5,2),0)</f>
        <v>446.53</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2747</v>
      </c>
      <c r="D439" s="328">
        <v>38.840000000000003</v>
      </c>
      <c r="E439" s="328">
        <v>36.58</v>
      </c>
      <c r="F439" s="245">
        <f t="shared" si="74"/>
        <v>31.862182116488928</v>
      </c>
      <c r="G439" s="245">
        <f>IFERROR(ROUNDUP(F439*'Customer Base'!$J$5,2),0)</f>
        <v>509.8</v>
      </c>
      <c r="H439" s="245">
        <f t="shared" si="75"/>
        <v>30.008203445447084</v>
      </c>
      <c r="I439" s="245">
        <f>IFERROR(ROUNDUP(H439*'Customer Base'!$J$5,2),0)</f>
        <v>480.14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2748</v>
      </c>
      <c r="D440" s="328">
        <v>45.15</v>
      </c>
      <c r="E440" s="328">
        <v>42.524999999999999</v>
      </c>
      <c r="F440" s="245">
        <f t="shared" si="74"/>
        <v>37.038556193601309</v>
      </c>
      <c r="G440" s="245">
        <f>IFERROR(ROUNDUP(F440*'Customer Base'!$J$5,2),0)</f>
        <v>592.62</v>
      </c>
      <c r="H440" s="245">
        <f t="shared" si="75"/>
        <v>34.885151763740765</v>
      </c>
      <c r="I440" s="245">
        <f>IFERROR(ROUNDUP(H440*'Customer Base'!$J$5,2),0)</f>
        <v>558.16999999999996</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201.35</v>
      </c>
      <c r="H441" s="245">
        <f t="shared" si="75"/>
        <v>11.853978671041837</v>
      </c>
      <c r="I441" s="245">
        <f>IFERROR(ROUNDUP(H441*'Customer Base'!$J$5,2),0)</f>
        <v>189.67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201.35</v>
      </c>
      <c r="H442" s="245">
        <f t="shared" si="75"/>
        <v>11.853978671041837</v>
      </c>
      <c r="I442" s="245">
        <f>IFERROR(ROUNDUP(H442*'Customer Base'!$J$5,2),0)</f>
        <v>189.67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308.19</v>
      </c>
      <c r="H443" s="245">
        <f t="shared" si="75"/>
        <v>18.140278917145199</v>
      </c>
      <c r="I443" s="245">
        <f>IFERROR(ROUNDUP(H443*'Customer Base'!$J$5,2),0)</f>
        <v>290.25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331.82</v>
      </c>
      <c r="H444" s="245">
        <f t="shared" si="75"/>
        <v>19.535684987694829</v>
      </c>
      <c r="I444" s="245">
        <f>IFERROR(ROUNDUP(H444*'Customer Base'!$J$5,2),0)</f>
        <v>312.58</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391.01</v>
      </c>
      <c r="H445" s="245">
        <f t="shared" si="75"/>
        <v>23.017227235438881</v>
      </c>
      <c r="I445" s="245">
        <f>IFERROR(ROUNDUP(H445*'Customer Base'!$J$5,2),0)</f>
        <v>368.28</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391.01</v>
      </c>
      <c r="H446" s="245">
        <f t="shared" si="75"/>
        <v>23.017227235438881</v>
      </c>
      <c r="I446" s="245">
        <f>IFERROR(ROUNDUP(H446*'Customer Base'!$J$5,2),0)</f>
        <v>368.28</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391.01</v>
      </c>
      <c r="H447" s="245">
        <f t="shared" si="75"/>
        <v>23.017227235438881</v>
      </c>
      <c r="I447" s="245">
        <f>IFERROR(ROUNDUP(H447*'Customer Base'!$J$5,2),0)</f>
        <v>368.28</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2751</v>
      </c>
      <c r="D448" s="328">
        <v>36.119999999999997</v>
      </c>
      <c r="E448" s="328">
        <v>34.020000000000003</v>
      </c>
      <c r="F448" s="245">
        <f t="shared" si="74"/>
        <v>29.630844954881045</v>
      </c>
      <c r="G448" s="245">
        <f>IFERROR(ROUNDUP(F448*'Customer Base'!$J$5,2),0)</f>
        <v>474.09999999999997</v>
      </c>
      <c r="H448" s="245">
        <f t="shared" si="75"/>
        <v>27.908121410992617</v>
      </c>
      <c r="I448" s="245">
        <f>IFERROR(ROUNDUP(H448*'Customer Base'!$J$5,2),0)</f>
        <v>446.53</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2752</v>
      </c>
      <c r="D449" s="328">
        <v>36.119999999999997</v>
      </c>
      <c r="E449" s="328">
        <v>34.020000000000003</v>
      </c>
      <c r="F449" s="245">
        <f t="shared" si="74"/>
        <v>29.630844954881045</v>
      </c>
      <c r="G449" s="245">
        <f>IFERROR(ROUNDUP(F449*'Customer Base'!$J$5,2),0)</f>
        <v>474.09999999999997</v>
      </c>
      <c r="H449" s="245">
        <f t="shared" si="75"/>
        <v>27.908121410992617</v>
      </c>
      <c r="I449" s="245">
        <f>IFERROR(ROUNDUP(H449*'Customer Base'!$J$5,2),0)</f>
        <v>446.53</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130.47</v>
      </c>
      <c r="H450" s="245">
        <f t="shared" si="75"/>
        <v>7.6817063166529946</v>
      </c>
      <c r="I450" s="245">
        <f>IFERROR(ROUNDUP(H450*'Customer Base'!$J$5,2),0)</f>
        <v>122.91000000000001</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2750</v>
      </c>
      <c r="D451" s="328">
        <v>31.61</v>
      </c>
      <c r="E451" s="328">
        <v>29.776</v>
      </c>
      <c r="F451" s="245">
        <f t="shared" si="74"/>
        <v>25.931091058244462</v>
      </c>
      <c r="G451" s="245">
        <f>IFERROR(ROUNDUP(F451*'Customer Base'!$J$5,2),0)</f>
        <v>414.9</v>
      </c>
      <c r="H451" s="245">
        <f t="shared" si="75"/>
        <v>24.426579163248562</v>
      </c>
      <c r="I451" s="245">
        <f>IFERROR(ROUNDUP(H451*'Customer Base'!$J$5,2),0)</f>
        <v>390.83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2749</v>
      </c>
      <c r="D452" s="328">
        <v>31.61</v>
      </c>
      <c r="E452" s="328">
        <v>29.776</v>
      </c>
      <c r="F452" s="245">
        <f t="shared" ref="F452:F476" si="77">$D452/1.219</f>
        <v>25.931091058244462</v>
      </c>
      <c r="G452" s="245">
        <f>IFERROR(ROUNDUP(F452*'Customer Base'!$J$5,2),0)</f>
        <v>414.9</v>
      </c>
      <c r="H452" s="245">
        <f t="shared" ref="H452:H477" si="78">$E452/1.219</f>
        <v>24.426579163248562</v>
      </c>
      <c r="I452" s="245">
        <f>IFERROR(ROUNDUP(H452*'Customer Base'!$J$5,2),0)</f>
        <v>390.83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130.73999999999998</v>
      </c>
      <c r="H453" s="245">
        <f t="shared" si="78"/>
        <v>7.6817063166529946</v>
      </c>
      <c r="I453" s="245">
        <f>IFERROR(ROUNDUP(H453*'Customer Base'!$J$5,2),0)</f>
        <v>122.91000000000001</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1895</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677.28</v>
      </c>
      <c r="H456" s="249">
        <f t="shared" si="78"/>
        <v>39.868744872846591</v>
      </c>
      <c r="I456" s="249">
        <f>IFERROR(ROUNDUP(H456*'Customer Base'!$J$5,2),0)</f>
        <v>637.9</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B457" s="270" t="s">
        <v>1</v>
      </c>
      <c r="C457" s="250" t="s">
        <v>951</v>
      </c>
      <c r="D457" s="321">
        <v>70.52</v>
      </c>
      <c r="E457" s="321">
        <v>66.42</v>
      </c>
      <c r="F457" s="249">
        <f t="shared" si="77"/>
        <v>57.850697292862996</v>
      </c>
      <c r="G457" s="249">
        <f>IFERROR(ROUNDUP(F457*'Customer Base'!$J$5,2),0)</f>
        <v>925.62</v>
      </c>
      <c r="H457" s="249">
        <f t="shared" si="78"/>
        <v>54.487284659557012</v>
      </c>
      <c r="I457" s="249">
        <f>IFERROR(ROUNDUP(H457*'Customer Base'!$J$5,2),0)</f>
        <v>871.8</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1580.32</v>
      </c>
      <c r="H458" s="249">
        <f t="shared" si="78"/>
        <v>93.027071369975388</v>
      </c>
      <c r="I458" s="249">
        <f>IFERROR(ROUNDUP(H458*'Customer Base'!$J$5,2),0)</f>
        <v>1488.44</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B459" s="270" t="s">
        <v>1</v>
      </c>
      <c r="C459" s="250" t="s">
        <v>1242</v>
      </c>
      <c r="D459" s="321">
        <v>200</v>
      </c>
      <c r="E459" s="321">
        <v>200</v>
      </c>
      <c r="F459" s="249">
        <f t="shared" si="77"/>
        <v>164.06890894175552</v>
      </c>
      <c r="G459" s="249">
        <f>IFERROR(ROUNDUP(F459*'Customer Base'!$J$5,2),0)</f>
        <v>2625.11</v>
      </c>
      <c r="H459" s="249">
        <f t="shared" si="78"/>
        <v>164.06890894175552</v>
      </c>
      <c r="I459" s="249">
        <f>IFERROR(ROUNDUP(H459*'Customer Base'!$J$5,2),0)</f>
        <v>2625.11</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B460" s="270">
        <v>1</v>
      </c>
      <c r="C460" s="250" t="s">
        <v>1899</v>
      </c>
      <c r="D460" s="321">
        <v>1000</v>
      </c>
      <c r="E460" s="321">
        <v>1000</v>
      </c>
      <c r="F460" s="249">
        <f t="shared" si="77"/>
        <v>820.34454470877768</v>
      </c>
      <c r="G460" s="249">
        <f>IFERROR(ROUNDUP(F460*'Customer Base'!$J$5,2),0)</f>
        <v>13125.52</v>
      </c>
      <c r="H460" s="249">
        <f t="shared" si="78"/>
        <v>820.34454470877768</v>
      </c>
      <c r="I460" s="249">
        <f>IFERROR(ROUNDUP(H460*'Customer Base'!$J$5,2),0)</f>
        <v>13125.52</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1803</v>
      </c>
      <c r="D461" s="321">
        <v>2000</v>
      </c>
      <c r="E461" s="321">
        <v>2000</v>
      </c>
      <c r="F461" s="249">
        <f t="shared" si="77"/>
        <v>1640.6890894175554</v>
      </c>
      <c r="G461" s="249">
        <f>IFERROR(ROUNDUP(F461*'Customer Base'!$J$5,2),0)</f>
        <v>26251.03</v>
      </c>
      <c r="H461" s="249">
        <f t="shared" si="78"/>
        <v>1640.6890894175554</v>
      </c>
      <c r="I461" s="249">
        <f>IFERROR(ROUNDUP(H461*'Customer Base'!$J$5,2),0)</f>
        <v>26251.03</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1243</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1376</v>
      </c>
      <c r="D464" s="321">
        <v>35</v>
      </c>
      <c r="E464" s="321">
        <v>35</v>
      </c>
      <c r="F464" s="249">
        <f t="shared" si="77"/>
        <v>28.712059064807217</v>
      </c>
      <c r="G464" s="249">
        <f>IFERROR(ROUNDUP(F464*'Customer Base'!$J$5,2),0)</f>
        <v>459.4</v>
      </c>
      <c r="H464" s="249">
        <f t="shared" si="78"/>
        <v>28.712059064807217</v>
      </c>
      <c r="I464" s="249">
        <f>IFERROR(ROUNDUP(H464*'Customer Base'!$J$5,2),0)</f>
        <v>459.4</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1377</v>
      </c>
      <c r="D465" s="321">
        <v>35</v>
      </c>
      <c r="E465" s="321">
        <v>35</v>
      </c>
      <c r="F465" s="249">
        <f t="shared" si="77"/>
        <v>28.712059064807217</v>
      </c>
      <c r="G465" s="249">
        <f>IFERROR(ROUNDUP(F465*'Customer Base'!$J$5,2),0)</f>
        <v>459.4</v>
      </c>
      <c r="H465" s="249">
        <f t="shared" si="78"/>
        <v>28.712059064807217</v>
      </c>
      <c r="I465" s="249">
        <f>IFERROR(ROUNDUP(H465*'Customer Base'!$J$5,2),0)</f>
        <v>459.4</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1378</v>
      </c>
      <c r="D466" s="321">
        <v>49</v>
      </c>
      <c r="E466" s="321">
        <v>49</v>
      </c>
      <c r="F466" s="249">
        <f t="shared" si="77"/>
        <v>40.196882690730106</v>
      </c>
      <c r="G466" s="249">
        <f>IFERROR(ROUNDUP(F466*'Customer Base'!$J$5,2),0)</f>
        <v>643.16</v>
      </c>
      <c r="H466" s="249">
        <f t="shared" si="78"/>
        <v>40.196882690730106</v>
      </c>
      <c r="I466" s="249">
        <f>IFERROR(ROUNDUP(H466*'Customer Base'!$J$5,2),0)</f>
        <v>643.16</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1379</v>
      </c>
      <c r="D467" s="321">
        <v>49</v>
      </c>
      <c r="E467" s="321">
        <v>49</v>
      </c>
      <c r="F467" s="249">
        <f t="shared" si="77"/>
        <v>40.196882690730106</v>
      </c>
      <c r="G467" s="249">
        <f>IFERROR(ROUNDUP(F467*'Customer Base'!$J$5,2),0)</f>
        <v>643.16</v>
      </c>
      <c r="H467" s="249">
        <f t="shared" si="78"/>
        <v>40.196882690730106</v>
      </c>
      <c r="I467" s="249">
        <f>IFERROR(ROUNDUP(H467*'Customer Base'!$J$5,2),0)</f>
        <v>643.16</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2600</v>
      </c>
      <c r="D468" s="321">
        <v>49</v>
      </c>
      <c r="E468" s="321">
        <v>49</v>
      </c>
      <c r="F468" s="249">
        <f t="shared" si="77"/>
        <v>40.196882690730106</v>
      </c>
      <c r="G468" s="249">
        <f>IFERROR(ROUNDUP(F468*'Customer Base'!$J$5,2),0)</f>
        <v>643.16</v>
      </c>
      <c r="H468" s="249">
        <f t="shared" si="78"/>
        <v>40.196882690730106</v>
      </c>
      <c r="I468" s="249">
        <f>IFERROR(ROUNDUP(H468*'Customer Base'!$J$5,2),0)</f>
        <v>643.16</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1380</v>
      </c>
      <c r="D469" s="321">
        <v>49</v>
      </c>
      <c r="E469" s="321">
        <v>49</v>
      </c>
      <c r="F469" s="249">
        <f t="shared" si="77"/>
        <v>40.196882690730106</v>
      </c>
      <c r="G469" s="249">
        <f>IFERROR(ROUNDUP(F469*'Customer Base'!$J$5,2),0)</f>
        <v>643.16</v>
      </c>
      <c r="H469" s="249">
        <f t="shared" si="78"/>
        <v>40.196882690730106</v>
      </c>
      <c r="I469" s="249">
        <f>IFERROR(ROUNDUP(H469*'Customer Base'!$J$5,2),0)</f>
        <v>643.16</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1801</v>
      </c>
      <c r="D470" s="321">
        <v>49</v>
      </c>
      <c r="E470" s="321">
        <v>49</v>
      </c>
      <c r="F470" s="249">
        <f t="shared" si="77"/>
        <v>40.196882690730106</v>
      </c>
      <c r="G470" s="249">
        <f>IFERROR(ROUNDUP(F470*'Customer Base'!$J$5,2),0)</f>
        <v>643.16</v>
      </c>
      <c r="H470" s="249">
        <f t="shared" si="78"/>
        <v>40.196882690730106</v>
      </c>
      <c r="I470" s="249">
        <f>IFERROR(ROUNDUP(H470*'Customer Base'!$J$5,2),0)</f>
        <v>643.16</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f>IF(AND(OR(AND('Customer Base'!E13="Phoenix",'Customer Base'!D13="Victron"),'Customer Base'!D$7="Grid-Tied"),'Customer Base'!D$9=1,'CABLE SIZING TOOL'!J$27&gt;80,'CABLE SIZING TOOL'!J$27&lt;=100),1,IF(AND('Customer Base'!D$9=1,'CABLE SIZING TOOL'!J$27&gt;80,'CABLE SIZING TOOL'!J$27&lt;=100),2,""))</f>
        <v>2</v>
      </c>
      <c r="B471" s="270" t="s">
        <v>1</v>
      </c>
      <c r="C471" s="250" t="s">
        <v>1381</v>
      </c>
      <c r="D471" s="321">
        <v>49</v>
      </c>
      <c r="E471" s="321">
        <v>49</v>
      </c>
      <c r="F471" s="249">
        <f t="shared" si="77"/>
        <v>40.196882690730106</v>
      </c>
      <c r="G471" s="249">
        <f>IFERROR(ROUNDUP(F471*'Customer Base'!$J$5,2),0)</f>
        <v>643.16</v>
      </c>
      <c r="H471" s="249">
        <f t="shared" si="78"/>
        <v>40.196882690730106</v>
      </c>
      <c r="I471" s="249">
        <f>IFERROR(ROUNDUP(H471*'Customer Base'!$J$5,2),0)</f>
        <v>643.16</v>
      </c>
      <c r="J471" s="103" t="str">
        <f t="shared" si="79"/>
        <v/>
      </c>
      <c r="L471" s="103" t="str">
        <f t="shared" si="80"/>
        <v/>
      </c>
      <c r="N471" s="103">
        <v>480</v>
      </c>
      <c r="O471" s="103" t="str">
        <f>IF('Customer Base'!$I$15="MANUAL",IF(B471&lt;&gt;"",C471,""),IF('Customer Base'!$I$15="AUTOMATE",IF(A471&lt;&gt;"",C471,""),""))</f>
        <v>100A 2-Pole AC Circuit Breaker</v>
      </c>
      <c r="AO471" s="103">
        <f>IF('Customer Base'!$I$15="MANUAL",IFERROR(AM471*B471,""),IF('Customer Base'!$I$15="AUTOMATE",IFERROR(AM471*A471,""),""))</f>
        <v>0</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2613</v>
      </c>
      <c r="D472" s="321">
        <v>49</v>
      </c>
      <c r="E472" s="321">
        <v>49</v>
      </c>
      <c r="F472" s="249">
        <f t="shared" si="77"/>
        <v>40.196882690730106</v>
      </c>
      <c r="G472" s="249">
        <f>IFERROR(ROUNDUP(F472*'Customer Base'!$J$5,2),0)</f>
        <v>643.16</v>
      </c>
      <c r="H472" s="249">
        <f t="shared" si="78"/>
        <v>40.196882690730106</v>
      </c>
      <c r="I472" s="249">
        <f>IFERROR(ROUNDUP(H472*'Customer Base'!$J$5,2),0)</f>
        <v>643.16</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1494</v>
      </c>
      <c r="D473" s="321">
        <v>69</v>
      </c>
      <c r="E473" s="321">
        <v>69</v>
      </c>
      <c r="F473" s="249">
        <f t="shared" si="77"/>
        <v>56.603773584905653</v>
      </c>
      <c r="G473" s="249">
        <f>IFERROR(ROUNDUP(F473*'Customer Base'!$J$5,2),0)</f>
        <v>905.67</v>
      </c>
      <c r="H473" s="249">
        <f t="shared" si="78"/>
        <v>56.603773584905653</v>
      </c>
      <c r="I473" s="249">
        <f>IFERROR(ROUNDUP(H473*'Customer Base'!$J$5,2),0)</f>
        <v>905.67</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1382</v>
      </c>
      <c r="D474" s="321">
        <v>69</v>
      </c>
      <c r="E474" s="321">
        <v>69</v>
      </c>
      <c r="F474" s="249">
        <f t="shared" si="77"/>
        <v>56.603773584905653</v>
      </c>
      <c r="G474" s="249">
        <f>IFERROR(ROUNDUP(F474*'Customer Base'!$J$5,2),0)</f>
        <v>905.67</v>
      </c>
      <c r="H474" s="249">
        <f t="shared" si="78"/>
        <v>56.603773584905653</v>
      </c>
      <c r="I474" s="249">
        <f>IFERROR(ROUNDUP(H474*'Customer Base'!$J$5,2),0)</f>
        <v>905.67</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2601</v>
      </c>
      <c r="D475" s="321">
        <v>89</v>
      </c>
      <c r="E475" s="321">
        <v>89</v>
      </c>
      <c r="F475" s="249">
        <f t="shared" si="77"/>
        <v>73.010664479081214</v>
      </c>
      <c r="G475" s="249">
        <f>IFERROR(ROUNDUP(F475*'Customer Base'!$J$5,2),0)</f>
        <v>1168.18</v>
      </c>
      <c r="H475" s="249">
        <f t="shared" si="78"/>
        <v>73.010664479081214</v>
      </c>
      <c r="I475" s="249">
        <f>IFERROR(ROUNDUP(H475*'Customer Base'!$J$5,2),0)</f>
        <v>1168.18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1383</v>
      </c>
      <c r="D477" s="321">
        <v>50</v>
      </c>
      <c r="E477" s="321">
        <v>50</v>
      </c>
      <c r="F477" s="249">
        <f t="shared" ref="F477:F502" si="81">$D477/1.219</f>
        <v>41.017227235438881</v>
      </c>
      <c r="G477" s="249">
        <f>IFERROR(ROUNDUP(F477*'Customer Base'!$J$5,2),0)</f>
        <v>656.28</v>
      </c>
      <c r="H477" s="249">
        <f t="shared" si="78"/>
        <v>41.017227235438881</v>
      </c>
      <c r="I477" s="249">
        <f>IFERROR(ROUNDUP(H477*'Customer Base'!$J$5,2),0)</f>
        <v>656.28</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1384</v>
      </c>
      <c r="D478" s="321">
        <v>50</v>
      </c>
      <c r="E478" s="321">
        <v>50</v>
      </c>
      <c r="F478" s="249">
        <f t="shared" si="81"/>
        <v>41.017227235438881</v>
      </c>
      <c r="G478" s="249">
        <f>IFERROR(ROUNDUP(F478*'Customer Base'!$J$5,2),0)</f>
        <v>656.28</v>
      </c>
      <c r="H478" s="249">
        <f t="shared" ref="H478:H502" si="82">$E478/1.219</f>
        <v>41.017227235438881</v>
      </c>
      <c r="I478" s="249">
        <f>IFERROR(ROUNDUP(H478*'Customer Base'!$J$5,2),0)</f>
        <v>656.28</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2599</v>
      </c>
      <c r="D479" s="321">
        <v>50</v>
      </c>
      <c r="E479" s="321">
        <v>50</v>
      </c>
      <c r="F479" s="249">
        <f t="shared" si="81"/>
        <v>41.017227235438881</v>
      </c>
      <c r="G479" s="249">
        <f>IFERROR(ROUNDUP(F479*'Customer Base'!$J$5,2),0)</f>
        <v>656.28</v>
      </c>
      <c r="H479" s="249">
        <f t="shared" si="82"/>
        <v>41.017227235438881</v>
      </c>
      <c r="I479" s="249">
        <f>IFERROR(ROUNDUP(H479*'Customer Base'!$J$5,2),0)</f>
        <v>656.28</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1385</v>
      </c>
      <c r="D480" s="321">
        <v>50</v>
      </c>
      <c r="E480" s="321">
        <v>50</v>
      </c>
      <c r="F480" s="249">
        <f t="shared" si="81"/>
        <v>41.017227235438881</v>
      </c>
      <c r="G480" s="249">
        <f>IFERROR(ROUNDUP(F480*'Customer Base'!$J$5,2),0)</f>
        <v>656.28</v>
      </c>
      <c r="H480" s="249">
        <f t="shared" si="82"/>
        <v>41.017227235438881</v>
      </c>
      <c r="I480" s="249">
        <f>IFERROR(ROUNDUP(H480*'Customer Base'!$J$5,2),0)</f>
        <v>656.28</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1802</v>
      </c>
      <c r="D481" s="321">
        <v>50</v>
      </c>
      <c r="E481" s="321">
        <v>50</v>
      </c>
      <c r="F481" s="249">
        <f t="shared" si="81"/>
        <v>41.017227235438881</v>
      </c>
      <c r="G481" s="249">
        <f>IFERROR(ROUNDUP(F481*'Customer Base'!$J$5,2),0)</f>
        <v>656.28</v>
      </c>
      <c r="H481" s="249">
        <f t="shared" si="82"/>
        <v>41.017227235438881</v>
      </c>
      <c r="I481" s="249">
        <f>IFERROR(ROUNDUP(H481*'Customer Base'!$J$5,2),0)</f>
        <v>656.28</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1386</v>
      </c>
      <c r="D482" s="321">
        <v>50</v>
      </c>
      <c r="E482" s="321">
        <v>50</v>
      </c>
      <c r="F482" s="249">
        <f t="shared" si="81"/>
        <v>41.017227235438881</v>
      </c>
      <c r="G482" s="249">
        <f>IFERROR(ROUNDUP(F482*'Customer Base'!$J$5,2),0)</f>
        <v>656.28</v>
      </c>
      <c r="H482" s="249">
        <f t="shared" si="82"/>
        <v>41.017227235438881</v>
      </c>
      <c r="I482" s="249">
        <f>IFERROR(ROUNDUP(H482*'Customer Base'!$J$5,2),0)</f>
        <v>656.28</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2612</v>
      </c>
      <c r="D483" s="321">
        <v>50</v>
      </c>
      <c r="E483" s="321">
        <v>50</v>
      </c>
      <c r="F483" s="249">
        <f t="shared" si="81"/>
        <v>41.017227235438881</v>
      </c>
      <c r="G483" s="249">
        <f>IFERROR(ROUNDUP(F483*'Customer Base'!$J$5,2),0)</f>
        <v>656.28</v>
      </c>
      <c r="H483" s="249">
        <f t="shared" si="82"/>
        <v>41.017227235438881</v>
      </c>
      <c r="I483" s="249">
        <f>IFERROR(ROUNDUP(H483*'Customer Base'!$J$5,2),0)</f>
        <v>656.28</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1495</v>
      </c>
      <c r="D484" s="321">
        <v>70</v>
      </c>
      <c r="E484" s="321">
        <v>70</v>
      </c>
      <c r="F484" s="249">
        <f t="shared" si="81"/>
        <v>57.424118129614435</v>
      </c>
      <c r="G484" s="249">
        <f>IFERROR(ROUNDUP(F484*'Customer Base'!$J$5,2),0)</f>
        <v>918.79</v>
      </c>
      <c r="H484" s="249">
        <f t="shared" si="82"/>
        <v>57.424118129614435</v>
      </c>
      <c r="I484" s="249">
        <f>IFERROR(ROUNDUP(H484*'Customer Base'!$J$5,2),0)</f>
        <v>918.79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1387</v>
      </c>
      <c r="D485" s="321">
        <v>70</v>
      </c>
      <c r="E485" s="321">
        <v>70</v>
      </c>
      <c r="F485" s="249">
        <f t="shared" si="81"/>
        <v>57.424118129614435</v>
      </c>
      <c r="G485" s="249">
        <f>IFERROR(ROUNDUP(F485*'Customer Base'!$J$5,2),0)</f>
        <v>918.79</v>
      </c>
      <c r="H485" s="249">
        <f t="shared" si="82"/>
        <v>57.424118129614435</v>
      </c>
      <c r="I485" s="249">
        <f>IFERROR(ROUNDUP(H485*'Customer Base'!$J$5,2),0)</f>
        <v>918.79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1310</v>
      </c>
      <c r="D487" s="321">
        <v>107.15</v>
      </c>
      <c r="E487" s="321">
        <v>107.15</v>
      </c>
      <c r="F487" s="249">
        <f t="shared" si="81"/>
        <v>87.899917965545526</v>
      </c>
      <c r="G487" s="249">
        <f>IFERROR(ROUNDUP(F487*'Customer Base'!$J$5,2),0)</f>
        <v>1406.4</v>
      </c>
      <c r="H487" s="249">
        <f t="shared" si="82"/>
        <v>87.899917965545526</v>
      </c>
      <c r="I487" s="249">
        <f>IFERROR(ROUNDUP(H487*'Customer Base'!$J$5,2),0)</f>
        <v>1406.4</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1496</v>
      </c>
      <c r="D488" s="321">
        <v>107.15</v>
      </c>
      <c r="E488" s="321">
        <v>107.15</v>
      </c>
      <c r="F488" s="249">
        <f t="shared" si="81"/>
        <v>87.899917965545526</v>
      </c>
      <c r="G488" s="249">
        <f>IFERROR(ROUNDUP(F488*'Customer Base'!$J$5,2),0)</f>
        <v>1406.4</v>
      </c>
      <c r="H488" s="249">
        <f t="shared" si="82"/>
        <v>87.899917965545526</v>
      </c>
      <c r="I488" s="249">
        <f>IFERROR(ROUNDUP(H488*'Customer Base'!$J$5,2),0)</f>
        <v>1406.4</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v>2</v>
      </c>
      <c r="C489" s="250" t="s">
        <v>2478</v>
      </c>
      <c r="D489" s="321">
        <v>107.15</v>
      </c>
      <c r="E489" s="321">
        <v>107.15</v>
      </c>
      <c r="F489" s="249">
        <f t="shared" si="81"/>
        <v>87.899917965545526</v>
      </c>
      <c r="G489" s="249">
        <f>IFERROR(ROUNDUP(F489*'Customer Base'!$J$5,2),0)</f>
        <v>1406.4</v>
      </c>
      <c r="H489" s="249">
        <f t="shared" si="82"/>
        <v>87.899917965545526</v>
      </c>
      <c r="I489" s="249">
        <f>IFERROR(ROUNDUP(H489*'Customer Base'!$J$5,2),0)</f>
        <v>1406.4</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2479</v>
      </c>
      <c r="D490" s="321">
        <v>107.15</v>
      </c>
      <c r="E490" s="321">
        <v>107.15</v>
      </c>
      <c r="F490" s="249">
        <f t="shared" si="81"/>
        <v>87.899917965545526</v>
      </c>
      <c r="G490" s="249">
        <f>IFERROR(ROUNDUP(F490*'Customer Base'!$J$5,2),0)</f>
        <v>1406.4</v>
      </c>
      <c r="H490" s="249">
        <f t="shared" si="82"/>
        <v>87.899917965545526</v>
      </c>
      <c r="I490" s="249">
        <f>IFERROR(ROUNDUP(H490*'Customer Base'!$J$5,2),0)</f>
        <v>1406.4</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1604</v>
      </c>
      <c r="D491" s="321">
        <v>107.15</v>
      </c>
      <c r="E491" s="321">
        <v>107.15</v>
      </c>
      <c r="F491" s="249">
        <f t="shared" si="81"/>
        <v>87.899917965545526</v>
      </c>
      <c r="G491" s="249">
        <f>IFERROR(ROUNDUP(F491*'Customer Base'!$J$5,2),0)</f>
        <v>1406.4</v>
      </c>
      <c r="H491" s="249">
        <f t="shared" si="82"/>
        <v>87.899917965545526</v>
      </c>
      <c r="I491" s="249">
        <f>IFERROR(ROUNDUP(H491*'Customer Base'!$J$5,2),0)</f>
        <v>1406.4</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2639</v>
      </c>
      <c r="D492" s="321">
        <v>107.15</v>
      </c>
      <c r="E492" s="321">
        <v>107.15</v>
      </c>
      <c r="F492" s="249">
        <f t="shared" si="81"/>
        <v>87.899917965545526</v>
      </c>
      <c r="G492" s="249">
        <f>IFERROR(ROUNDUP(F492*'Customer Base'!$J$5,2),0)</f>
        <v>1406.4</v>
      </c>
      <c r="H492" s="249">
        <f t="shared" si="82"/>
        <v>87.899917965545526</v>
      </c>
      <c r="I492" s="249">
        <f>IFERROR(ROUNDUP(H492*'Customer Base'!$J$5,2),0)</f>
        <v>1406.4</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9</v>
      </c>
      <c r="B494" s="270">
        <v>20</v>
      </c>
      <c r="C494" s="250" t="s">
        <v>944</v>
      </c>
      <c r="D494" s="321">
        <v>9.0299999999999994</v>
      </c>
      <c r="E494" s="321">
        <v>8.5050000000000008</v>
      </c>
      <c r="F494" s="249">
        <f>$D494/1.219</f>
        <v>7.4077112387202613</v>
      </c>
      <c r="G494" s="249">
        <f>IFERROR(ROUNDUP(F494*'Customer Base'!$J$5,2),0)</f>
        <v>118.53</v>
      </c>
      <c r="H494" s="249">
        <f>$E494/1.219</f>
        <v>6.9770303527481543</v>
      </c>
      <c r="I494" s="249">
        <f>IFERROR(ROUNDUP(H494*'Customer Base'!$J$5,2),0)</f>
        <v>111.64</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343.63</v>
      </c>
      <c r="H495" s="249">
        <f>$E495/1.219</f>
        <v>20.226415094339622</v>
      </c>
      <c r="I495" s="249">
        <f>IFERROR(ROUNDUP(H495*'Customer Base'!$J$5,2),0)</f>
        <v>323.63</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1937</v>
      </c>
      <c r="D496" s="321">
        <v>3.1</v>
      </c>
      <c r="E496" s="321">
        <v>2.9159999999999999</v>
      </c>
      <c r="F496" s="249">
        <f t="shared" ref="F496:F497" si="83">$D496/1.219</f>
        <v>2.5430680885972108</v>
      </c>
      <c r="G496" s="249">
        <f>IFERROR(ROUNDUP(F496*'Customer Base'!$J$5,2),0)</f>
        <v>40.69</v>
      </c>
      <c r="H496" s="249">
        <f t="shared" ref="H496:H497" si="84">$E496/1.219</f>
        <v>2.3921246923707957</v>
      </c>
      <c r="I496" s="249">
        <f>IFERROR(ROUNDUP(H496*'Customer Base'!$J$5,2),0)</f>
        <v>38.28</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1938</v>
      </c>
      <c r="D497" s="321">
        <v>3.13</v>
      </c>
      <c r="E497" s="321">
        <v>2.948</v>
      </c>
      <c r="F497" s="249">
        <f t="shared" si="83"/>
        <v>2.5676784249384741</v>
      </c>
      <c r="G497" s="249">
        <f>IFERROR(ROUNDUP(F497*'Customer Base'!$J$5,2),0)</f>
        <v>41.089999999999996</v>
      </c>
      <c r="H497" s="249">
        <f t="shared" si="84"/>
        <v>2.4183757178014762</v>
      </c>
      <c r="I497" s="249">
        <f>IFERROR(ROUNDUP(H497*'Customer Base'!$J$5,2),0)</f>
        <v>38.699999999999996</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2</v>
      </c>
      <c r="B499" s="270">
        <v>2</v>
      </c>
      <c r="C499" s="343" t="s">
        <v>969</v>
      </c>
      <c r="D499" s="321">
        <v>16.949152542370001</v>
      </c>
      <c r="E499" s="321">
        <v>16.949152542370001</v>
      </c>
      <c r="F499" s="321">
        <f t="shared" si="81"/>
        <v>13.904144825570139</v>
      </c>
      <c r="G499" s="321">
        <f>IFERROR(ROUNDUP(F499*'Customer Base'!$J$5,2),0)</f>
        <v>222.47</v>
      </c>
      <c r="H499" s="321">
        <f t="shared" si="82"/>
        <v>13.904144825570139</v>
      </c>
      <c r="I499" s="321">
        <f>IFERROR(ROUNDUP(H499*'Customer Base'!$J$5,2),0)</f>
        <v>222.47</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1978.94</v>
      </c>
      <c r="H500" s="321">
        <f t="shared" si="82"/>
        <v>123.68334700574241</v>
      </c>
      <c r="I500" s="321">
        <f>IFERROR(ROUNDUP(H500*'Customer Base'!$J$5,2),0)</f>
        <v>1978.94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t="str">
        <f>IF(OR('Customer Base'!D7="Grid-Tied",'Customer Base'!D7="Mini-Grid"),1,"")</f>
        <v/>
      </c>
      <c r="B502" s="270">
        <v>1</v>
      </c>
      <c r="C502" s="250" t="s">
        <v>1849</v>
      </c>
      <c r="D502" s="321">
        <v>120</v>
      </c>
      <c r="E502" s="321">
        <v>120</v>
      </c>
      <c r="F502" s="249">
        <f t="shared" si="81"/>
        <v>98.441345365053309</v>
      </c>
      <c r="G502" s="249">
        <f>IFERROR(ROUNDUP(F502*'Customer Base'!$J$5,2),0)</f>
        <v>1575.07</v>
      </c>
      <c r="H502" s="249">
        <f t="shared" si="82"/>
        <v>98.441345365053309</v>
      </c>
      <c r="I502" s="249">
        <f>IFERROR(ROUNDUP(H502*'Customer Base'!$J$5,2),0)</f>
        <v>1575.07</v>
      </c>
      <c r="J502" s="103" t="str">
        <f t="shared" si="79"/>
        <v/>
      </c>
      <c r="L502" s="103" t="str">
        <f t="shared" si="80"/>
        <v/>
      </c>
      <c r="N502" s="103">
        <v>511</v>
      </c>
      <c r="O502" s="103" t="str">
        <f>IF('Customer Base'!$I$15="MANUAL",IF(B502&lt;&gt;"",C502,""),IF('Customer Base'!$I$15="AUTOMATE",IF(A502&lt;&gt;"",C502,""),""))</f>
        <v/>
      </c>
      <c r="AO502" s="103" t="str">
        <f>IF('Customer Base'!$I$15="MANUAL",IFERROR(AM502*B502,""),IF('Customer Base'!$I$15="AUTOMATE",IFERROR(AM502*A502,""),""))</f>
        <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1890</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6.5</v>
      </c>
      <c r="B505" s="270">
        <v>56</v>
      </c>
      <c r="C505" s="237" t="s">
        <v>1848</v>
      </c>
      <c r="D505" s="267">
        <v>86</v>
      </c>
      <c r="E505" s="267">
        <v>81</v>
      </c>
      <c r="F505" s="238">
        <f>$D505/1.219</f>
        <v>70.549630844954876</v>
      </c>
      <c r="G505" s="238">
        <f>IFERROR(ROUNDUP(F505*'Customer Base'!$J$5,2),0)</f>
        <v>1128.8</v>
      </c>
      <c r="H505" s="238">
        <f>$E505/1.219</f>
        <v>66.44790812141099</v>
      </c>
      <c r="I505" s="238">
        <f>IFERROR(ROUNDUP(H505*'Customer Base'!$J$5,2),0)</f>
        <v>1063.17</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2746</v>
      </c>
      <c r="D506" s="267">
        <v>473</v>
      </c>
      <c r="E506" s="267">
        <v>445.5</v>
      </c>
      <c r="F506" s="238">
        <f>$D506/1.219</f>
        <v>388.02296964725184</v>
      </c>
      <c r="G506" s="238">
        <f>IFERROR(ROUNDUP(F506*'Customer Base'!$J$5,2),0)</f>
        <v>6208.37</v>
      </c>
      <c r="H506" s="238">
        <f>$E506/1.219</f>
        <v>365.46349466776041</v>
      </c>
      <c r="I506" s="238">
        <f>IFERROR(ROUNDUP(H506*'Customer Base'!$J$5,2),0)</f>
        <v>5847.42</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1704</v>
      </c>
      <c r="D507" s="267">
        <v>490.2</v>
      </c>
      <c r="E507" s="267">
        <v>461.7</v>
      </c>
      <c r="F507" s="238">
        <f t="shared" ref="F507" si="86">$D507/1.219</f>
        <v>402.13289581624281</v>
      </c>
      <c r="G507" s="238">
        <f>IFERROR(ROUNDUP(F507*'Customer Base'!$J$5,2),0)</f>
        <v>6434.13</v>
      </c>
      <c r="H507" s="238">
        <f t="shared" ref="H507" si="87">$E507/1.219</f>
        <v>378.75307629204264</v>
      </c>
      <c r="I507" s="238">
        <f>IFERROR(ROUNDUP(H507*'Customer Base'!$J$5,2),0)</f>
        <v>6060.05</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1268</v>
      </c>
      <c r="D509" s="238">
        <f>IF(F509="",IF(G509&lt;&gt;"",ROUNDUP(G509*1.219/'Customer Base'!$J$5,1),""),ROUNDUP(F509*1.219,1))</f>
        <v>256</v>
      </c>
      <c r="E509" s="238">
        <f>IF(H509="",IF(I509&lt;&gt;"",ROUNDUP(I509*1.219/'Customer Base'!$J$5,1),""),ROUNDUP(H509*1.219,1))</f>
        <v>256</v>
      </c>
      <c r="F509" s="238">
        <f>'Customer Base'!$J$9*14</f>
        <v>210</v>
      </c>
      <c r="G509" s="238">
        <f>IFERROR(ROUNDUP(F509*'Customer Base'!$J$5,2),0)</f>
        <v>3360</v>
      </c>
      <c r="H509" s="238">
        <f>'Customer Base'!$J$9*14</f>
        <v>210</v>
      </c>
      <c r="I509" s="238">
        <f>IFERROR(ROUNDUP(H509*'Customer Base'!$J$5,2),0)</f>
        <v>3360</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1355</v>
      </c>
      <c r="D510" s="238">
        <f>IF(F510="",IF(G510&lt;&gt;"",ROUNDUP(G510*1.219/'Customer Base'!$J$5,1),""),ROUNDUP(F510*1.219,1))</f>
        <v>256</v>
      </c>
      <c r="E510" s="238">
        <f>IF(H510="",IF(I510&lt;&gt;"",ROUNDUP(I510*1.219/'Customer Base'!$J$5,1),""),ROUNDUP(H510*1.219,1))</f>
        <v>256</v>
      </c>
      <c r="F510" s="238">
        <f>'Customer Base'!$J$9*14</f>
        <v>210</v>
      </c>
      <c r="G510" s="238">
        <f>IFERROR(ROUNDUP(F510*'Customer Base'!$J$5,2),0)</f>
        <v>3360</v>
      </c>
      <c r="H510" s="238">
        <f>'Customer Base'!$J$9*14</f>
        <v>210</v>
      </c>
      <c r="I510" s="238">
        <f>IFERROR(ROUNDUP(H510*'Customer Base'!$J$5,2),0)</f>
        <v>3360</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1898</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1748</v>
      </c>
      <c r="D513" s="325">
        <v>309.60000000000002</v>
      </c>
      <c r="E513" s="325">
        <v>291.60000000000002</v>
      </c>
      <c r="F513" s="255">
        <f>$D513/1.219</f>
        <v>253.97867104183757</v>
      </c>
      <c r="G513" s="255">
        <f>IFERROR(ROUNDUP(F513*'Customer Base'!$J$5,2),0)</f>
        <v>4063.6600000000003</v>
      </c>
      <c r="H513" s="255">
        <f>$E513/1.219</f>
        <v>239.21246923707957</v>
      </c>
      <c r="I513" s="255">
        <f>IFERROR(ROUNDUP(H513*'Customer Base'!$J$5,2),0)</f>
        <v>3827.4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1749</v>
      </c>
      <c r="D514" s="325">
        <v>361.2</v>
      </c>
      <c r="E514" s="325">
        <v>340.2</v>
      </c>
      <c r="F514" s="255">
        <f t="shared" ref="F514:F526" si="88">$D514/1.219</f>
        <v>296.30844954881047</v>
      </c>
      <c r="G514" s="255">
        <f>IFERROR(ROUNDUP(F514*'Customer Base'!$J$5,2),0)</f>
        <v>4740.9400000000005</v>
      </c>
      <c r="H514" s="255">
        <f t="shared" ref="H514:H526" si="89">$E514/1.219</f>
        <v>279.08121410992612</v>
      </c>
      <c r="I514" s="255">
        <f>IFERROR(ROUNDUP(H514*'Customer Base'!$J$5,2),0)</f>
        <v>4465.3</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1750</v>
      </c>
      <c r="D515" s="325">
        <v>395.6</v>
      </c>
      <c r="E515" s="325">
        <v>372.6</v>
      </c>
      <c r="F515" s="255">
        <f t="shared" si="88"/>
        <v>324.52830188679246</v>
      </c>
      <c r="G515" s="255">
        <f>IFERROR(ROUNDUP(F515*'Customer Base'!$J$5,2),0)</f>
        <v>5192.46</v>
      </c>
      <c r="H515" s="255">
        <f t="shared" si="89"/>
        <v>305.66037735849056</v>
      </c>
      <c r="I515" s="255">
        <f>IFERROR(ROUNDUP(H515*'Customer Base'!$J$5,2),0)</f>
        <v>4890.5700000000006</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1751</v>
      </c>
      <c r="D516" s="325">
        <v>636.4</v>
      </c>
      <c r="E516" s="325">
        <v>599.4</v>
      </c>
      <c r="F516" s="255">
        <f t="shared" si="88"/>
        <v>522.06726825266605</v>
      </c>
      <c r="G516" s="255">
        <f>IFERROR(ROUNDUP(F516*'Customer Base'!$J$5,2),0)</f>
        <v>8353.08</v>
      </c>
      <c r="H516" s="255">
        <f t="shared" si="89"/>
        <v>491.71452009844131</v>
      </c>
      <c r="I516" s="255">
        <f>IFERROR(ROUNDUP(H516*'Customer Base'!$J$5,2),0)</f>
        <v>7867.4400000000005</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1752</v>
      </c>
      <c r="D517" s="325">
        <v>481.6</v>
      </c>
      <c r="E517" s="325">
        <v>453.6</v>
      </c>
      <c r="F517" s="255">
        <f t="shared" si="88"/>
        <v>395.07793273174735</v>
      </c>
      <c r="G517" s="255">
        <f>IFERROR(ROUNDUP(F517*'Customer Base'!$J$5,2),0)</f>
        <v>6321.25</v>
      </c>
      <c r="H517" s="255">
        <f t="shared" si="89"/>
        <v>372.10828547990155</v>
      </c>
      <c r="I517" s="255">
        <f>IFERROR(ROUNDUP(H517*'Customer Base'!$J$5,2),0)</f>
        <v>5953.74</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1753</v>
      </c>
      <c r="D518" s="325">
        <v>834.2</v>
      </c>
      <c r="E518" s="325">
        <v>785.7</v>
      </c>
      <c r="F518" s="255">
        <f t="shared" si="88"/>
        <v>684.33141919606237</v>
      </c>
      <c r="G518" s="255">
        <f>IFERROR(ROUNDUP(F518*'Customer Base'!$J$5,2),0)</f>
        <v>10949.31</v>
      </c>
      <c r="H518" s="255">
        <f t="shared" si="89"/>
        <v>644.54470877768665</v>
      </c>
      <c r="I518" s="255">
        <f>IFERROR(ROUNDUP(H518*'Customer Base'!$J$5,2),0)</f>
        <v>10312.719999999999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1754</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1743</v>
      </c>
      <c r="D522" s="325">
        <v>344</v>
      </c>
      <c r="E522" s="325">
        <v>324</v>
      </c>
      <c r="F522" s="255">
        <f t="shared" si="88"/>
        <v>282.19852337981951</v>
      </c>
      <c r="G522" s="255">
        <f>IFERROR(ROUNDUP(F522*'Customer Base'!$J$5,2),0)</f>
        <v>4515.18</v>
      </c>
      <c r="H522" s="255">
        <f t="shared" si="89"/>
        <v>265.79163248564396</v>
      </c>
      <c r="I522" s="255">
        <f>IFERROR(ROUNDUP(H522*'Customer Base'!$J$5,2),0)</f>
        <v>4252.67</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1744</v>
      </c>
      <c r="D523" s="325">
        <v>481.6</v>
      </c>
      <c r="E523" s="325">
        <v>453.6</v>
      </c>
      <c r="F523" s="255">
        <f t="shared" si="88"/>
        <v>395.07793273174735</v>
      </c>
      <c r="G523" s="255">
        <f>IFERROR(ROUNDUP(F523*'Customer Base'!$J$5,2),0)</f>
        <v>6321.25</v>
      </c>
      <c r="H523" s="255">
        <f t="shared" si="89"/>
        <v>372.10828547990155</v>
      </c>
      <c r="I523" s="255">
        <f>IFERROR(ROUNDUP(H523*'Customer Base'!$J$5,2),0)</f>
        <v>5953.74</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1745</v>
      </c>
      <c r="D524" s="325">
        <v>524.6</v>
      </c>
      <c r="E524" s="325">
        <v>494.1</v>
      </c>
      <c r="F524" s="255">
        <f t="shared" si="88"/>
        <v>430.35274815422474</v>
      </c>
      <c r="G524" s="255">
        <f>IFERROR(ROUNDUP(F524*'Customer Base'!$J$5,2),0)</f>
        <v>6885.6500000000005</v>
      </c>
      <c r="H524" s="255">
        <f t="shared" si="89"/>
        <v>405.33223954060702</v>
      </c>
      <c r="I524" s="255">
        <f>IFERROR(ROUNDUP(H524*'Customer Base'!$J$5,2),0)</f>
        <v>6485.3200000000006</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1746</v>
      </c>
      <c r="D525" s="325">
        <v>645</v>
      </c>
      <c r="E525" s="325">
        <v>607.5</v>
      </c>
      <c r="F525" s="255">
        <f t="shared" si="88"/>
        <v>529.12223133716157</v>
      </c>
      <c r="G525" s="255">
        <f>IFERROR(ROUNDUP(F525*'Customer Base'!$J$5,2),0)</f>
        <v>8465.9600000000009</v>
      </c>
      <c r="H525" s="255">
        <f t="shared" si="89"/>
        <v>498.35931091058239</v>
      </c>
      <c r="I525" s="255">
        <f>IFERROR(ROUNDUP(H525*'Customer Base'!$J$5,2),0)</f>
        <v>7973.75</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1747</v>
      </c>
      <c r="D526" s="325">
        <v>722.4</v>
      </c>
      <c r="E526" s="325">
        <v>680.4</v>
      </c>
      <c r="F526" s="255">
        <f t="shared" si="88"/>
        <v>592.61689909762094</v>
      </c>
      <c r="G526" s="255">
        <f>IFERROR(ROUNDUP(F526*'Customer Base'!$J$5,2),0)</f>
        <v>9481.880000000001</v>
      </c>
      <c r="H526" s="255">
        <f t="shared" si="89"/>
        <v>558.16242821985225</v>
      </c>
      <c r="I526" s="255">
        <f>IFERROR(ROUNDUP(H526*'Customer Base'!$J$5,2),0)</f>
        <v>8930.6</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1889</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1316</v>
      </c>
      <c r="D529" s="332">
        <v>127.118644</v>
      </c>
      <c r="E529" s="332">
        <v>127.118644</v>
      </c>
      <c r="F529" s="266">
        <f t="shared" ref="F529:F538" si="90">$D529/1.219</f>
        <v>104.28108613617719</v>
      </c>
      <c r="G529" s="266">
        <f>IFERROR(ROUNDUP(F529*'Customer Base'!$J$5,2),0)</f>
        <v>1668.5</v>
      </c>
      <c r="H529" s="266">
        <f t="shared" ref="H529:H538" si="91">$E529/1.219</f>
        <v>104.28108613617719</v>
      </c>
      <c r="I529" s="266">
        <f>IFERROR(ROUNDUP(H529*'Customer Base'!$J$5,2),0)</f>
        <v>1668.5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1317</v>
      </c>
      <c r="D530" s="332">
        <v>161.01694915249999</v>
      </c>
      <c r="E530" s="332">
        <v>161.01694915249999</v>
      </c>
      <c r="F530" s="266">
        <f t="shared" si="90"/>
        <v>132.08937584290399</v>
      </c>
      <c r="G530" s="266">
        <f>IFERROR(ROUNDUP(F530*'Customer Base'!$J$5,2),0)</f>
        <v>2113.44</v>
      </c>
      <c r="H530" s="266">
        <f t="shared" si="91"/>
        <v>132.08937584290399</v>
      </c>
      <c r="I530" s="266">
        <f>IFERROR(ROUNDUP(H530*'Customer Base'!$J$5,2),0)</f>
        <v>2113.44</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1318</v>
      </c>
      <c r="D531" s="332">
        <v>254.23728813549999</v>
      </c>
      <c r="E531" s="332">
        <v>254.23728813549999</v>
      </c>
      <c r="F531" s="266">
        <f t="shared" si="90"/>
        <v>208.56217238351107</v>
      </c>
      <c r="G531" s="266">
        <f>IFERROR(ROUNDUP(F531*'Customer Base'!$J$5,2),0)</f>
        <v>3337</v>
      </c>
      <c r="H531" s="266">
        <f t="shared" si="91"/>
        <v>208.56217238351107</v>
      </c>
      <c r="I531" s="266">
        <f>IFERROR(ROUNDUP(H531*'Customer Base'!$J$5,2),0)</f>
        <v>3337</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1319</v>
      </c>
      <c r="D532" s="332">
        <v>305.08474576269998</v>
      </c>
      <c r="E532" s="332">
        <v>305.08474576269998</v>
      </c>
      <c r="F532" s="266">
        <f t="shared" si="90"/>
        <v>250.27460686029528</v>
      </c>
      <c r="G532" s="266">
        <f>IFERROR(ROUNDUP(F532*'Customer Base'!$J$5,2),0)</f>
        <v>4004.4</v>
      </c>
      <c r="H532" s="266">
        <f t="shared" si="91"/>
        <v>250.27460686029528</v>
      </c>
      <c r="I532" s="266">
        <f>IFERROR(ROUNDUP(H532*'Customer Base'!$J$5,2),0)</f>
        <v>4004.4</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2327</v>
      </c>
      <c r="D534" s="332">
        <v>60.95</v>
      </c>
      <c r="E534" s="332">
        <v>60.95</v>
      </c>
      <c r="F534" s="266">
        <f t="shared" si="90"/>
        <v>50</v>
      </c>
      <c r="G534" s="266">
        <f>IFERROR(ROUNDUP(F534*'Customer Base'!$J$5,2),0)</f>
        <v>800</v>
      </c>
      <c r="H534" s="266">
        <f t="shared" si="91"/>
        <v>50</v>
      </c>
      <c r="I534" s="266">
        <f>IFERROR(ROUNDUP(H534*'Customer Base'!$J$5,2),0)</f>
        <v>800</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1312</v>
      </c>
      <c r="D535" s="332">
        <v>161.02000000000001</v>
      </c>
      <c r="E535" s="332">
        <v>161.02000000000001</v>
      </c>
      <c r="F535" s="266">
        <f t="shared" si="90"/>
        <v>132.09187858900739</v>
      </c>
      <c r="G535" s="266">
        <f>IFERROR(ROUNDUP(F535*'Customer Base'!$J$5,2),0)</f>
        <v>2113.48</v>
      </c>
      <c r="H535" s="266">
        <f t="shared" si="91"/>
        <v>132.09187858900739</v>
      </c>
      <c r="I535" s="266">
        <f>IFERROR(ROUNDUP(H535*'Customer Base'!$J$5,2),0)</f>
        <v>2113.48</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1313</v>
      </c>
      <c r="D536" s="332">
        <v>254.24</v>
      </c>
      <c r="E536" s="332">
        <v>254.24</v>
      </c>
      <c r="F536" s="266">
        <f t="shared" si="90"/>
        <v>208.56439704675964</v>
      </c>
      <c r="G536" s="266">
        <f>IFERROR(ROUNDUP(F536*'Customer Base'!$J$5,2),0)</f>
        <v>3337.0400000000004</v>
      </c>
      <c r="H536" s="266">
        <f t="shared" si="91"/>
        <v>208.56439704675964</v>
      </c>
      <c r="I536" s="266">
        <f>IFERROR(ROUNDUP(H536*'Customer Base'!$J$5,2),0)</f>
        <v>3337.0400000000004</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1314</v>
      </c>
      <c r="D537" s="332">
        <v>305.08</v>
      </c>
      <c r="E537" s="332">
        <v>305.08</v>
      </c>
      <c r="F537" s="266">
        <f t="shared" si="90"/>
        <v>250.27071369975386</v>
      </c>
      <c r="G537" s="266">
        <f>IFERROR(ROUNDUP(F537*'Customer Base'!$J$5,2),0)</f>
        <v>4004.34</v>
      </c>
      <c r="H537" s="266">
        <f t="shared" si="91"/>
        <v>250.27071369975386</v>
      </c>
      <c r="I537" s="266">
        <f>IFERROR(ROUNDUP(H537*'Customer Base'!$J$5,2),0)</f>
        <v>4004.34</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1315</v>
      </c>
      <c r="D538" s="332">
        <v>415.28</v>
      </c>
      <c r="E538" s="332">
        <v>415.28</v>
      </c>
      <c r="F538" s="266">
        <f t="shared" si="90"/>
        <v>340.67268252666116</v>
      </c>
      <c r="G538" s="266">
        <f>IFERROR(ROUNDUP(F538*'Customer Base'!$J$5,2),0)</f>
        <v>5450.77</v>
      </c>
      <c r="H538" s="266">
        <f t="shared" si="91"/>
        <v>340.67268252666116</v>
      </c>
      <c r="I538" s="266">
        <f>IFERROR(ROUNDUP(H538*'Customer Base'!$J$5,2),0)</f>
        <v>5450.77</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99.899999999999991</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1310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1888</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1615</v>
      </c>
      <c r="D544" s="330">
        <f>ROUNDUP('Customer Base'!J9*4,-2)</f>
        <v>100</v>
      </c>
      <c r="E544" s="330">
        <f>ROUNDUP('Customer Base'!J9*4,-2)</f>
        <v>100</v>
      </c>
      <c r="F544" s="263">
        <f t="shared" si="95"/>
        <v>82.034454470877762</v>
      </c>
      <c r="G544" s="263">
        <f>IFERROR(ROUNDUP(F544*'Customer Base'!$J$5,2),0)</f>
        <v>1312.56</v>
      </c>
      <c r="H544" s="263">
        <f t="shared" si="96"/>
        <v>82.034454470877762</v>
      </c>
      <c r="I544" s="263">
        <f>IFERROR(ROUNDUP(H544*'Customer Base'!$J$5,2),0)</f>
        <v>1312.56</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262.52</v>
      </c>
      <c r="H546" s="263">
        <f>$E546/1.219</f>
        <v>16.406890894175554</v>
      </c>
      <c r="I546" s="263">
        <f>IFERROR(ROUNDUP(H546*'Customer Base'!$J$5,2),0)</f>
        <v>262.52</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1221</v>
      </c>
      <c r="D547" s="330">
        <v>43.75</v>
      </c>
      <c r="E547" s="330">
        <v>43.75</v>
      </c>
      <c r="F547" s="263">
        <f>$D547/1.219</f>
        <v>35.890073831009019</v>
      </c>
      <c r="G547" s="263">
        <f>IFERROR(ROUNDUP(F547*'Customer Base'!$J$5,2),0)</f>
        <v>574.25</v>
      </c>
      <c r="H547" s="263">
        <f>$E547/1.219</f>
        <v>35.890073831009019</v>
      </c>
      <c r="I547" s="263">
        <f>IFERROR(ROUNDUP(H547*'Customer Base'!$J$5,2),0)</f>
        <v>574.25</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1887</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1525</v>
      </c>
      <c r="D550" s="333">
        <f>F550*1.219</f>
        <v>282.36611250000004</v>
      </c>
      <c r="E550" s="333">
        <f>H550*1.219</f>
        <v>262.82401875000005</v>
      </c>
      <c r="F550" s="249">
        <f>(IF(ISNA(VLOOKUP(INVOICE!$C$13,Items!$K$6:$L$56,2,0)),0,ROUNDUP(VLOOKUP(INVOICE!$C$13,Items!$K$6:$L$56,2,0),0))+(0.25%*ROUNDUP(SUMPRODUCT($B$242:$B$254,F$242:F$254),-1)*'Customer Base'!J9/10))*(IF('Customer Base'!J9&lt;10,1,'Customer Base'!J9/10))</f>
        <v>231.63750000000002</v>
      </c>
      <c r="G550" s="249">
        <f>IFERROR(ROUNDUP(F550*'Customer Base'!$J$5,0),0)</f>
        <v>3707</v>
      </c>
      <c r="H550" s="249">
        <f>(IF(ISNA(VLOOKUP(INVOICE!$C$13,Items!$K$6:$L$56,2,0)),0,ROUNDUP(VLOOKUP(INVOICE!$C$13,Items!$K$6:$L$56,2,0),0))+(0.25%*ROUNDUP(SUMPRODUCT($B$242:$B$254,H$242:H$254),-1)*'Customer Base'!J9/10))*(IF('Customer Base'!J9&lt;10,1,'Customer Base'!J9/10))</f>
        <v>215.60625000000002</v>
      </c>
      <c r="I550" s="249">
        <f>IFERROR(ROUNDUP(H550*'Customer Base'!$J$5,0),0)</f>
        <v>3450</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1301</v>
      </c>
      <c r="D551" s="333">
        <f>F551*1.219</f>
        <v>188.24407500000004</v>
      </c>
      <c r="E551" s="333">
        <f>H551*1.219</f>
        <v>175.21601250000003</v>
      </c>
      <c r="F551" s="249">
        <f>IF(ISNA(VLOOKUP(INVOICE!$C$13,Items!$K$6:$L$56,2,0)),0,ROUNDUP(VLOOKUP(INVOICE!$C$13,Items!$K$6:$L$56,2,0),0))+0.25%*ROUNDUP(SUMPRODUCT($B$242:$B$254,F$242:F$254),-1)*'Customer Base'!J9/10</f>
        <v>154.42500000000001</v>
      </c>
      <c r="G551" s="249">
        <f>IFERROR(ROUNDUP(F551*'Customer Base'!$J$5,0),0)</f>
        <v>2471</v>
      </c>
      <c r="H551" s="249">
        <f>IF(ISNA(VLOOKUP(INVOICE!$C$13,Items!$K$6:$L$56,2,0)),0,ROUNDUP(VLOOKUP(INVOICE!$C$13,Items!$K$6:$L$56,2,0),0))+0.25%*ROUNDUP(SUMPRODUCT($B$242:$B$254,H$242:H$254),-1)*'Customer Base'!J9/10</f>
        <v>143.73750000000001</v>
      </c>
      <c r="I551" s="249">
        <f>IFERROR(ROUNDUP(H551*'Customer Base'!$J$5,0),0)</f>
        <v>2300</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282.36611250000004</v>
      </c>
      <c r="E553" s="333">
        <f>H553*1.219</f>
        <v>262.82401875000005</v>
      </c>
      <c r="F553" s="268">
        <f>F550+F552</f>
        <v>231.63750000000002</v>
      </c>
      <c r="G553" s="249">
        <f>IFERROR(ROUNDUP(F553*'Customer Base'!$J$5,2),0)</f>
        <v>3706.2</v>
      </c>
      <c r="H553" s="268">
        <f>H550+H552</f>
        <v>215.60625000000002</v>
      </c>
      <c r="I553" s="249">
        <f>IFERROR(ROUNDUP(H553*'Customer Base'!$J$5,2),0)</f>
        <v>3449.7</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1594</v>
      </c>
      <c r="D554" s="321">
        <f>'Customer Base'!J9/35</f>
        <v>0.42857142857142855</v>
      </c>
      <c r="E554" s="321">
        <f>'Customer Base'!J9/35</f>
        <v>0.42857142857142855</v>
      </c>
      <c r="F554" s="249">
        <f t="shared" ref="F554" si="98">$D554/1.219</f>
        <v>0.35157623344661898</v>
      </c>
      <c r="G554" s="249">
        <f>IFERROR(ROUNDUP(F554*'Customer Base'!$J$5,2),0)</f>
        <v>5.63</v>
      </c>
      <c r="H554" s="249">
        <f t="shared" ref="H554" si="99">$E554/1.219</f>
        <v>0.35157623344661898</v>
      </c>
      <c r="I554" s="249">
        <f>IFERROR(ROUNDUP(H554*'Customer Base'!$J$5,2),0)</f>
        <v>5.63</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1676</v>
      </c>
      <c r="D556" s="321">
        <f ca="1">IF(F556="",IF(G556&lt;&gt;"",ROUNDUP(G556*1.219/'Customer Base'!$J$5,1),""),ROUNDUP(F556*1.219,1))</f>
        <v>366.5</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4810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1526</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1738</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2" priority="8" stopIfTrue="1" operator="equal">
      <formula>0</formula>
    </cfRule>
    <cfRule type="cellIs" dxfId="61" priority="12" operator="greaterThan">
      <formula>0</formula>
    </cfRule>
  </conditionalFormatting>
  <conditionalFormatting sqref="G1 N1:O4 Q15:AL20 H561:J1048576">
    <cfRule type="cellIs" dxfId="60" priority="21" operator="equal">
      <formula>0</formula>
    </cfRule>
  </conditionalFormatting>
  <conditionalFormatting sqref="H555:I560">
    <cfRule type="cellIs" dxfId="59" priority="3" operator="equal">
      <formula>0</formula>
    </cfRule>
  </conditionalFormatting>
  <conditionalFormatting sqref="P6:V7 AC6:AL14 N6:N686 Q8:V14 P8:P22 Q15:AK23 P24:AK35 AC26:AL34 P28:P42 Q35:AL43">
    <cfRule type="cellIs" dxfId="58"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7" priority="11" operator="equal">
      <formula>0</formula>
    </cfRule>
  </conditionalFormatting>
  <conditionalFormatting sqref="BA6:BC53">
    <cfRule type="cellIs" dxfId="56"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798"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2500</v>
      </c>
      <c r="C1" s="207" t="s">
        <v>2501</v>
      </c>
      <c r="D1" s="207" t="s">
        <v>2502</v>
      </c>
      <c r="E1" s="207" t="s">
        <v>2503</v>
      </c>
      <c r="F1" s="205" t="s">
        <v>2504</v>
      </c>
      <c r="G1" s="208" t="s">
        <v>2505</v>
      </c>
      <c r="H1" s="207" t="s">
        <v>2506</v>
      </c>
      <c r="N1" s="209">
        <f>IF('Customer Base'!D7&lt;&gt;"Mini-Grid",SUM(Items!A242:A254),ROUND(SUM(Items!A242:A254)-('Customer Base'!K11*('Customer Base'!F14*'Customer Base'!F15)/('Customer Base'!D26/1000)),0))</f>
        <v>25</v>
      </c>
      <c r="O1" s="209">
        <f>IF(MOD($N$1,ROW())=0,ROW(),"")</f>
        <v>1</v>
      </c>
      <c r="P1" s="209">
        <f>IFERROR(LARGE(O$1:O$200, ROW()), "")</f>
        <v>25</v>
      </c>
      <c r="Q1" s="209" t="str" cm="1">
        <f t="array" ref="Q1">SUBSTITUTE(TRIM(_xlfn.CONCAT(P1:P100 &amp; " ")), " ", ", ")</f>
        <v>25, 5, 1</v>
      </c>
    </row>
    <row r="2" spans="2:21" ht="17">
      <c r="B2" s="206" t="s">
        <v>847</v>
      </c>
      <c r="C2" s="207" t="s">
        <v>2650</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t="str">
        <f t="shared" ref="O2:O65" si="0">IF(MOD($N$1,ROW())=0,ROW(),"")</f>
        <v/>
      </c>
      <c r="P2" s="209">
        <f t="shared" ref="P2:P11" si="1">IFERROR(LARGE(O$1:O$100, ROW()), "")</f>
        <v>5</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v>
      </c>
      <c r="U3" s="209">
        <f t="shared" si="2"/>
        <v>3</v>
      </c>
    </row>
    <row r="4" spans="2:21" ht="17">
      <c r="B4" s="206" t="s">
        <v>31</v>
      </c>
      <c r="C4" s="207" t="s">
        <v>32</v>
      </c>
      <c r="D4" s="207" t="s">
        <v>216</v>
      </c>
      <c r="E4" s="210" t="s">
        <v>33</v>
      </c>
      <c r="F4" s="102" t="str">
        <f t="shared" si="3"/>
        <v>DTA</v>
      </c>
      <c r="I4" s="209" t="s">
        <v>851</v>
      </c>
      <c r="J4" s="209">
        <v>5555</v>
      </c>
      <c r="O4" s="209" t="str">
        <f t="shared" si="0"/>
        <v/>
      </c>
      <c r="P4" s="209" t="str">
        <f t="shared" si="1"/>
        <v/>
      </c>
      <c r="U4" s="209">
        <f t="shared" si="2"/>
        <v>4</v>
      </c>
    </row>
    <row r="5" spans="2:21" ht="17">
      <c r="B5" s="206" t="s">
        <v>34</v>
      </c>
      <c r="C5" s="207" t="s">
        <v>35</v>
      </c>
      <c r="D5" s="207" t="s">
        <v>35</v>
      </c>
      <c r="E5" s="210">
        <v>0</v>
      </c>
      <c r="F5" s="102" t="str">
        <f t="shared" si="3"/>
        <v>RS</v>
      </c>
      <c r="I5" s="209" t="s">
        <v>852</v>
      </c>
      <c r="J5" s="209">
        <v>1980</v>
      </c>
      <c r="O5" s="209">
        <f t="shared" si="0"/>
        <v>5</v>
      </c>
      <c r="P5" s="209" t="str">
        <f t="shared" si="1"/>
        <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1543</v>
      </c>
      <c r="F11" s="102" t="str">
        <f t="shared" si="3"/>
        <v>IC</v>
      </c>
      <c r="G11" s="208" t="s">
        <v>1542</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f t="shared" si="0"/>
        <v>25</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1616</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1770</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1865</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2405</v>
      </c>
      <c r="C115" s="207" t="s">
        <v>1872</v>
      </c>
      <c r="D115" s="207" t="s">
        <v>35</v>
      </c>
      <c r="E115" s="210" t="s">
        <v>2352</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1508</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2401</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1566</v>
      </c>
      <c r="C182" s="207" t="s">
        <v>1559</v>
      </c>
      <c r="D182" s="207" t="s">
        <v>216</v>
      </c>
      <c r="E182" s="210" t="s">
        <v>1560</v>
      </c>
      <c r="F182" s="102" t="str">
        <f t="shared" si="13"/>
        <v>TPGL</v>
      </c>
      <c r="G182" s="208" t="s">
        <v>1194</v>
      </c>
      <c r="O182" s="209" t="str">
        <f t="shared" si="11"/>
        <v/>
      </c>
      <c r="P182" s="209" t="str">
        <f t="shared" si="14"/>
        <v/>
      </c>
      <c r="U182" s="209">
        <f t="shared" si="12"/>
        <v>182</v>
      </c>
    </row>
    <row r="183" spans="2:21" ht="17">
      <c r="B183" s="206" t="s">
        <v>1565</v>
      </c>
      <c r="C183" s="207" t="s">
        <v>1561</v>
      </c>
      <c r="D183" s="207" t="s">
        <v>1092</v>
      </c>
      <c r="E183" s="210" t="s">
        <v>1560</v>
      </c>
      <c r="F183" s="102" t="str">
        <f t="shared" si="13"/>
        <v>TPGL</v>
      </c>
      <c r="G183" s="208" t="s">
        <v>1194</v>
      </c>
      <c r="O183" s="209" t="str">
        <f t="shared" si="11"/>
        <v/>
      </c>
      <c r="P183" s="209" t="str">
        <f t="shared" si="14"/>
        <v/>
      </c>
      <c r="U183" s="209">
        <f t="shared" si="12"/>
        <v>183</v>
      </c>
    </row>
    <row r="184" spans="2:21" ht="17">
      <c r="B184" s="206" t="s">
        <v>1564</v>
      </c>
      <c r="C184" s="207" t="s">
        <v>1563</v>
      </c>
      <c r="D184" s="207" t="s">
        <v>1092</v>
      </c>
      <c r="E184" s="210" t="s">
        <v>1562</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1271</v>
      </c>
      <c r="F186" s="102" t="str">
        <f t="shared" si="13"/>
        <v>TPGL</v>
      </c>
      <c r="G186" s="208" t="s">
        <v>1272</v>
      </c>
      <c r="O186" s="209" t="str">
        <f t="shared" si="11"/>
        <v/>
      </c>
      <c r="P186" s="209" t="str">
        <f t="shared" si="14"/>
        <v/>
      </c>
      <c r="U186" s="209">
        <f t="shared" si="12"/>
        <v>186</v>
      </c>
    </row>
    <row r="187" spans="2:21" ht="17">
      <c r="B187" s="206" t="s">
        <v>795</v>
      </c>
      <c r="C187" s="207" t="s">
        <v>796</v>
      </c>
      <c r="D187" s="207" t="s">
        <v>35</v>
      </c>
      <c r="E187" s="210" t="s">
        <v>1271</v>
      </c>
      <c r="F187" s="102" t="str">
        <f t="shared" si="13"/>
        <v>TPGL</v>
      </c>
      <c r="G187" s="208" t="s">
        <v>1272</v>
      </c>
      <c r="O187" s="209" t="str">
        <f t="shared" si="11"/>
        <v/>
      </c>
      <c r="P187" s="209" t="str">
        <f t="shared" si="14"/>
        <v/>
      </c>
      <c r="U187" s="209">
        <f t="shared" si="12"/>
        <v>187</v>
      </c>
    </row>
    <row r="188" spans="2:21" ht="17">
      <c r="B188" s="206" t="s">
        <v>1259</v>
      </c>
      <c r="C188" s="207" t="s">
        <v>1260</v>
      </c>
      <c r="D188" s="207" t="s">
        <v>51</v>
      </c>
      <c r="E188" s="210" t="s">
        <v>1271</v>
      </c>
      <c r="F188" s="102" t="str">
        <f t="shared" si="13"/>
        <v>TPGL</v>
      </c>
      <c r="G188" s="208" t="s">
        <v>1272</v>
      </c>
      <c r="O188" s="209" t="str">
        <f t="shared" si="11"/>
        <v/>
      </c>
      <c r="P188" s="209" t="str">
        <f t="shared" si="14"/>
        <v/>
      </c>
      <c r="U188" s="209">
        <f t="shared" si="12"/>
        <v>188</v>
      </c>
    </row>
    <row r="189" spans="2:21" ht="17">
      <c r="B189" s="206" t="s">
        <v>1261</v>
      </c>
      <c r="C189" s="207" t="s">
        <v>1262</v>
      </c>
      <c r="D189" s="207" t="s">
        <v>51</v>
      </c>
      <c r="E189" s="210" t="s">
        <v>1271</v>
      </c>
      <c r="F189" s="102" t="str">
        <f t="shared" si="13"/>
        <v>TPGL</v>
      </c>
      <c r="G189" s="208" t="s">
        <v>1272</v>
      </c>
      <c r="O189" s="209" t="str">
        <f t="shared" si="11"/>
        <v/>
      </c>
      <c r="P189" s="209" t="str">
        <f t="shared" si="14"/>
        <v/>
      </c>
      <c r="U189" s="209">
        <f t="shared" si="12"/>
        <v>189</v>
      </c>
    </row>
    <row r="190" spans="2:21" ht="17">
      <c r="B190" s="206" t="s">
        <v>1263</v>
      </c>
      <c r="C190" s="207" t="s">
        <v>1264</v>
      </c>
      <c r="D190" s="207" t="s">
        <v>216</v>
      </c>
      <c r="E190" s="210" t="s">
        <v>1271</v>
      </c>
      <c r="F190" s="102" t="str">
        <f t="shared" si="13"/>
        <v>TPGL</v>
      </c>
      <c r="G190" s="208" t="s">
        <v>1272</v>
      </c>
      <c r="O190" s="209" t="str">
        <f t="shared" si="11"/>
        <v/>
      </c>
      <c r="P190" s="209" t="str">
        <f t="shared" si="14"/>
        <v/>
      </c>
      <c r="U190" s="209">
        <f t="shared" si="12"/>
        <v>190</v>
      </c>
    </row>
    <row r="191" spans="2:21" ht="17">
      <c r="B191" s="206" t="s">
        <v>1278</v>
      </c>
      <c r="C191" s="207" t="s">
        <v>564</v>
      </c>
      <c r="D191" s="207" t="s">
        <v>216</v>
      </c>
      <c r="E191" s="210" t="s">
        <v>1271</v>
      </c>
      <c r="F191" s="102" t="str">
        <f t="shared" si="13"/>
        <v>TPGL</v>
      </c>
      <c r="G191" s="208" t="s">
        <v>1272</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1768</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1324</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1299</v>
      </c>
      <c r="C217" s="207" t="s">
        <v>466</v>
      </c>
      <c r="D217" s="207" t="s">
        <v>216</v>
      </c>
      <c r="E217" s="210" t="s">
        <v>467</v>
      </c>
      <c r="F217" s="102" t="str">
        <f t="shared" si="17"/>
        <v>SO-A</v>
      </c>
    </row>
    <row r="218" spans="2:6" ht="17">
      <c r="B218" s="206" t="s">
        <v>1298</v>
      </c>
      <c r="C218" s="207" t="s">
        <v>1300</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2687</v>
      </c>
      <c r="F234" s="102" t="str">
        <f t="shared" si="17"/>
        <v>DPGL</v>
      </c>
      <c r="G234" s="208" t="s">
        <v>2688</v>
      </c>
    </row>
    <row r="235" spans="2:7" ht="34">
      <c r="B235" s="206" t="s">
        <v>964</v>
      </c>
      <c r="C235" s="207" t="s">
        <v>965</v>
      </c>
      <c r="D235" s="207" t="s">
        <v>216</v>
      </c>
      <c r="E235" s="210" t="s">
        <v>503</v>
      </c>
      <c r="F235" s="102" t="str">
        <f t="shared" si="17"/>
        <v>DPGL</v>
      </c>
      <c r="G235" s="208" t="s">
        <v>1556</v>
      </c>
    </row>
    <row r="236" spans="2:7" ht="34">
      <c r="B236" s="206" t="s">
        <v>964</v>
      </c>
      <c r="C236" s="207" t="s">
        <v>965</v>
      </c>
      <c r="D236" s="207" t="s">
        <v>216</v>
      </c>
      <c r="E236" s="210" t="s">
        <v>1586</v>
      </c>
      <c r="F236" s="102" t="str">
        <f t="shared" si="17"/>
        <v>DPGL</v>
      </c>
      <c r="G236" s="208" t="s">
        <v>1585</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1366</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1536</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1282</v>
      </c>
      <c r="C361" s="207" t="s">
        <v>216</v>
      </c>
      <c r="D361" s="207" t="s">
        <v>216</v>
      </c>
      <c r="E361" s="210" t="s">
        <v>309</v>
      </c>
      <c r="F361" s="102" t="str">
        <f t="shared" si="19"/>
        <v>SSE</v>
      </c>
      <c r="G361" s="208" t="s">
        <v>1352</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1545</v>
      </c>
      <c r="F368" s="102" t="str">
        <f t="shared" si="19"/>
        <v>BS</v>
      </c>
      <c r="G368" s="208" t="s">
        <v>1550</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1687</v>
      </c>
      <c r="F402" s="102" t="str">
        <f t="shared" si="20"/>
        <v>SF</v>
      </c>
      <c r="G402" s="208" t="s">
        <v>1686</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1695</v>
      </c>
      <c r="C412" s="207" t="s">
        <v>409</v>
      </c>
      <c r="D412" s="207" t="s">
        <v>216</v>
      </c>
      <c r="E412" s="210" t="s">
        <v>949</v>
      </c>
      <c r="F412" s="102" t="str">
        <f t="shared" si="20"/>
        <v>IA</v>
      </c>
      <c r="G412" s="208" t="s">
        <v>1696</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1337</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1692</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1213</v>
      </c>
      <c r="C447" s="207" t="s">
        <v>809</v>
      </c>
      <c r="D447" s="207" t="s">
        <v>216</v>
      </c>
      <c r="E447" s="207" t="s">
        <v>216</v>
      </c>
      <c r="F447" s="102" t="str">
        <f t="shared" si="20"/>
        <v>CH2</v>
      </c>
    </row>
    <row r="448" spans="2:7" ht="34">
      <c r="B448" s="206" t="s">
        <v>1217</v>
      </c>
      <c r="C448" s="207" t="s">
        <v>1218</v>
      </c>
      <c r="D448" s="207" t="s">
        <v>1499</v>
      </c>
      <c r="E448" s="210" t="s">
        <v>1219</v>
      </c>
      <c r="F448" s="102" t="str">
        <f t="shared" si="20"/>
        <v>EEFT</v>
      </c>
    </row>
    <row r="449" spans="2:7" ht="17">
      <c r="B449" s="206" t="s">
        <v>1222</v>
      </c>
      <c r="C449" s="207" t="s">
        <v>120</v>
      </c>
      <c r="D449" s="207" t="s">
        <v>216</v>
      </c>
      <c r="E449" s="210" t="s">
        <v>1223</v>
      </c>
      <c r="F449" s="102" t="str">
        <f t="shared" si="20"/>
        <v>CCBC</v>
      </c>
    </row>
    <row r="450" spans="2:7" ht="17">
      <c r="B450" s="206" t="s">
        <v>1226</v>
      </c>
      <c r="C450" s="207" t="s">
        <v>32</v>
      </c>
      <c r="D450" s="207" t="s">
        <v>216</v>
      </c>
      <c r="E450" s="210" t="s">
        <v>1227</v>
      </c>
      <c r="F450" s="102" t="str">
        <f t="shared" si="20"/>
        <v>DMCL</v>
      </c>
    </row>
    <row r="451" spans="2:7" ht="17">
      <c r="B451" s="206" t="s">
        <v>1231</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2416</v>
      </c>
      <c r="C452" s="207" t="s">
        <v>72</v>
      </c>
      <c r="D452" s="207" t="s">
        <v>216</v>
      </c>
      <c r="F452" s="102" t="str">
        <f t="shared" si="21"/>
        <v>AS-A</v>
      </c>
    </row>
    <row r="453" spans="2:7" ht="17">
      <c r="B453" s="206" t="s">
        <v>2417</v>
      </c>
      <c r="C453" s="207" t="s">
        <v>72</v>
      </c>
      <c r="D453" s="207" t="s">
        <v>216</v>
      </c>
      <c r="F453" s="102" t="str">
        <f t="shared" si="21"/>
        <v>AS-R</v>
      </c>
    </row>
    <row r="454" spans="2:7" ht="17">
      <c r="B454" s="206" t="s">
        <v>1234</v>
      </c>
      <c r="C454" s="207" t="s">
        <v>57</v>
      </c>
      <c r="D454" s="207" t="s">
        <v>954</v>
      </c>
      <c r="E454" s="210" t="s">
        <v>1235</v>
      </c>
      <c r="F454" s="102" t="str">
        <f t="shared" si="21"/>
        <v>MMG</v>
      </c>
    </row>
    <row r="455" spans="2:7" ht="17">
      <c r="B455" s="206" t="s">
        <v>1236</v>
      </c>
      <c r="C455" s="207" t="s">
        <v>1237</v>
      </c>
      <c r="D455" s="207" t="s">
        <v>216</v>
      </c>
      <c r="E455" s="210" t="s">
        <v>1238</v>
      </c>
      <c r="F455" s="102" t="str">
        <f t="shared" si="21"/>
        <v>DA</v>
      </c>
    </row>
    <row r="456" spans="2:7" ht="17">
      <c r="B456" s="206" t="s">
        <v>1240</v>
      </c>
      <c r="C456" s="207" t="s">
        <v>823</v>
      </c>
      <c r="D456" s="207" t="s">
        <v>216</v>
      </c>
      <c r="E456" s="210" t="s">
        <v>1241</v>
      </c>
      <c r="F456" s="102" t="str">
        <f t="shared" si="21"/>
        <v>HCL</v>
      </c>
    </row>
    <row r="457" spans="2:7" ht="17">
      <c r="B457" s="206" t="s">
        <v>1244</v>
      </c>
      <c r="C457" s="207" t="s">
        <v>216</v>
      </c>
      <c r="D457" s="207" t="s">
        <v>216</v>
      </c>
      <c r="E457" s="210" t="s">
        <v>1245</v>
      </c>
      <c r="F457" s="102" t="str">
        <f t="shared" si="21"/>
        <v>SI</v>
      </c>
      <c r="G457" s="208" t="s">
        <v>1246</v>
      </c>
    </row>
    <row r="458" spans="2:7" ht="34">
      <c r="B458" s="206" t="s">
        <v>1253</v>
      </c>
      <c r="C458" s="207" t="s">
        <v>1254</v>
      </c>
      <c r="D458" s="207" t="s">
        <v>1254</v>
      </c>
      <c r="E458" s="210" t="s">
        <v>1256</v>
      </c>
      <c r="F458" s="102" t="str">
        <f t="shared" si="21"/>
        <v>AAP</v>
      </c>
    </row>
    <row r="459" spans="2:7" ht="17">
      <c r="B459" s="206" t="s">
        <v>1257</v>
      </c>
      <c r="C459" s="207" t="s">
        <v>746</v>
      </c>
      <c r="D459" s="207" t="s">
        <v>35</v>
      </c>
      <c r="E459" s="210" t="s">
        <v>1258</v>
      </c>
      <c r="F459" s="102" t="str">
        <f t="shared" si="21"/>
        <v>EM</v>
      </c>
    </row>
    <row r="460" spans="2:7" ht="17">
      <c r="B460" s="206" t="s">
        <v>1274</v>
      </c>
      <c r="C460" s="207" t="s">
        <v>51</v>
      </c>
      <c r="D460" s="207" t="s">
        <v>51</v>
      </c>
      <c r="E460" s="210" t="s">
        <v>1275</v>
      </c>
      <c r="F460" s="102" t="str">
        <f t="shared" si="21"/>
        <v>CGEC</v>
      </c>
    </row>
    <row r="461" spans="2:7" ht="17">
      <c r="B461" s="206" t="s">
        <v>1281</v>
      </c>
      <c r="C461" s="207" t="s">
        <v>216</v>
      </c>
      <c r="D461" s="207" t="s">
        <v>216</v>
      </c>
      <c r="F461" s="102" t="str">
        <f t="shared" si="21"/>
        <v>NAO</v>
      </c>
    </row>
    <row r="462" spans="2:7" ht="17">
      <c r="B462" s="206" t="s">
        <v>1283</v>
      </c>
      <c r="C462" s="207" t="s">
        <v>86</v>
      </c>
      <c r="D462" s="207" t="s">
        <v>216</v>
      </c>
      <c r="F462" s="102" t="str">
        <f t="shared" si="21"/>
        <v>KO</v>
      </c>
    </row>
    <row r="463" spans="2:7" ht="17">
      <c r="B463" s="206" t="s">
        <v>1284</v>
      </c>
      <c r="C463" s="207" t="s">
        <v>1285</v>
      </c>
      <c r="D463" s="207" t="s">
        <v>216</v>
      </c>
      <c r="E463" s="210" t="s">
        <v>1286</v>
      </c>
      <c r="F463" s="102" t="str">
        <f t="shared" si="21"/>
        <v>SA</v>
      </c>
    </row>
    <row r="464" spans="2:7" ht="17">
      <c r="B464" s="206" t="s">
        <v>1287</v>
      </c>
      <c r="C464" s="207" t="s">
        <v>1289</v>
      </c>
      <c r="D464" s="207" t="s">
        <v>960</v>
      </c>
      <c r="E464" s="210" t="s">
        <v>1288</v>
      </c>
      <c r="F464" s="102" t="str">
        <f t="shared" si="21"/>
        <v>AVTI</v>
      </c>
      <c r="G464" s="208" t="s">
        <v>629</v>
      </c>
    </row>
    <row r="465" spans="2:250" ht="34">
      <c r="B465" s="206" t="s">
        <v>1290</v>
      </c>
      <c r="C465" s="207" t="s">
        <v>352</v>
      </c>
      <c r="D465" s="207" t="s">
        <v>216</v>
      </c>
      <c r="E465" s="210" t="s">
        <v>1291</v>
      </c>
      <c r="F465" s="102" t="str">
        <f t="shared" si="21"/>
        <v>PK</v>
      </c>
    </row>
    <row r="466" spans="2:250" ht="17">
      <c r="B466" s="206" t="s">
        <v>1292</v>
      </c>
      <c r="C466" s="207" t="s">
        <v>216</v>
      </c>
      <c r="D466" s="207" t="s">
        <v>216</v>
      </c>
      <c r="F466" s="102" t="str">
        <f t="shared" si="21"/>
        <v>1SS</v>
      </c>
    </row>
    <row r="467" spans="2:250" ht="17">
      <c r="B467" s="206" t="s">
        <v>1294</v>
      </c>
      <c r="C467" s="207" t="s">
        <v>1295</v>
      </c>
      <c r="D467" s="207" t="s">
        <v>35</v>
      </c>
      <c r="E467" s="210" t="s">
        <v>731</v>
      </c>
      <c r="F467" s="102" t="str">
        <f t="shared" si="21"/>
        <v>E-IC</v>
      </c>
    </row>
    <row r="468" spans="2:250" ht="17">
      <c r="B468" s="206" t="s">
        <v>1587</v>
      </c>
      <c r="C468" s="207" t="s">
        <v>29</v>
      </c>
      <c r="D468" s="207" t="s">
        <v>216</v>
      </c>
      <c r="E468" s="210" t="s">
        <v>1302</v>
      </c>
      <c r="F468" s="102" t="str">
        <f t="shared" si="21"/>
        <v>ES-K</v>
      </c>
    </row>
    <row r="469" spans="2:250" ht="17">
      <c r="B469" s="206" t="s">
        <v>1588</v>
      </c>
      <c r="C469" s="207" t="s">
        <v>32</v>
      </c>
      <c r="D469" s="207" t="s">
        <v>216</v>
      </c>
      <c r="E469" s="210" t="s">
        <v>1302</v>
      </c>
      <c r="F469" s="102" t="str">
        <f t="shared" si="21"/>
        <v>ES-E</v>
      </c>
    </row>
    <row r="470" spans="2:250" ht="17">
      <c r="B470" s="206" t="s">
        <v>1303</v>
      </c>
      <c r="C470" s="207" t="s">
        <v>1304</v>
      </c>
      <c r="D470" s="207" t="s">
        <v>216</v>
      </c>
      <c r="E470" s="210" t="s">
        <v>1305</v>
      </c>
      <c r="F470" s="102" t="str">
        <f t="shared" si="21"/>
        <v>KA</v>
      </c>
    </row>
    <row r="471" spans="2:250" ht="17">
      <c r="B471" s="206" t="s">
        <v>1306</v>
      </c>
      <c r="C471" s="207" t="s">
        <v>69</v>
      </c>
      <c r="D471" s="207" t="s">
        <v>216</v>
      </c>
      <c r="E471" s="210" t="s">
        <v>1307</v>
      </c>
      <c r="F471" s="102" t="str">
        <f t="shared" si="21"/>
        <v>G-GH</v>
      </c>
    </row>
    <row r="472" spans="2:250" ht="17">
      <c r="B472" s="206" t="s">
        <v>1308</v>
      </c>
      <c r="C472" s="207" t="s">
        <v>446</v>
      </c>
      <c r="D472" s="207" t="s">
        <v>216</v>
      </c>
      <c r="E472" s="210" t="s">
        <v>1309</v>
      </c>
      <c r="F472" s="102" t="str">
        <f t="shared" si="21"/>
        <v>ELS</v>
      </c>
    </row>
    <row r="473" spans="2:250" ht="80">
      <c r="B473" s="206" t="s">
        <v>1311</v>
      </c>
      <c r="C473" s="207" t="s">
        <v>42</v>
      </c>
      <c r="D473" s="207" t="s">
        <v>956</v>
      </c>
      <c r="F473" s="102" t="str">
        <f t="shared" si="21"/>
        <v>AR</v>
      </c>
      <c r="EC473" s="312" t="s">
        <v>2692</v>
      </c>
      <c r="ED473" s="312" t="s">
        <v>2693</v>
      </c>
      <c r="EE473" s="312" t="s">
        <v>2694</v>
      </c>
      <c r="EF473" s="312" t="s">
        <v>2695</v>
      </c>
      <c r="EG473" s="312" t="s">
        <v>2776</v>
      </c>
      <c r="EH473" s="353" t="s">
        <v>2777</v>
      </c>
      <c r="IK473" s="312" t="s">
        <v>2692</v>
      </c>
      <c r="IL473" s="312" t="s">
        <v>2693</v>
      </c>
      <c r="IM473" s="312" t="s">
        <v>2694</v>
      </c>
      <c r="IN473" s="312" t="s">
        <v>2695</v>
      </c>
      <c r="IO473" s="312" t="s">
        <v>2776</v>
      </c>
      <c r="IP473" s="312" t="s">
        <v>2777</v>
      </c>
    </row>
    <row r="474" spans="2:250" ht="17">
      <c r="B474" s="206" t="s">
        <v>1320</v>
      </c>
      <c r="C474" s="207" t="s">
        <v>1321</v>
      </c>
      <c r="D474" s="207" t="s">
        <v>216</v>
      </c>
      <c r="E474" s="210" t="s">
        <v>1322</v>
      </c>
      <c r="F474" s="102" t="str">
        <f t="shared" si="21"/>
        <v>ET</v>
      </c>
      <c r="EC474" s="209">
        <f ca="1">MIN(EC475:EC491)+IF(SUM(EC477:EC491)=0,1,0)</f>
        <v>2</v>
      </c>
      <c r="ED474" s="209">
        <f ca="1">MIN(ED475:ED491)</f>
        <v>1</v>
      </c>
      <c r="EE474" s="311">
        <f ca="1">IF(AND('Customer Base'!D13="Victron",'Customer Base'!D14=6),ROUNDUP(SUMPRODUCT(Items!A242:A254,Items!AQ242:AQ254)/450,0),IF(EE489=1,2,IF(EE483=1,2,IF(EE477=1,2,IF(EE490=1,3,IF(EE484=1,3,IF(EE478=1,3,IF(EE491=1,4,IF(EE485=1,4,IF(EE479=1,4,0))))))))))</f>
        <v>3</v>
      </c>
      <c r="EF474" s="311">
        <f ca="1">IF(EE474=0,1,EE474)*IF(EG474=250,MIN(AA501,AE498),IF(EG474=150,MIN(AA501,AE497),IF(EG474=100,MIN(AA501,AE496),SUM(Items!A242:A254))))*'Customer Base'!$D26*0.8</f>
        <v>5760</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0</v>
      </c>
      <c r="IL474" s="209">
        <f ca="1">MIN(IL475:IL491)</f>
        <v>0</v>
      </c>
      <c r="IM474" s="311">
        <f ca="1">IF(IM489=1,2,IF(IM483=1,2,IF(IM477=1,2,IF(IM490=1,3,IF(IM484=1,3,IF(IM478=1,3,IF(IM491=1,4,IF(IM485=1,4,IF(IM479=1,4,0)))))))))</f>
        <v>0</v>
      </c>
      <c r="IN474" s="311">
        <f ca="1">IF(AND(IK474=0,ED474&lt;&gt;0),ED474*'Customer Base'!D26*0.8,IM474*IF(IO474=250,AE498,IF(IO474=150,AE497,IF(IO474=100,AE496,0)))*'Customer Base'!$D26*0.8)</f>
        <v>480</v>
      </c>
      <c r="IO474" s="209">
        <f ca="1">IF(IM489=1,250,IF(IM483=1,150,IF(IM477=1,100,IF(IM490=1,250,IF(IM484=1,150,IF(IM478=1,100,IF(IM491=1,250,IF(IM485=1,150,IF(IM479=1,100,IF(AND(IK474=0,ED474&lt;&gt;0),100,0))))))))))</f>
        <v>100</v>
      </c>
      <c r="IP474" s="209">
        <f ca="1">IF(AND(IO474=100,'Customer Base'!D8=12,'Client List'!IN474&gt;Items!AQ262),150,IF(AND(IO474=100,'Customer Base'!D8=24,IN474&gt;Items!AR262),150,IF(AND(IO474=100,'Customer Base'!D8=48,IN474&gt;Items!AS260),150,IO474)))</f>
        <v>100</v>
      </c>
    </row>
    <row r="475" spans="2:250" ht="17">
      <c r="B475" s="206" t="s">
        <v>1323</v>
      </c>
      <c r="C475" s="207" t="s">
        <v>216</v>
      </c>
      <c r="D475" s="207" t="s">
        <v>216</v>
      </c>
      <c r="F475" s="102" t="str">
        <f t="shared" si="21"/>
        <v>JT</v>
      </c>
    </row>
    <row r="476" spans="2:250" ht="17">
      <c r="B476" s="206" t="s">
        <v>1326</v>
      </c>
      <c r="C476" s="207" t="s">
        <v>51</v>
      </c>
      <c r="D476" s="207" t="s">
        <v>51</v>
      </c>
      <c r="E476" s="210" t="s">
        <v>1325</v>
      </c>
      <c r="F476" s="102" t="str">
        <f t="shared" si="21"/>
        <v>T-I</v>
      </c>
      <c r="Z476" s="209" t="s">
        <v>2696</v>
      </c>
      <c r="AB476" s="209" t="s">
        <v>2686</v>
      </c>
      <c r="AC476" s="209" t="s">
        <v>2689</v>
      </c>
      <c r="AD476" s="209" t="s">
        <v>2685</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2686</v>
      </c>
      <c r="EK476" s="209" t="s">
        <v>2689</v>
      </c>
      <c r="EL476" s="209" t="s">
        <v>2685</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1327</v>
      </c>
      <c r="C477" s="207" t="s">
        <v>339</v>
      </c>
      <c r="D477" s="207" t="s">
        <v>216</v>
      </c>
      <c r="F477" s="102" t="str">
        <f t="shared" si="21"/>
        <v>D</v>
      </c>
      <c r="AA477" s="209">
        <v>2</v>
      </c>
      <c r="AB477" s="310" t="s">
        <v>2682</v>
      </c>
      <c r="AC477" s="209">
        <f ca="1">IFERROR(MOD(AD$493,AA477),"")</f>
        <v>1</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1</v>
      </c>
      <c r="AG477" s="209">
        <f ca="1">IF($AE496*$AA477*'Customer Base'!$D$26*0.8&gt;5800,"",IF($AE496*$AA477&gt;$AA501,"",IF(($AA$477*AG$476*$AE$496)&lt;=$AA$501,((MOD($AA$501,($AA$477*AG$476*$AE$496)))),"")))</f>
        <v>1</v>
      </c>
      <c r="AH477" s="209">
        <f ca="1">IF($AE496*$AA477*'Customer Base'!$D$26*0.8&gt;5800,"",IF($AE496*$AA477&gt;$AA501,"",IF(($AA$477*AH$476*$AE$496)&lt;=$AA$501,((MOD($AA$501,($AA$477*AH$476*$AE$496)))),"")))</f>
        <v>1</v>
      </c>
      <c r="AI477" s="209">
        <f ca="1">IF($AE496*$AA477*'Customer Base'!$D$26*0.8&gt;5800,"",IF($AE496*$AA477&gt;$AA501,"",IF(($AA$477*AI$476*$AE$496)&lt;=$AA$501,((MOD($AA$501,($AA$477*AI$476*$AE$496)))),"")))</f>
        <v>9</v>
      </c>
      <c r="AJ477" s="209">
        <f ca="1">IF($AE496*$AA477*'Customer Base'!$D$26*0.8&gt;5800,"",IF($AE496*$AA477&gt;$AA501,"",IF(($AA$477*AJ$476*$AE$496)&lt;=$AA$501,((MOD($AA$501,($AA$477*AJ$476*$AE$496)))),"")))</f>
        <v>5</v>
      </c>
      <c r="AK477" s="209">
        <f ca="1">IF($AE496*$AA477*'Customer Base'!$D$26*0.8&gt;5800,"",IF($AE496*$AA477&gt;$AA501,"",IF(($AA$477*AK$476*$AE$496)&lt;=$AA$501,((MOD($AA$501,($AA$477*AK$476*$AE$496)))),"")))</f>
        <v>1</v>
      </c>
      <c r="AL477" s="209" t="str">
        <f ca="1">IF($AE496*$AA477*'Customer Base'!$D$26*0.8&gt;5800,"",IF($AE496*$AA477&gt;$AA501,"",IF(($AA$477*AL$476*$AE$496)&lt;=$AA$501,((MOD($AA$501,($AA$477*AL$476*$AE$496)))),"")))</f>
        <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6</v>
      </c>
      <c r="ED477" s="311" t="str" cm="1">
        <f t="array" aca="1" ref="ED477" ca="1">IF(EC$474=EC477,LOOKUP(2,1/(AF477:EA477&lt;&gt;""),AF477:EA477),"")</f>
        <v/>
      </c>
      <c r="EE477" s="311" t="str">
        <f ca="1">IF(ED477=ED$474,1,"")</f>
        <v/>
      </c>
      <c r="EF477" s="311"/>
      <c r="EG477" s="311"/>
      <c r="EH477" s="311"/>
      <c r="EI477" s="209">
        <v>2</v>
      </c>
      <c r="EJ477" s="310" t="s">
        <v>2682</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t="str">
        <f ca="1">IF($AE496*$AA477*'Customer Base'!$D$26*0.8&gt;5800,"",IF($AE496*$AA477&gt;$AA501,"",IF(($AA$477*EN$476*$AE$496)&lt;=$ED$474,((MOD($ED$474,($AA$477*EN$476*$AE$496)))),"")))</f>
        <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t="str" cm="1">
        <f t="array" aca="1" ref="IK477" ca="1">IFERROR(LOOKUP(2,1/(EN477:II477&lt;&gt;""),EN$482:II$482),"")</f>
        <v/>
      </c>
      <c r="IL477" s="311" t="str" cm="1">
        <f t="array" aca="1" ref="IL477" ca="1">IF(IK$474=IK477,LOOKUP(2,1/(EN477:II477&lt;&gt;""),EN477:II477),"")</f>
        <v/>
      </c>
      <c r="IM477" s="311" t="str">
        <f ca="1">IF(IL477=IL$474,1,"")</f>
        <v/>
      </c>
    </row>
    <row r="478" spans="2:250" ht="17">
      <c r="B478" s="206" t="s">
        <v>1328</v>
      </c>
      <c r="C478" s="207" t="s">
        <v>80</v>
      </c>
      <c r="D478" s="207" t="s">
        <v>216</v>
      </c>
      <c r="E478" s="210" t="s">
        <v>1329</v>
      </c>
      <c r="F478" s="102" t="str">
        <f t="shared" si="21"/>
        <v>E</v>
      </c>
      <c r="AA478" s="209">
        <v>3</v>
      </c>
      <c r="AB478" s="311" t="s">
        <v>2683</v>
      </c>
      <c r="AC478" s="209">
        <f ca="1">IFERROR(MOD(AD$493,AA478),"")</f>
        <v>2</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1</v>
      </c>
      <c r="AH478" s="209">
        <f ca="1">IF($AE496*$AA478*'Customer Base'!$D$26*0.8&gt;5800,"",IF($AE496*$AA478&gt;$AA501,"",IF(($AA$478*AH$476*$AE$496)&lt;=$AA$501,((MOD($AA$501,($AA$478*AH$476*$AE$496)))),"")))</f>
        <v>7</v>
      </c>
      <c r="AI478" s="209">
        <f ca="1">IF($AE496*$AA478*'Customer Base'!$D$26*0.8&gt;5800,"",IF($AE496*$AA478&gt;$AA501,"",IF(($AA$478*AI$476*$AE$496)&lt;=$AA$501,((MOD($AA$501,($AA$478*AI$476*$AE$496)))),"")))</f>
        <v>1</v>
      </c>
      <c r="AJ478" s="209" t="str">
        <f ca="1">IF($AE496*$AA478*'Customer Base'!$D$26*0.8&gt;5800,"",IF($AE496*$AA478&gt;$AA501,"",IF(($AA$478*AJ$476*$AE$496)&lt;=$AA$501,((MOD($AA$501,($AA$478*AJ$476*$AE$496)))),"")))</f>
        <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4</v>
      </c>
      <c r="ED478" s="311" t="str" cm="1">
        <f t="array" aca="1" ref="ED478" ca="1">IF(EC$474=EC478,LOOKUP(2,1/(AF478:EA478&lt;&gt;""),AF478:EA478),"")</f>
        <v/>
      </c>
      <c r="EE478" s="311" t="str">
        <f ca="1">IF(ED478=ED$474,1,"")</f>
        <v/>
      </c>
      <c r="EF478" s="311"/>
      <c r="EG478" s="311"/>
      <c r="EH478" s="311"/>
      <c r="EI478" s="209">
        <v>3</v>
      </c>
      <c r="EJ478" s="311" t="s">
        <v>2683</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1330</v>
      </c>
      <c r="C479" s="207" t="s">
        <v>1331</v>
      </c>
      <c r="D479" s="207" t="s">
        <v>216</v>
      </c>
      <c r="E479" s="210" t="s">
        <v>1332</v>
      </c>
      <c r="F479" s="102" t="str">
        <f t="shared" si="21"/>
        <v>R</v>
      </c>
      <c r="AA479" s="209">
        <v>4</v>
      </c>
      <c r="AB479" s="311" t="s">
        <v>2684</v>
      </c>
      <c r="AC479" s="209">
        <f ca="1">IFERROR(MOD(AD$493,AA479),"")</f>
        <v>1</v>
      </c>
      <c r="AD479" s="209">
        <f ca="1">IF(OR(AD483=1,AD483=""),"",IF(AC479=0,AA479,IF(AND(AC479&lt;&gt;0,AC478&lt;&gt;0,AC477&lt;&gt;0),AA479,IF(AND(AC479&lt;&gt;0,AC478&lt;&gt;0,AC477=0),AA479,""))))</f>
        <v>4</v>
      </c>
      <c r="AE479" s="209">
        <f ca="1">IFERROR(ROUNDDOWN(AD$493/AD479,0),"")</f>
        <v>1</v>
      </c>
      <c r="AF479" s="209">
        <f ca="1">IF($AE496*$AA479*'Customer Base'!$D$26*0.8&gt;5800,"",IF($AE496*$AA479&gt;$AA501,"",IF(($AA$479*AF$476*$AE$496)&lt;=$AA$501,((MOD($AA$501,($AA$479*AF$476*$AE$496)))),"")))</f>
        <v>1</v>
      </c>
      <c r="AG479" s="209">
        <f ca="1">IF($AE496*$AA479*'Customer Base'!$D$26*0.8&gt;5800,"",IF($AE496*$AA479&gt;$AA501,"",IF(($AA$479*AG$476*$AE$496)&lt;=$AA$501,((MOD($AA$501,($AA$479*AG$476*$AE$496)))),"")))</f>
        <v>9</v>
      </c>
      <c r="AH479" s="209">
        <f ca="1">IF($AE496*$AA479*'Customer Base'!$D$26*0.8&gt;5800,"",IF($AE496*$AA479&gt;$AA501,"",IF(($AA$479*AH$476*$AE$496)&lt;=$AA$501,((MOD($AA$501,($AA$479*AH$476*$AE$496)))),"")))</f>
        <v>1</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3</v>
      </c>
      <c r="ED479" s="311" t="str" cm="1">
        <f t="array" aca="1" ref="ED479" ca="1">IF(EC$474=EC479,LOOKUP(2,1/(AF479:EA479&lt;&gt;""),AF479:EA479),"")</f>
        <v/>
      </c>
      <c r="EE479" s="311" t="str">
        <f ca="1">IF(ED479=ED$474,1,"")</f>
        <v/>
      </c>
      <c r="EF479" s="311"/>
      <c r="EG479" s="311"/>
      <c r="EH479" s="311"/>
      <c r="EI479" s="209">
        <v>4</v>
      </c>
      <c r="EJ479" s="311" t="s">
        <v>2684</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1333</v>
      </c>
      <c r="C480" s="207" t="s">
        <v>80</v>
      </c>
      <c r="D480" s="207" t="s">
        <v>216</v>
      </c>
      <c r="E480" s="210" t="s">
        <v>1334</v>
      </c>
      <c r="F480" s="102" t="str">
        <f t="shared" si="21"/>
        <v>G</v>
      </c>
      <c r="G480" s="208" t="s">
        <v>1335</v>
      </c>
    </row>
    <row r="481" spans="2:248" ht="17">
      <c r="B481" s="206" t="s">
        <v>19</v>
      </c>
      <c r="C481" s="207" t="s">
        <v>57</v>
      </c>
      <c r="D481" s="207" t="s">
        <v>954</v>
      </c>
      <c r="E481" s="210" t="s">
        <v>1336</v>
      </c>
      <c r="F481" s="102" t="str">
        <f t="shared" si="21"/>
        <v>E</v>
      </c>
    </row>
    <row r="482" spans="2:248" ht="17">
      <c r="B482" s="206" t="s">
        <v>1338</v>
      </c>
      <c r="C482" s="207" t="s">
        <v>60</v>
      </c>
      <c r="D482" s="207" t="s">
        <v>954</v>
      </c>
      <c r="E482" s="210" t="s">
        <v>1339</v>
      </c>
      <c r="F482" s="102" t="str">
        <f t="shared" si="21"/>
        <v>E</v>
      </c>
      <c r="Z482" s="209" t="s">
        <v>2690</v>
      </c>
      <c r="AB482" s="209" t="s">
        <v>2686</v>
      </c>
      <c r="AC482" s="209" t="s">
        <v>2689</v>
      </c>
      <c r="AD482" s="209" t="s">
        <v>2685</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2686</v>
      </c>
      <c r="EK482" s="209" t="s">
        <v>2689</v>
      </c>
      <c r="EL482" s="209" t="s">
        <v>2685</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1340</v>
      </c>
      <c r="C483" s="207" t="s">
        <v>960</v>
      </c>
      <c r="D483" s="207" t="s">
        <v>960</v>
      </c>
      <c r="E483" s="210" t="s">
        <v>1341</v>
      </c>
      <c r="F483" s="102" t="str">
        <f t="shared" si="21"/>
        <v>M</v>
      </c>
      <c r="AA483" s="209">
        <v>2</v>
      </c>
      <c r="AB483" s="310" t="s">
        <v>2682</v>
      </c>
      <c r="AC483" s="209">
        <f ca="1">IFERROR(MOD(AD$493,AA483),"")</f>
        <v>1</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1</v>
      </c>
      <c r="AG483" s="209">
        <f ca="1">IF($AE497*$AA483*'Customer Base'!$D$26*0.8&gt;5800,"",IF($AE497*$AA483&gt;$AA501,"",IF(($AA$483*AG$482*$AE$497)&lt;=$AA$501,((MOD($AA$501,($AA$483*AG$482*$AE$497)))),"")))</f>
        <v>1</v>
      </c>
      <c r="AH483" s="209">
        <f ca="1">IF($AE497*$AA483*'Customer Base'!$D$26*0.8&gt;5800,"",IF($AE497*$AA483&gt;$AA501,"",IF(($AA$483*AH$482*$AE$497)&lt;=$AA$501,((MOD($AA$501,($AA$483*AH$482*$AE$497)))),"")))</f>
        <v>7</v>
      </c>
      <c r="AI483" s="209">
        <f ca="1">IF($AE497*$AA483*'Customer Base'!$D$26*0.8&gt;5800,"",IF($AE497*$AA483&gt;$AA501,"",IF(($AA$483*AI$482*$AE$497)&lt;=$AA$501,((MOD($AA$501,($AA$483*AI$482*$AE$497)))),"")))</f>
        <v>1</v>
      </c>
      <c r="AJ483" s="209" t="str">
        <f ca="1">IF($AE497*$AA483*'Customer Base'!$D$26*0.8&gt;5800,"",IF($AE497*$AA483&gt;$AA501,"",IF(($AA$483*AJ$482*$AE$497)&lt;=$AA$501,((MOD($AA$501,($AA$483*AJ$482*$AE$497)))),"")))</f>
        <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4</v>
      </c>
      <c r="ED483" s="311" t="str" cm="1">
        <f t="array" aca="1" ref="ED483" ca="1">IF(EC$474=EC483,LOOKUP(2,1/(AF483:EA483&lt;&gt;""),AF483:EA483),"")</f>
        <v/>
      </c>
      <c r="EE483" s="311" t="str">
        <f ca="1">IF(ED483=ED$474,1,"")</f>
        <v/>
      </c>
      <c r="EF483" s="311"/>
      <c r="EG483" s="311"/>
      <c r="EH483" s="311"/>
      <c r="EI483" s="209">
        <v>2</v>
      </c>
      <c r="EJ483" s="310" t="s">
        <v>2682</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1342</v>
      </c>
      <c r="C484" s="207" t="s">
        <v>1343</v>
      </c>
      <c r="D484" s="207" t="s">
        <v>954</v>
      </c>
      <c r="F484" s="102" t="str">
        <f t="shared" si="21"/>
        <v>E</v>
      </c>
      <c r="AA484" s="209">
        <v>3</v>
      </c>
      <c r="AB484" s="311" t="s">
        <v>2683</v>
      </c>
      <c r="AC484" s="209">
        <f ca="1">IFERROR(MOD(AD$493,AA484),"")</f>
        <v>2</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7</v>
      </c>
      <c r="AG484" s="209">
        <f ca="1">IF($AE497*$AA484*'Customer Base'!$D$26*0.8&gt;5800,"",IF($AE497*$AA484&gt;$AA501,"",IF(($AA$484*AG$482*$AE$497)&lt;=$AA$501,((MOD($AA$501,($AA$484*AG$482*$AE$497)))),"")))</f>
        <v>7</v>
      </c>
      <c r="AH484" s="209" t="str">
        <f ca="1">IF($AE497*$AA484*'Customer Base'!$D$26*0.8&gt;5800,"",IF($AE497*$AA484&gt;$AA501,"",IF(($AA$484*AH$482*$AE$497)&lt;=$AA$501,((MOD($AA$501,($AA$484*AH$482*$AE$497)))),"")))</f>
        <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2</v>
      </c>
      <c r="ED484" s="311" cm="1">
        <f t="array" aca="1" ref="ED484" ca="1">IF(EC$474=EC484,LOOKUP(2,1/(AF484:EA484&lt;&gt;""),AF484:EA484),"")</f>
        <v>7</v>
      </c>
      <c r="EE484" s="311" t="str">
        <f ca="1">IF(ED484=ED$474,1,"")</f>
        <v/>
      </c>
      <c r="EF484" s="311"/>
      <c r="EG484" s="311"/>
      <c r="EH484" s="311"/>
      <c r="EI484" s="209">
        <v>3</v>
      </c>
      <c r="EJ484" s="311" t="s">
        <v>2683</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1344</v>
      </c>
      <c r="D485" s="207" t="s">
        <v>1345</v>
      </c>
      <c r="F485" s="102" t="str">
        <f t="shared" si="21"/>
        <v>P</v>
      </c>
      <c r="AA485" s="209">
        <v>4</v>
      </c>
      <c r="AB485" s="311" t="s">
        <v>2684</v>
      </c>
      <c r="AC485" s="209">
        <f ca="1">IFERROR(MOD(AD$493,AA485),"")</f>
        <v>1</v>
      </c>
      <c r="AD485" s="209">
        <f ca="1">IF(OR(AD489=1,AD489=""),"",IF(AC485=0,AA485,IF(AND(AC485&lt;&gt;0,AC484&lt;&gt;0,AC483&lt;&gt;0),AA485,IF(AND(AC485&lt;&gt;0,AC484&lt;&gt;0,AC483=0),AA485,""))))</f>
        <v>4</v>
      </c>
      <c r="AE485" s="209">
        <f ca="1">IFERROR(ROUNDDOWN(AD$493/AD485,0),"")</f>
        <v>1</v>
      </c>
      <c r="AF485" s="209">
        <f ca="1">IF($AE497*$AA485*'Customer Base'!$D$26*0.8&gt;5800,"",IF($AE497*$AA485&gt;$AA501,"",IF(($AA$485*AF$482*$AE$497)&lt;=$AA$501,((MOD($AA$501,($AA$485*AF$482*$AE$497)))),"")))</f>
        <v>1</v>
      </c>
      <c r="AG485" s="209">
        <f ca="1">IF($AE497*$AA485*'Customer Base'!$D$26*0.8&gt;5800,"",IF($AE497*$AA485&gt;$AA501,"",IF(($AA$485*AG$482*$AE$497)&lt;=$AA$501,((MOD($AA$501,($AA$485*AG$482*$AE$497)))),"")))</f>
        <v>1</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2</v>
      </c>
      <c r="ED485" s="311" cm="1">
        <f t="array" aca="1" ref="ED485" ca="1">IF(EC$474=EC485,LOOKUP(2,1/(AF485:EA485&lt;&gt;""),AF485:EA485),"")</f>
        <v>1</v>
      </c>
      <c r="EE485" s="311">
        <f ca="1">IF(ED485=ED$474,1,"")</f>
        <v>1</v>
      </c>
      <c r="EF485" s="311"/>
      <c r="EG485" s="311"/>
      <c r="EH485" s="311"/>
      <c r="EI485" s="209">
        <v>4</v>
      </c>
      <c r="EJ485" s="311" t="s">
        <v>2684</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1346</v>
      </c>
      <c r="C486" s="207" t="s">
        <v>389</v>
      </c>
      <c r="D486" s="207" t="s">
        <v>954</v>
      </c>
      <c r="E486" s="210" t="s">
        <v>1347</v>
      </c>
      <c r="F486" s="102" t="str">
        <f t="shared" si="21"/>
        <v>E</v>
      </c>
      <c r="EE486" s="311"/>
      <c r="EF486" s="311"/>
      <c r="EG486" s="311"/>
      <c r="EH486" s="311"/>
      <c r="IM486" s="311"/>
      <c r="IN486" s="311"/>
    </row>
    <row r="487" spans="2:248" ht="17">
      <c r="B487" s="206" t="s">
        <v>1348</v>
      </c>
      <c r="C487" s="207" t="s">
        <v>51</v>
      </c>
      <c r="D487" s="207" t="s">
        <v>51</v>
      </c>
      <c r="E487" s="210" t="s">
        <v>1325</v>
      </c>
      <c r="F487" s="102" t="str">
        <f t="shared" si="21"/>
        <v>T-FH</v>
      </c>
      <c r="EE487" s="311"/>
      <c r="EF487" s="311"/>
      <c r="EG487" s="311"/>
      <c r="EH487" s="311"/>
      <c r="IM487" s="311"/>
      <c r="IN487" s="311"/>
    </row>
    <row r="488" spans="2:248" ht="17">
      <c r="B488" s="206" t="s">
        <v>1349</v>
      </c>
      <c r="C488" s="207" t="s">
        <v>51</v>
      </c>
      <c r="D488" s="207" t="s">
        <v>51</v>
      </c>
      <c r="E488" s="210" t="s">
        <v>1325</v>
      </c>
      <c r="F488" s="102" t="str">
        <f t="shared" si="21"/>
        <v>T-FH</v>
      </c>
      <c r="Z488" s="209" t="s">
        <v>2691</v>
      </c>
      <c r="AB488" s="209" t="s">
        <v>2686</v>
      </c>
      <c r="AC488" s="209" t="s">
        <v>2689</v>
      </c>
      <c r="AD488" s="209" t="s">
        <v>2685</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2686</v>
      </c>
      <c r="EK488" s="209" t="s">
        <v>2689</v>
      </c>
      <c r="EL488" s="209" t="s">
        <v>2685</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1350</v>
      </c>
      <c r="C489" s="207" t="s">
        <v>51</v>
      </c>
      <c r="D489" s="207" t="s">
        <v>51</v>
      </c>
      <c r="E489" s="210" t="s">
        <v>1325</v>
      </c>
      <c r="F489" s="102" t="str">
        <f t="shared" si="21"/>
        <v>T-FH</v>
      </c>
      <c r="AA489" s="209">
        <v>2</v>
      </c>
      <c r="AB489" s="310" t="s">
        <v>2682</v>
      </c>
      <c r="AC489" s="209">
        <f ca="1">IFERROR(MOD(AD$493,AA489),"")</f>
        <v>1</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1</v>
      </c>
      <c r="AG489" s="209">
        <f ca="1">IF($AE498*$AA489*'Customer Base'!$D$26*0.8&gt;5800,"",IF($AE498*$AA489&gt;$AA501,"",IF(($AA$489*AG$488*$AE$498)&lt;=$AA$501,((MOD($AA$501,($AA$489*AG$488*$AE$498)))),"")))</f>
        <v>9</v>
      </c>
      <c r="AH489" s="209">
        <f ca="1">IF($AE498*$AA489*'Customer Base'!$D$26*0.8&gt;5800,"",IF($AE498*$AA489&gt;$AA501,"",IF(($AA$489*AH$488*$AE$498)&lt;=$AA$501,((MOD($AA$501,($AA$489*AH$488*$AE$498)))),"")))</f>
        <v>1</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3</v>
      </c>
      <c r="ED489" s="311" t="str" cm="1">
        <f t="array" aca="1" ref="ED489" ca="1">IF(EC$474=EC489,LOOKUP(2,1/(AF489:EA489&lt;&gt;""),AF489:EA489),"")</f>
        <v/>
      </c>
      <c r="EE489" s="311" t="str">
        <f ca="1">IF(ED489=ED$474,1,"")</f>
        <v/>
      </c>
      <c r="EF489" s="311"/>
      <c r="EG489" s="311"/>
      <c r="EH489" s="311"/>
      <c r="EI489" s="209">
        <v>2</v>
      </c>
      <c r="EJ489" s="310" t="s">
        <v>2682</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1351</v>
      </c>
      <c r="C490" s="207" t="s">
        <v>51</v>
      </c>
      <c r="D490" s="207" t="s">
        <v>51</v>
      </c>
      <c r="E490" s="210" t="s">
        <v>1325</v>
      </c>
      <c r="F490" s="102" t="str">
        <f t="shared" si="21"/>
        <v>T-FH</v>
      </c>
      <c r="AA490" s="209">
        <v>3</v>
      </c>
      <c r="AB490" s="311" t="s">
        <v>2683</v>
      </c>
      <c r="AC490" s="209">
        <f ca="1">IFERROR(MOD(AD$493,AA490),"")</f>
        <v>2</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1</v>
      </c>
      <c r="AG490" s="209">
        <f ca="1">IF($AE498*$AA490*'Customer Base'!$D$26*0.8&gt;5800,"",IF($AE498*$AA490&gt;$AA501,"",IF(($AA$490*AG$488*$AE$498)&lt;=$AA$501,((MOD($AA$501,($AA$490*AG$488*$AE$498)))),"")))</f>
        <v>1</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2</v>
      </c>
      <c r="ED490" s="311" cm="1">
        <f t="array" aca="1" ref="ED490" ca="1">IF(EC$474=EC490,LOOKUP(2,1/(AF490:EA490&lt;&gt;""),AF490:EA490),"")</f>
        <v>1</v>
      </c>
      <c r="EE490" s="311">
        <f ca="1">IF(ED490=ED$474,1,"")</f>
        <v>1</v>
      </c>
      <c r="EF490" s="311"/>
      <c r="EG490" s="311"/>
      <c r="EH490" s="311"/>
      <c r="EI490" s="209">
        <v>3</v>
      </c>
      <c r="EJ490" s="311" t="s">
        <v>2683</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1353</v>
      </c>
      <c r="C491" s="207" t="s">
        <v>295</v>
      </c>
      <c r="D491" s="207" t="s">
        <v>295</v>
      </c>
      <c r="E491" s="210" t="s">
        <v>1354</v>
      </c>
      <c r="F491" s="102" t="str">
        <f t="shared" si="21"/>
        <v>NC</v>
      </c>
      <c r="AA491" s="209">
        <v>4</v>
      </c>
      <c r="AB491" s="311" t="s">
        <v>2684</v>
      </c>
      <c r="AC491" s="209">
        <f ca="1">IFERROR(MOD(AD$493,AA491),"")</f>
        <v>1</v>
      </c>
      <c r="AD491" s="209">
        <f ca="1">IF(OR(AD493=1,AD493=""),"",IF(AC491=0,AA491,IF(AND(AC491&lt;&gt;0,AC490&lt;&gt;0,AC489&lt;&gt;0),AA491,IF(AND(AC491&lt;&gt;0,AC490&lt;&gt;0,AC489=0),AA491,""))))</f>
        <v>4</v>
      </c>
      <c r="AE491" s="209">
        <f ca="1">IFERROR(ROUNDDOWN(AD$493/AD491,0),"")</f>
        <v>1</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2684</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1359</v>
      </c>
      <c r="C492" s="207" t="s">
        <v>1357</v>
      </c>
      <c r="D492" s="207" t="s">
        <v>957</v>
      </c>
      <c r="F492" s="102" t="str">
        <f t="shared" si="21"/>
        <v>N</v>
      </c>
      <c r="G492" s="208" t="s">
        <v>1358</v>
      </c>
      <c r="AC492" s="209" t="s">
        <v>2677</v>
      </c>
      <c r="AD492" s="209" t="s">
        <v>2678</v>
      </c>
    </row>
    <row r="493" spans="2:248" ht="17" customHeight="1">
      <c r="B493" s="206" t="s">
        <v>1804</v>
      </c>
      <c r="C493" s="207" t="s">
        <v>1805</v>
      </c>
      <c r="D493" s="207" t="s">
        <v>957</v>
      </c>
      <c r="F493" s="102" t="str">
        <f t="shared" si="21"/>
        <v>NI</v>
      </c>
      <c r="G493" s="208" t="s">
        <v>1806</v>
      </c>
      <c r="AC493" s="209">
        <f ca="1">IF(AA501=0,0/0,ROUNDDOWN(EH474/AB500,0))</f>
        <v>5</v>
      </c>
      <c r="AD493" s="209">
        <f ca="1">IFERROR(SUM(Items!A242:A254)/AC493,"")</f>
        <v>5</v>
      </c>
    </row>
    <row r="494" spans="2:248" ht="17" customHeight="1">
      <c r="B494" s="206" t="s">
        <v>2402</v>
      </c>
      <c r="C494" s="207" t="s">
        <v>2404</v>
      </c>
      <c r="D494" s="207" t="s">
        <v>216</v>
      </c>
      <c r="F494" s="102" t="str">
        <f t="shared" si="21"/>
        <v>NI-F</v>
      </c>
    </row>
    <row r="495" spans="2:248" ht="17" customHeight="1">
      <c r="B495" s="206" t="s">
        <v>2403</v>
      </c>
      <c r="C495" s="207" t="s">
        <v>2404</v>
      </c>
      <c r="D495" s="207" t="s">
        <v>216</v>
      </c>
      <c r="F495" s="102" t="str">
        <f t="shared" si="21"/>
        <v>NI-K</v>
      </c>
      <c r="AA495" s="209">
        <v>75</v>
      </c>
      <c r="AB495" s="209" t="s">
        <v>2681</v>
      </c>
      <c r="AC495" s="209" t="str">
        <f ca="1">IFERROR(VLOOKUP(X500,W$501:AB$516,5,FALSE),"")</f>
        <v/>
      </c>
      <c r="AE495" s="209">
        <f ca="1">ROUNDDOWN(AA495/AB$500,0)</f>
        <v>1</v>
      </c>
    </row>
    <row r="496" spans="2:248" ht="17" customHeight="1">
      <c r="B496" s="206" t="s">
        <v>1360</v>
      </c>
      <c r="C496" s="207" t="s">
        <v>1361</v>
      </c>
      <c r="D496" s="207" t="s">
        <v>958</v>
      </c>
      <c r="E496" s="210" t="s">
        <v>1362</v>
      </c>
      <c r="F496" s="102" t="str">
        <f t="shared" si="21"/>
        <v>BEK</v>
      </c>
      <c r="AA496" s="209">
        <v>100</v>
      </c>
      <c r="AB496" s="209" t="s">
        <v>2681</v>
      </c>
      <c r="AC496" s="209" t="str">
        <f ca="1">IFERROR(VLOOKUP(X501,W$501:AB$516,5,FALSE),"")</f>
        <v/>
      </c>
      <c r="AE496" s="209">
        <f ca="1">ROUNDDOWN(AA496/AB$500,0)</f>
        <v>2</v>
      </c>
    </row>
    <row r="497" spans="2:34" ht="17">
      <c r="B497" s="206" t="s">
        <v>1363</v>
      </c>
      <c r="C497" s="207" t="s">
        <v>1364</v>
      </c>
      <c r="D497" s="207" t="s">
        <v>216</v>
      </c>
      <c r="E497" s="210" t="s">
        <v>1365</v>
      </c>
      <c r="F497" s="102" t="str">
        <f t="shared" si="21"/>
        <v>AT</v>
      </c>
      <c r="AA497" s="209">
        <v>150</v>
      </c>
      <c r="AB497" s="209" t="s">
        <v>2681</v>
      </c>
      <c r="AC497" s="209">
        <f ca="1">IFERROR(VLOOKUP(X502,W$501:AB$516,5,FALSE),"")</f>
        <v>1</v>
      </c>
      <c r="AE497" s="209">
        <f ca="1">ROUNDDOWN(AA497/AB$500,0)</f>
        <v>3</v>
      </c>
    </row>
    <row r="498" spans="2:34" ht="17">
      <c r="B498" s="206" t="s">
        <v>1367</v>
      </c>
      <c r="C498" s="207" t="s">
        <v>1368</v>
      </c>
      <c r="D498" s="207" t="s">
        <v>216</v>
      </c>
      <c r="E498" s="210" t="s">
        <v>1369</v>
      </c>
      <c r="F498" s="102" t="str">
        <f t="shared" si="21"/>
        <v>IQ</v>
      </c>
      <c r="AA498" s="209">
        <v>250</v>
      </c>
      <c r="AB498" s="209" t="s">
        <v>2679</v>
      </c>
      <c r="AC498" s="209">
        <f ca="1">IFERROR(VLOOKUP(X503,W$501:AB$516,5,FALSE),"")</f>
        <v>5</v>
      </c>
      <c r="AE498" s="209">
        <f ca="1">IF(AND(MOD(AA501,AG498)&lt;&gt;0,AG498-AE497&gt;1),AG498-1,IF(AND(N1*'Customer Base'!D26*0.8&gt;5800,AG498-AE497&gt;1),AG498-1,AG498))</f>
        <v>4</v>
      </c>
      <c r="AG498" s="209">
        <f ca="1">ROUNDDOWN(AA498/AB$500,0)</f>
        <v>5</v>
      </c>
    </row>
    <row r="499" spans="2:34" ht="17">
      <c r="B499" s="206" t="s">
        <v>1370</v>
      </c>
      <c r="C499" s="207" t="s">
        <v>216</v>
      </c>
      <c r="D499" s="207" t="s">
        <v>216</v>
      </c>
      <c r="E499" s="210" t="s">
        <v>1371</v>
      </c>
      <c r="F499" s="102" t="str">
        <f t="shared" si="21"/>
        <v>GK</v>
      </c>
      <c r="Z499" s="309"/>
      <c r="AA499" s="309">
        <v>450</v>
      </c>
      <c r="AB499" s="209" t="s">
        <v>2680</v>
      </c>
      <c r="AC499" s="209" t="str">
        <f ca="1">IFERROR(VLOOKUP(X504,W$501:AB$516,5,FALSE),"")</f>
        <v/>
      </c>
      <c r="AE499" s="209">
        <f ca="1">ROUNDDOWN(AA499/AB$500,0)</f>
        <v>9</v>
      </c>
    </row>
    <row r="500" spans="2:34" ht="17">
      <c r="B500" s="206" t="s">
        <v>1372</v>
      </c>
      <c r="C500" s="207" t="s">
        <v>1150</v>
      </c>
      <c r="D500" s="207" t="s">
        <v>216</v>
      </c>
      <c r="E500" s="210" t="s">
        <v>1373</v>
      </c>
      <c r="F500" s="102" t="str">
        <f t="shared" si="21"/>
        <v>AM</v>
      </c>
      <c r="AB500" s="209" cm="1">
        <f t="array" aca="1" ref="AB500" ca="1">IFERROR(LOOKUP(2,1/(AB502:AB601&lt;&gt;""),AB502:AB601),IF('Customer Base'!D7&lt;&gt;"Backup",SUMPRODUCT(Items!A242:A254,Items!AQ242:AQ254)/SUM(Items!A242:A254),""))</f>
        <v>47.7</v>
      </c>
    </row>
    <row r="501" spans="2:34" ht="17">
      <c r="B501" s="206" t="s">
        <v>1374</v>
      </c>
      <c r="C501" s="207" t="s">
        <v>1375</v>
      </c>
      <c r="D501" s="207" t="s">
        <v>1375</v>
      </c>
      <c r="E501" s="210" t="s">
        <v>1572</v>
      </c>
      <c r="F501" s="102" t="str">
        <f t="shared" si="21"/>
        <v>NATC</v>
      </c>
      <c r="W501" s="209" t="str">
        <f ca="1">IF(AND($AB501&gt;=AB500,$AB501&lt;150),1,IF(AND($AB501&gt;=150,$AB501&lt;250),2,IF(AND($AB501&gt;=250,$AB501&lt;450),3,"")))</f>
        <v/>
      </c>
      <c r="X501" s="209" t="s">
        <v>2670</v>
      </c>
      <c r="Y501" s="209" t="str" cm="1">
        <f t="array" ref="Y501">SUBSTITUTE(TRIM(_xlfn.CONCAT(P1:P100 &amp; " ")), " ", ", ")</f>
        <v>25, 5, 1</v>
      </c>
      <c r="Z501" s="309" t="str" cm="1">
        <f t="array" aca="1" ref="Z501" ca="1">IFERROR(LEFT(Y501, MATCH(FALSE, ISNUMBER(MID(Y501, ROW(INDIRECT("1:"&amp;LEN(Y501)+1)), 1) *1), 0) -1),"")</f>
        <v>25</v>
      </c>
      <c r="AA501" s="209">
        <f ca="1">IFERROR(VALUE(Z501),"")</f>
        <v>25</v>
      </c>
      <c r="AB501" s="209">
        <f ca="1">IFERROR(AA501*SUMPRODUCT(Items!A$242:A$254,Items!AQ$242:AQ$254)/SUM(Items!A$242:A$254),"")</f>
        <v>1192.5</v>
      </c>
      <c r="AH501" s="309"/>
    </row>
    <row r="502" spans="2:34" ht="17">
      <c r="B502" s="206" t="s">
        <v>1390</v>
      </c>
      <c r="C502" s="207" t="s">
        <v>855</v>
      </c>
      <c r="D502" s="207" t="s">
        <v>955</v>
      </c>
      <c r="E502" s="210" t="s">
        <v>1391</v>
      </c>
      <c r="F502" s="102" t="str">
        <f t="shared" si="21"/>
        <v>LC</v>
      </c>
      <c r="W502" s="209">
        <f ca="1">IF(AND($AB502&gt;=AB500,$AB502&lt;150),1,IF(AND($AB502&gt;=150,$AB502&lt;250),2,IF(AND($AB502&gt;=250,$AB502&lt;450),3,"")))</f>
        <v>2</v>
      </c>
      <c r="X502" s="209">
        <v>1</v>
      </c>
      <c r="Y502" s="209" t="str" cm="1">
        <f t="array" ref="Y502">SUBSTITUTE(TRIM(_xlfn.CONCAT(P2:P101 &amp; " ")), " ", ", ")</f>
        <v>5, 1</v>
      </c>
      <c r="Z502" s="309" t="str" cm="1">
        <f t="array" aca="1" ref="Z502" ca="1">IFERROR(LEFT(Y502, MATCH(FALSE, ISNUMBER(MID(Y502, ROW(INDIRECT("1:"&amp;LEN(Y502)+1)), 1) *1), 0) -1),"")</f>
        <v>5</v>
      </c>
      <c r="AA502" s="209">
        <f ca="1">IFERROR(VALUE(Z502),"")</f>
        <v>5</v>
      </c>
      <c r="AB502" s="209">
        <f ca="1">IFERROR(AA502*SUMPRODUCT(Items!A$242:A$254,Items!AQ$242:AQ$254)/SUM(Items!A$242:A$254),"")</f>
        <v>238.5</v>
      </c>
      <c r="AH502" s="309"/>
    </row>
    <row r="503" spans="2:34" ht="17">
      <c r="B503" s="206" t="s">
        <v>1392</v>
      </c>
      <c r="C503" s="207" t="s">
        <v>1393</v>
      </c>
      <c r="D503" s="207" t="s">
        <v>216</v>
      </c>
      <c r="E503" s="210" t="s">
        <v>1394</v>
      </c>
      <c r="F503" s="102" t="str">
        <f t="shared" si="21"/>
        <v>DGW</v>
      </c>
      <c r="W503" s="209">
        <f ca="1">IF(AND($AB503&gt;=AB500,$AB503&lt;150),1,IF(AND($AB503&gt;=150,$AB503&lt;250),2,IF(AND($AB503&gt;=250,$AB503&lt;450),3,"")))</f>
        <v>1</v>
      </c>
      <c r="X503" s="209">
        <v>2</v>
      </c>
      <c r="Y503" s="209" t="str" cm="1">
        <f t="array" ref="Y503">SUBSTITUTE(TRIM(_xlfn.CONCAT(P3:P102 &amp; " ")), " ", ", ")</f>
        <v>1</v>
      </c>
      <c r="Z503" s="309" t="str" cm="1">
        <f t="array" aca="1" ref="Z503" ca="1">IFERROR(LEFT(Y503, MATCH(FALSE, ISNUMBER(MID(Y503, ROW(INDIRECT("1:"&amp;LEN(Y503)+1)), 1) *1), 0) -1),"")</f>
        <v>1</v>
      </c>
      <c r="AA503" s="209">
        <f t="shared" ref="AA503:AA516" ca="1" si="22">IFERROR(VALUE(Z503),"")</f>
        <v>1</v>
      </c>
      <c r="AB503" s="209">
        <f ca="1">IFERROR(AA503*SUMPRODUCT(Items!A$242:A$254,Items!AQ$242:AQ$254)/SUM(Items!A$242:A$254),"")</f>
        <v>47.7</v>
      </c>
      <c r="AH503" s="309"/>
    </row>
    <row r="504" spans="2:34" ht="17">
      <c r="B504" s="206" t="s">
        <v>1395</v>
      </c>
      <c r="C504" s="207" t="s">
        <v>1396</v>
      </c>
      <c r="D504" s="207" t="s">
        <v>216</v>
      </c>
      <c r="E504" s="210" t="s">
        <v>1397</v>
      </c>
      <c r="F504" s="102" t="str">
        <f t="shared" si="21"/>
        <v>N</v>
      </c>
      <c r="W504" s="209" t="str">
        <f ca="1">IF(AND($AB504&gt;=AB500,$AB504&lt;150),1,IF(AND($AB504&gt;=150,$AB504&lt;250),2,IF(AND($AB504&gt;=250,$AB504&lt;450),3,"")))</f>
        <v/>
      </c>
      <c r="X504" s="209">
        <v>3</v>
      </c>
      <c r="Y504" s="209" t="str" cm="1">
        <f t="array" ref="Y504">SUBSTITUTE(TRIM(_xlfn.CONCAT(P4:P103 &amp; " ")), " ", ", ")</f>
        <v/>
      </c>
      <c r="Z504" s="309" t="str" cm="1">
        <f t="array" aca="1" ref="Z504" ca="1">IFERROR(LEFT(Y504, MATCH(FALSE, ISNUMBER(MID(Y504, ROW(INDIRECT("1:"&amp;LEN(Y504)+1)), 1) *1), 0) -1),"")</f>
        <v/>
      </c>
      <c r="AA504" s="209" t="str">
        <f t="shared" ca="1" si="22"/>
        <v/>
      </c>
      <c r="AB504" s="209" t="str">
        <f ca="1">IFERROR(AA504*SUMPRODUCT(Items!A$242:A$254,Items!AQ$242:AQ$254)/SUM(Items!A$242:A$254),"")</f>
        <v/>
      </c>
      <c r="AH504" s="309"/>
    </row>
    <row r="505" spans="2:34" ht="17">
      <c r="B505" s="206" t="s">
        <v>1398</v>
      </c>
      <c r="C505" s="207" t="s">
        <v>216</v>
      </c>
      <c r="D505" s="207" t="s">
        <v>216</v>
      </c>
      <c r="E505" s="210" t="s">
        <v>1399</v>
      </c>
      <c r="F505" s="102" t="str">
        <f t="shared" si="21"/>
        <v>M</v>
      </c>
      <c r="W505" s="209" t="str">
        <f ca="1">IF(AND($AB505&gt;=AB500,$AB505&lt;150),1,IF(AND($AB505&gt;=150,$AB505&lt;250),2,IF(AND($AB505&gt;=250,$AB505&lt;450),3,"")))</f>
        <v/>
      </c>
      <c r="X505" s="209">
        <v>4</v>
      </c>
      <c r="Y505" s="209" t="str" cm="1">
        <f t="array" ref="Y505">SUBSTITUTE(TRIM(_xlfn.CONCAT(P5:P104 &amp; " ")), " ", ", ")</f>
        <v/>
      </c>
      <c r="Z505" s="309" t="str" cm="1">
        <f t="array" aca="1" ref="Z505" ca="1">IFERROR(LEFT(Y505, MATCH(FALSE, ISNUMBER(MID(Y505, ROW(INDIRECT("1:"&amp;LEN(Y505)+1)), 1) *1), 0) -1),"")</f>
        <v/>
      </c>
      <c r="AA505" s="209" t="str">
        <f t="shared" ca="1" si="22"/>
        <v/>
      </c>
      <c r="AB505" s="209" t="str">
        <f ca="1">IFERROR(AA505*SUMPRODUCT(Items!A$242:A$254,Items!AQ$242:AQ$254)/SUM(Items!A$242:A$254),"")</f>
        <v/>
      </c>
      <c r="AH505" s="309"/>
    </row>
    <row r="506" spans="2:34" ht="17">
      <c r="B506" s="206" t="s">
        <v>1400</v>
      </c>
      <c r="C506" s="207" t="s">
        <v>38</v>
      </c>
      <c r="D506" s="207" t="s">
        <v>216</v>
      </c>
      <c r="E506" s="210" t="s">
        <v>1401</v>
      </c>
      <c r="F506" s="102" t="str">
        <f t="shared" si="21"/>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22"/>
        <v/>
      </c>
      <c r="AB506" s="209" t="str">
        <f ca="1">IFERROR(AA506*SUMPRODUCT(Items!A$242:A$254,Items!AQ$242:AQ$254)/SUM(Items!A$242:A$254),"")</f>
        <v/>
      </c>
      <c r="AH506" s="309"/>
    </row>
    <row r="507" spans="2:34" ht="17">
      <c r="B507" s="206" t="s">
        <v>1402</v>
      </c>
      <c r="C507" s="207" t="s">
        <v>216</v>
      </c>
      <c r="D507" s="207" t="s">
        <v>216</v>
      </c>
      <c r="E507" s="210" t="s">
        <v>1403</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IFERROR(AA507*SUMPRODUCT(Items!A$242:A$254,Items!AQ$242:AQ$254)/SUM(Items!A$242:A$254),"")</f>
        <v/>
      </c>
      <c r="AH507" s="309"/>
    </row>
    <row r="508" spans="2:34" ht="17">
      <c r="B508" s="206" t="s">
        <v>1404</v>
      </c>
      <c r="C508" s="207" t="s">
        <v>856</v>
      </c>
      <c r="D508" s="207" t="s">
        <v>1345</v>
      </c>
      <c r="E508" s="210" t="s">
        <v>1405</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IFERROR(AA508*SUMPRODUCT(Items!A$242:A$254,Items!AQ$242:AQ$254)/SUM(Items!A$242:A$254),"")</f>
        <v/>
      </c>
      <c r="AH508" s="309"/>
    </row>
    <row r="509" spans="2:34" ht="17">
      <c r="B509" s="206" t="s">
        <v>1464</v>
      </c>
      <c r="C509" s="207" t="s">
        <v>352</v>
      </c>
      <c r="D509" s="207" t="s">
        <v>216</v>
      </c>
      <c r="E509" s="210" t="s">
        <v>1406</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IFERROR(AA509*SUMPRODUCT(Items!A$242:A$254,Items!AQ$242:AQ$254)/SUM(Items!A$242:A$254),"")</f>
        <v/>
      </c>
      <c r="AH509" s="309"/>
    </row>
    <row r="510" spans="2:34" ht="17">
      <c r="B510" s="206" t="s">
        <v>1407</v>
      </c>
      <c r="C510" s="207" t="s">
        <v>69</v>
      </c>
      <c r="D510" s="207" t="s">
        <v>216</v>
      </c>
      <c r="E510" s="210" t="s">
        <v>1406</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IFERROR(AA510*SUMPRODUCT(Items!A$242:A$254,Items!AQ$242:AQ$254)/SUM(Items!A$242:A$254),"")</f>
        <v/>
      </c>
      <c r="AH510" s="309"/>
    </row>
    <row r="511" spans="2:34" ht="17">
      <c r="B511" s="206" t="s">
        <v>1408</v>
      </c>
      <c r="C511" s="207" t="s">
        <v>69</v>
      </c>
      <c r="D511" s="207" t="s">
        <v>216</v>
      </c>
      <c r="E511" s="210" t="s">
        <v>1406</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IFERROR(AA511*SUMPRODUCT(Items!A$242:A$254,Items!AQ$242:AQ$254)/SUM(Items!A$242:A$254),"")</f>
        <v/>
      </c>
      <c r="AH511" s="309"/>
    </row>
    <row r="512" spans="2:34" ht="17">
      <c r="B512" s="206" t="s">
        <v>1409</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IFERROR(AA512*SUMPRODUCT(Items!A$242:A$254,Items!AQ$242:AQ$254)/SUM(Items!A$242:A$254),"")</f>
        <v/>
      </c>
      <c r="AH512" s="309"/>
    </row>
    <row r="513" spans="1:34" ht="17">
      <c r="B513" s="206" t="s">
        <v>1410</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1411</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1412</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1413</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1414</v>
      </c>
      <c r="C517" s="207" t="s">
        <v>1086</v>
      </c>
      <c r="D517" s="207" t="s">
        <v>1086</v>
      </c>
      <c r="E517" s="210" t="s">
        <v>1415</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1461</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1469</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1466</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1465</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1467</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1468</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1471</v>
      </c>
      <c r="C524" s="207" t="s">
        <v>1237</v>
      </c>
      <c r="D524" s="207" t="s">
        <v>216</v>
      </c>
      <c r="E524" s="207" t="s">
        <v>1472</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1473</v>
      </c>
      <c r="C525" s="207" t="s">
        <v>216</v>
      </c>
      <c r="D525" s="207" t="s">
        <v>216</v>
      </c>
      <c r="E525" s="210" t="s">
        <v>1474</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1475</v>
      </c>
      <c r="C526" s="207" t="s">
        <v>342</v>
      </c>
      <c r="D526" s="207" t="s">
        <v>342</v>
      </c>
      <c r="E526" s="210" t="s">
        <v>1476</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1477</v>
      </c>
      <c r="C527" s="207" t="s">
        <v>1375</v>
      </c>
      <c r="D527" s="207" t="s">
        <v>1375</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1478</v>
      </c>
      <c r="C528" s="207" t="s">
        <v>355</v>
      </c>
      <c r="D528" s="207" t="s">
        <v>216</v>
      </c>
      <c r="E528" s="210" t="s">
        <v>1479</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1482</v>
      </c>
      <c r="C529" s="207" t="s">
        <v>51</v>
      </c>
      <c r="D529" s="207" t="s">
        <v>51</v>
      </c>
      <c r="E529" s="210" t="s">
        <v>1480</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1492</v>
      </c>
      <c r="C530" s="207" t="s">
        <v>1493</v>
      </c>
      <c r="D530" s="207" t="s">
        <v>1493</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1497</v>
      </c>
      <c r="C531" s="207" t="s">
        <v>1498</v>
      </c>
      <c r="D531" s="207" t="s">
        <v>1499</v>
      </c>
      <c r="E531" s="210" t="s">
        <v>1500</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1501</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1502</v>
      </c>
      <c r="C533" s="207" t="s">
        <v>1503</v>
      </c>
      <c r="D533" s="207" t="s">
        <v>954</v>
      </c>
      <c r="E533" s="210" t="s">
        <v>1504</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1505</v>
      </c>
      <c r="C534" s="207" t="s">
        <v>32</v>
      </c>
      <c r="D534" s="207" t="s">
        <v>216</v>
      </c>
      <c r="E534" s="210" t="s">
        <v>1506</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1507</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1509</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1510</v>
      </c>
      <c r="C537" s="207" t="s">
        <v>216</v>
      </c>
      <c r="D537" s="207" t="s">
        <v>216</v>
      </c>
      <c r="E537" s="210" t="s">
        <v>1511</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1512</v>
      </c>
      <c r="C538" s="207" t="s">
        <v>69</v>
      </c>
      <c r="D538" s="207" t="s">
        <v>216</v>
      </c>
      <c r="E538" s="210" t="s">
        <v>1513</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1514</v>
      </c>
      <c r="C539" s="207" t="s">
        <v>216</v>
      </c>
      <c r="D539" s="207" t="s">
        <v>216</v>
      </c>
      <c r="F539" s="102" t="str">
        <f t="shared" si="23"/>
        <v>ML</v>
      </c>
      <c r="G539" s="208" t="s">
        <v>1515</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1516</v>
      </c>
      <c r="C540" s="207" t="s">
        <v>216</v>
      </c>
      <c r="D540" s="207" t="s">
        <v>216</v>
      </c>
      <c r="E540" s="210" t="s">
        <v>1518</v>
      </c>
      <c r="F540" s="102" t="str">
        <f t="shared" si="23"/>
        <v>TP</v>
      </c>
      <c r="G540" s="217" t="s">
        <v>1517</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1519</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1520</v>
      </c>
      <c r="C542" s="207" t="s">
        <v>1521</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1527</v>
      </c>
      <c r="C543" s="207" t="s">
        <v>1528</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1529</v>
      </c>
      <c r="C544" s="207" t="s">
        <v>219</v>
      </c>
      <c r="D544" s="207" t="s">
        <v>216</v>
      </c>
      <c r="E544" s="210" t="s">
        <v>1531</v>
      </c>
      <c r="F544" s="102" t="str">
        <f t="shared" si="23"/>
        <v>AE</v>
      </c>
      <c r="G544" s="208" t="s">
        <v>1530</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1532</v>
      </c>
      <c r="C545" s="207" t="s">
        <v>1533</v>
      </c>
      <c r="D545" s="207" t="s">
        <v>216</v>
      </c>
      <c r="E545" s="210" t="s">
        <v>1534</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1537</v>
      </c>
      <c r="C546" s="207" t="s">
        <v>216</v>
      </c>
      <c r="D546" s="207" t="s">
        <v>216</v>
      </c>
      <c r="E546" s="210" t="s">
        <v>1538</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1539</v>
      </c>
      <c r="C547" s="207" t="s">
        <v>182</v>
      </c>
      <c r="D547" s="207" t="s">
        <v>216</v>
      </c>
      <c r="E547" s="210" t="s">
        <v>1540</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1541</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1544</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1548</v>
      </c>
      <c r="C550" s="207" t="s">
        <v>216</v>
      </c>
      <c r="D550" s="207" t="s">
        <v>216</v>
      </c>
      <c r="E550" s="210" t="s">
        <v>1547</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1549</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1551</v>
      </c>
      <c r="C552" s="207" t="s">
        <v>51</v>
      </c>
      <c r="D552" s="207" t="s">
        <v>51</v>
      </c>
      <c r="E552" s="210" t="s">
        <v>1552</v>
      </c>
      <c r="F552" s="102" t="str">
        <f t="shared" si="23"/>
        <v>ASAL</v>
      </c>
      <c r="G552" s="208" t="s">
        <v>1553</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1554</v>
      </c>
      <c r="C553" s="207" t="s">
        <v>216</v>
      </c>
      <c r="D553" s="207" t="s">
        <v>216</v>
      </c>
      <c r="E553" s="210" t="s">
        <v>1555</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1557</v>
      </c>
      <c r="C554" s="207" t="s">
        <v>566</v>
      </c>
      <c r="D554" s="207" t="s">
        <v>216</v>
      </c>
      <c r="E554" s="210" t="s">
        <v>1558</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1567</v>
      </c>
      <c r="C555" s="207" t="s">
        <v>352</v>
      </c>
      <c r="D555" s="207" t="s">
        <v>216</v>
      </c>
      <c r="E555" s="210" t="s">
        <v>1568</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1569</v>
      </c>
      <c r="C556" s="207" t="s">
        <v>216</v>
      </c>
      <c r="D556" s="207" t="s">
        <v>216</v>
      </c>
      <c r="E556" s="210" t="s">
        <v>1570</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1571</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1352</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1631</v>
      </c>
      <c r="C559" s="207" t="s">
        <v>192</v>
      </c>
      <c r="D559" s="207" t="s">
        <v>216</v>
      </c>
      <c r="E559" s="210" t="s">
        <v>1574</v>
      </c>
      <c r="F559" s="102" t="str">
        <f t="shared" si="23"/>
        <v>ODC</v>
      </c>
      <c r="G559" s="208" t="s">
        <v>1573</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2426</v>
      </c>
      <c r="C560" s="207" t="s">
        <v>1576</v>
      </c>
      <c r="D560" s="207" t="s">
        <v>35</v>
      </c>
      <c r="E560" s="210" t="s">
        <v>1577</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1581</v>
      </c>
      <c r="C561" s="207" t="s">
        <v>1579</v>
      </c>
      <c r="D561" s="207" t="s">
        <v>216</v>
      </c>
      <c r="E561" s="210" t="s">
        <v>1580</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1582</v>
      </c>
      <c r="C562" s="207" t="s">
        <v>93</v>
      </c>
      <c r="D562" s="207" t="s">
        <v>216</v>
      </c>
      <c r="E562" s="210" t="s">
        <v>1583</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1584</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1708</v>
      </c>
      <c r="C564" s="207" t="s">
        <v>182</v>
      </c>
      <c r="D564" s="207" t="s">
        <v>216</v>
      </c>
      <c r="E564" s="210" t="s">
        <v>1705</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1706</v>
      </c>
      <c r="C565" s="207" t="s">
        <v>1396</v>
      </c>
      <c r="D565" s="207" t="s">
        <v>216</v>
      </c>
      <c r="E565" s="210" t="s">
        <v>1589</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1707</v>
      </c>
      <c r="C566" s="207" t="s">
        <v>396</v>
      </c>
      <c r="D566" s="207" t="s">
        <v>216</v>
      </c>
      <c r="E566" s="210" t="s">
        <v>1590</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1593</v>
      </c>
      <c r="C567" s="207" t="s">
        <v>35</v>
      </c>
      <c r="D567" s="207" t="s">
        <v>35</v>
      </c>
      <c r="E567" s="210" t="s">
        <v>1591</v>
      </c>
      <c r="F567" s="102" t="str">
        <f t="shared" si="23"/>
        <v>SEL</v>
      </c>
      <c r="G567" s="208" t="s">
        <v>1592</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1924</v>
      </c>
      <c r="C568" s="215" t="s">
        <v>1925</v>
      </c>
      <c r="D568" s="215" t="s">
        <v>216</v>
      </c>
      <c r="E568" s="216" t="s">
        <v>1591</v>
      </c>
      <c r="F568" s="102" t="str">
        <f t="shared" si="23"/>
        <v>SEL-</v>
      </c>
      <c r="G568" s="218" t="s">
        <v>1592</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1595</v>
      </c>
      <c r="C569" s="207" t="s">
        <v>274</v>
      </c>
      <c r="D569" s="207" t="s">
        <v>35</v>
      </c>
      <c r="E569" s="210" t="s">
        <v>1596</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1597</v>
      </c>
      <c r="C570" s="207" t="s">
        <v>29</v>
      </c>
      <c r="D570" s="207" t="s">
        <v>1499</v>
      </c>
      <c r="E570" s="210" t="s">
        <v>1598</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1599</v>
      </c>
      <c r="C571" s="207" t="s">
        <v>414</v>
      </c>
      <c r="D571" s="207" t="s">
        <v>216</v>
      </c>
      <c r="E571" s="210" t="s">
        <v>1570</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1600</v>
      </c>
      <c r="C572" s="207" t="s">
        <v>120</v>
      </c>
      <c r="D572" s="207" t="s">
        <v>216</v>
      </c>
      <c r="E572" s="210" t="s">
        <v>1570</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1601</v>
      </c>
      <c r="C573" s="207" t="s">
        <v>120</v>
      </c>
      <c r="D573" s="207" t="s">
        <v>216</v>
      </c>
      <c r="E573" s="210" t="s">
        <v>1602</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1603</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1607</v>
      </c>
      <c r="C575" s="207" t="s">
        <v>1605</v>
      </c>
      <c r="D575" s="207" t="s">
        <v>216</v>
      </c>
      <c r="E575" s="210" t="s">
        <v>1608</v>
      </c>
      <c r="F575" s="102" t="str">
        <f t="shared" si="23"/>
        <v>GI-G</v>
      </c>
      <c r="G575" s="208" t="s">
        <v>1606</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1609</v>
      </c>
      <c r="C576" s="207" t="s">
        <v>1610</v>
      </c>
      <c r="D576" s="207" t="s">
        <v>35</v>
      </c>
      <c r="E576" s="210" t="s">
        <v>1611</v>
      </c>
      <c r="F576" s="102" t="str">
        <f t="shared" si="23"/>
        <v>DTL</v>
      </c>
      <c r="G576" s="208" t="s">
        <v>1613</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1575</v>
      </c>
      <c r="C577" s="207" t="s">
        <v>216</v>
      </c>
      <c r="D577" s="207" t="s">
        <v>216</v>
      </c>
      <c r="E577" s="210" t="s">
        <v>1614</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1617</v>
      </c>
      <c r="C578" s="207" t="s">
        <v>1618</v>
      </c>
      <c r="D578" s="207" t="s">
        <v>1618</v>
      </c>
      <c r="E578" s="210" t="s">
        <v>1619</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1620</v>
      </c>
      <c r="C579" s="207" t="s">
        <v>595</v>
      </c>
      <c r="D579" s="207" t="s">
        <v>216</v>
      </c>
      <c r="E579" s="210" t="s">
        <v>1621</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1624</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1625</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1626</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1627</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1628</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1629</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1630</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1632</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1646</v>
      </c>
      <c r="C588" s="207" t="s">
        <v>1647</v>
      </c>
      <c r="D588" s="207" t="s">
        <v>35</v>
      </c>
      <c r="F588" s="102" t="str">
        <f t="shared" si="27"/>
        <v>RA</v>
      </c>
      <c r="H588" s="219" t="s">
        <v>1648</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1650</v>
      </c>
      <c r="C589" s="207" t="s">
        <v>1651</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1556</v>
      </c>
      <c r="C590" s="207" t="s">
        <v>1653</v>
      </c>
      <c r="D590" s="207" t="s">
        <v>35</v>
      </c>
      <c r="E590" s="210" t="s">
        <v>1654</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1663</v>
      </c>
      <c r="C591" s="207" t="s">
        <v>770</v>
      </c>
      <c r="D591" s="207" t="s">
        <v>35</v>
      </c>
      <c r="E591" s="210" t="s">
        <v>1664</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1665</v>
      </c>
      <c r="C592" s="207" t="s">
        <v>1666</v>
      </c>
      <c r="D592" s="207" t="s">
        <v>216</v>
      </c>
      <c r="E592" s="210" t="s">
        <v>1667</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1668</v>
      </c>
      <c r="C593" s="207" t="s">
        <v>1669</v>
      </c>
      <c r="D593" s="207" t="s">
        <v>35</v>
      </c>
      <c r="E593" s="210" t="s">
        <v>1670</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1671</v>
      </c>
      <c r="C594" s="207" t="s">
        <v>120</v>
      </c>
      <c r="D594" s="207" t="s">
        <v>216</v>
      </c>
      <c r="E594" s="210" t="s">
        <v>1673</v>
      </c>
      <c r="F594" s="102" t="str">
        <f t="shared" si="27"/>
        <v>IVPG</v>
      </c>
      <c r="G594" s="217" t="s">
        <v>1672</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1674</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1677</v>
      </c>
      <c r="C596" s="207" t="s">
        <v>1678</v>
      </c>
      <c r="D596" s="207" t="s">
        <v>216</v>
      </c>
      <c r="E596" s="210" t="s">
        <v>1679</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1680</v>
      </c>
      <c r="C597" s="207" t="s">
        <v>32</v>
      </c>
      <c r="D597" s="207" t="s">
        <v>216</v>
      </c>
      <c r="E597" s="210" t="s">
        <v>1682</v>
      </c>
      <c r="F597" s="102" t="str">
        <f t="shared" si="27"/>
        <v>O&amp;A</v>
      </c>
      <c r="G597" s="217" t="s">
        <v>1681</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1683</v>
      </c>
      <c r="C598" s="207" t="s">
        <v>216</v>
      </c>
      <c r="D598" s="207" t="s">
        <v>216</v>
      </c>
      <c r="E598" s="210" t="s">
        <v>1684</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1685</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1689</v>
      </c>
      <c r="C600" s="207" t="s">
        <v>438</v>
      </c>
      <c r="D600" s="207" t="s">
        <v>216</v>
      </c>
      <c r="E600" s="210" t="s">
        <v>1688</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1690</v>
      </c>
      <c r="C601" s="207" t="s">
        <v>32</v>
      </c>
      <c r="D601" s="207" t="s">
        <v>216</v>
      </c>
      <c r="E601" s="210" t="s">
        <v>1691</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1694</v>
      </c>
      <c r="C602" s="207" t="s">
        <v>38</v>
      </c>
      <c r="D602" s="207" t="s">
        <v>216</v>
      </c>
      <c r="E602" s="210" t="s">
        <v>1693</v>
      </c>
      <c r="F602" s="102" t="str">
        <f t="shared" si="27"/>
        <v>A</v>
      </c>
      <c r="Z602" s="309"/>
    </row>
    <row r="603" spans="2:28" ht="17">
      <c r="B603" s="206" t="s">
        <v>1697</v>
      </c>
      <c r="C603" s="207" t="s">
        <v>446</v>
      </c>
      <c r="D603" s="207" t="s">
        <v>35</v>
      </c>
      <c r="E603" s="210" t="s">
        <v>1698</v>
      </c>
      <c r="F603" s="102" t="str">
        <f t="shared" si="27"/>
        <v>DA</v>
      </c>
    </row>
    <row r="604" spans="2:28" ht="17">
      <c r="B604" s="206" t="s">
        <v>1699</v>
      </c>
      <c r="C604" s="207" t="s">
        <v>1618</v>
      </c>
      <c r="D604" s="207" t="s">
        <v>1618</v>
      </c>
      <c r="E604" s="210" t="s">
        <v>1700</v>
      </c>
      <c r="F604" s="102" t="str">
        <f t="shared" si="27"/>
        <v>AP</v>
      </c>
    </row>
    <row r="605" spans="2:28" ht="17">
      <c r="B605" s="206" t="s">
        <v>1701</v>
      </c>
      <c r="C605" s="207" t="s">
        <v>438</v>
      </c>
      <c r="D605" s="207" t="s">
        <v>216</v>
      </c>
      <c r="E605" s="210" t="s">
        <v>1702</v>
      </c>
      <c r="F605" s="102" t="str">
        <f t="shared" si="27"/>
        <v>S</v>
      </c>
      <c r="G605" s="208" t="s">
        <v>1703</v>
      </c>
    </row>
    <row r="606" spans="2:28" ht="17">
      <c r="B606" s="206" t="s">
        <v>1709</v>
      </c>
      <c r="C606" s="207" t="s">
        <v>342</v>
      </c>
      <c r="D606" s="207" t="s">
        <v>342</v>
      </c>
      <c r="E606" s="210" t="s">
        <v>1710</v>
      </c>
      <c r="F606" s="102" t="str">
        <f t="shared" si="27"/>
        <v>T-T</v>
      </c>
    </row>
    <row r="607" spans="2:28" ht="17">
      <c r="B607" s="206" t="s">
        <v>1711</v>
      </c>
      <c r="C607" s="207" t="s">
        <v>438</v>
      </c>
      <c r="D607" s="207" t="s">
        <v>216</v>
      </c>
      <c r="E607" s="210" t="s">
        <v>1712</v>
      </c>
      <c r="F607" s="102" t="str">
        <f t="shared" si="27"/>
        <v>MR</v>
      </c>
    </row>
    <row r="608" spans="2:28" ht="17">
      <c r="B608" s="206" t="s">
        <v>1713</v>
      </c>
      <c r="C608" s="207" t="s">
        <v>1716</v>
      </c>
      <c r="D608" s="207" t="s">
        <v>216</v>
      </c>
      <c r="E608" s="210" t="s">
        <v>1714</v>
      </c>
      <c r="F608" s="102" t="str">
        <f t="shared" si="27"/>
        <v>QIC</v>
      </c>
      <c r="G608" s="208" t="s">
        <v>1715</v>
      </c>
    </row>
    <row r="609" spans="2:8" ht="17">
      <c r="B609" s="206" t="s">
        <v>1717</v>
      </c>
      <c r="C609" s="207" t="s">
        <v>192</v>
      </c>
      <c r="D609" s="207" t="s">
        <v>216</v>
      </c>
      <c r="E609" s="210" t="s">
        <v>1718</v>
      </c>
      <c r="F609" s="102" t="str">
        <f t="shared" si="27"/>
        <v>T</v>
      </c>
    </row>
    <row r="610" spans="2:8" ht="17">
      <c r="B610" s="206" t="s">
        <v>1719</v>
      </c>
      <c r="C610" s="207" t="s">
        <v>342</v>
      </c>
      <c r="D610" s="207" t="s">
        <v>342</v>
      </c>
      <c r="E610" s="210" t="s">
        <v>1720</v>
      </c>
      <c r="F610" s="102" t="str">
        <f t="shared" si="27"/>
        <v>A</v>
      </c>
    </row>
    <row r="611" spans="2:8" ht="17">
      <c r="B611" s="206" t="s">
        <v>1721</v>
      </c>
      <c r="C611" s="207" t="s">
        <v>1722</v>
      </c>
      <c r="D611" s="207" t="s">
        <v>216</v>
      </c>
      <c r="F611" s="102" t="str">
        <f t="shared" si="27"/>
        <v>AK</v>
      </c>
    </row>
    <row r="612" spans="2:8" ht="17">
      <c r="B612" s="206" t="s">
        <v>1723</v>
      </c>
      <c r="C612" s="207" t="s">
        <v>182</v>
      </c>
      <c r="D612" s="207" t="s">
        <v>216</v>
      </c>
      <c r="E612" s="210" t="s">
        <v>1724</v>
      </c>
      <c r="F612" s="102" t="str">
        <f t="shared" si="27"/>
        <v>SE</v>
      </c>
      <c r="G612" s="208" t="s">
        <v>1725</v>
      </c>
      <c r="H612" s="219" t="s">
        <v>1727</v>
      </c>
    </row>
    <row r="613" spans="2:8" ht="17">
      <c r="B613" s="206" t="s">
        <v>1728</v>
      </c>
      <c r="C613" s="207" t="s">
        <v>216</v>
      </c>
      <c r="D613" s="207" t="s">
        <v>216</v>
      </c>
      <c r="E613" s="210" t="s">
        <v>1729</v>
      </c>
      <c r="F613" s="102" t="str">
        <f t="shared" si="27"/>
        <v>JA</v>
      </c>
    </row>
    <row r="614" spans="2:8" ht="17">
      <c r="B614" s="206" t="s">
        <v>1730</v>
      </c>
      <c r="C614" s="207" t="s">
        <v>971</v>
      </c>
      <c r="D614" s="207" t="s">
        <v>216</v>
      </c>
      <c r="E614" s="210" t="s">
        <v>1731</v>
      </c>
      <c r="F614" s="102" t="str">
        <f t="shared" si="27"/>
        <v>BS</v>
      </c>
    </row>
    <row r="615" spans="2:8" ht="17">
      <c r="B615" s="206" t="s">
        <v>1734</v>
      </c>
      <c r="C615" s="207" t="s">
        <v>1732</v>
      </c>
      <c r="D615" s="207" t="s">
        <v>957</v>
      </c>
      <c r="E615" s="210" t="s">
        <v>1733</v>
      </c>
      <c r="F615" s="102" t="str">
        <f t="shared" si="27"/>
        <v>E-E</v>
      </c>
    </row>
    <row r="616" spans="2:8" ht="34">
      <c r="B616" s="206" t="s">
        <v>1737</v>
      </c>
      <c r="C616" s="207" t="s">
        <v>1735</v>
      </c>
      <c r="D616" s="207" t="s">
        <v>216</v>
      </c>
      <c r="E616" s="210" t="s">
        <v>1736</v>
      </c>
      <c r="F616" s="102" t="str">
        <f t="shared" si="27"/>
        <v>MS</v>
      </c>
    </row>
    <row r="617" spans="2:8" ht="17">
      <c r="B617" s="206" t="s">
        <v>1740</v>
      </c>
      <c r="C617" s="207" t="s">
        <v>426</v>
      </c>
      <c r="D617" s="207" t="s">
        <v>216</v>
      </c>
      <c r="F617" s="102" t="str">
        <f t="shared" si="27"/>
        <v>AIS</v>
      </c>
    </row>
    <row r="618" spans="2:8" ht="34">
      <c r="B618" s="206" t="s">
        <v>1756</v>
      </c>
      <c r="C618" s="207" t="s">
        <v>35</v>
      </c>
      <c r="D618" s="207" t="s">
        <v>35</v>
      </c>
      <c r="E618" s="210" t="s">
        <v>1757</v>
      </c>
      <c r="F618" s="102" t="str">
        <f t="shared" si="27"/>
        <v>CWL</v>
      </c>
      <c r="G618" s="208" t="s">
        <v>1758</v>
      </c>
    </row>
    <row r="619" spans="2:8" ht="17">
      <c r="B619" s="206" t="s">
        <v>1759</v>
      </c>
      <c r="C619" s="207" t="s">
        <v>216</v>
      </c>
      <c r="D619" s="207" t="s">
        <v>216</v>
      </c>
      <c r="E619" s="210" t="s">
        <v>1760</v>
      </c>
      <c r="F619" s="102" t="str">
        <f t="shared" si="27"/>
        <v>R</v>
      </c>
    </row>
    <row r="620" spans="2:8" ht="17">
      <c r="B620" s="206" t="s">
        <v>1761</v>
      </c>
      <c r="C620" s="207" t="s">
        <v>216</v>
      </c>
      <c r="D620" s="207" t="s">
        <v>216</v>
      </c>
      <c r="E620" s="210" t="s">
        <v>1762</v>
      </c>
      <c r="F620" s="102" t="str">
        <f t="shared" si="27"/>
        <v>PA</v>
      </c>
    </row>
    <row r="621" spans="2:8" ht="17">
      <c r="B621" s="206" t="s">
        <v>2826</v>
      </c>
      <c r="C621" s="207" t="s">
        <v>216</v>
      </c>
      <c r="D621" s="207" t="s">
        <v>216</v>
      </c>
      <c r="E621" s="210" t="s">
        <v>1763</v>
      </c>
      <c r="F621" s="102" t="str">
        <f t="shared" si="27"/>
        <v>J-EC</v>
      </c>
    </row>
    <row r="622" spans="2:8" ht="17">
      <c r="B622" s="206" t="s">
        <v>1764</v>
      </c>
      <c r="C622" s="207" t="s">
        <v>803</v>
      </c>
      <c r="D622" s="207" t="s">
        <v>216</v>
      </c>
      <c r="E622" s="210" t="s">
        <v>1765</v>
      </c>
      <c r="F622" s="102" t="str">
        <f t="shared" si="27"/>
        <v>GA</v>
      </c>
    </row>
    <row r="623" spans="2:8" ht="17">
      <c r="B623" s="206" t="s">
        <v>1766</v>
      </c>
      <c r="C623" s="207" t="s">
        <v>1178</v>
      </c>
      <c r="D623" s="207" t="s">
        <v>216</v>
      </c>
      <c r="E623" s="210" t="s">
        <v>1767</v>
      </c>
      <c r="F623" s="102" t="str">
        <f t="shared" si="27"/>
        <v>LB</v>
      </c>
    </row>
    <row r="624" spans="2:8" ht="17">
      <c r="B624" s="206" t="s">
        <v>1769</v>
      </c>
      <c r="C624" s="207" t="s">
        <v>216</v>
      </c>
      <c r="D624" s="207" t="s">
        <v>216</v>
      </c>
      <c r="F624" s="102" t="str">
        <f t="shared" si="27"/>
        <v>KA</v>
      </c>
    </row>
    <row r="625" spans="2:7" ht="17">
      <c r="B625" s="206" t="s">
        <v>1771</v>
      </c>
      <c r="C625" s="207" t="s">
        <v>305</v>
      </c>
      <c r="D625" s="207" t="s">
        <v>305</v>
      </c>
      <c r="F625" s="102" t="str">
        <f t="shared" si="27"/>
        <v>H9LP</v>
      </c>
    </row>
    <row r="626" spans="2:7" ht="17">
      <c r="B626" s="206" t="s">
        <v>1773</v>
      </c>
      <c r="C626" s="207" t="s">
        <v>182</v>
      </c>
      <c r="D626" s="207" t="s">
        <v>216</v>
      </c>
      <c r="F626" s="102" t="str">
        <f t="shared" si="27"/>
        <v>SJTE</v>
      </c>
    </row>
    <row r="627" spans="2:7" ht="17">
      <c r="B627" s="206" t="s">
        <v>1778</v>
      </c>
      <c r="C627" s="207" t="s">
        <v>216</v>
      </c>
      <c r="D627" s="207" t="s">
        <v>216</v>
      </c>
      <c r="F627" s="102" t="str">
        <f t="shared" si="27"/>
        <v>IL</v>
      </c>
    </row>
    <row r="628" spans="2:7" ht="17">
      <c r="B628" s="206" t="s">
        <v>1779</v>
      </c>
      <c r="C628" s="207" t="s">
        <v>120</v>
      </c>
      <c r="D628" s="207" t="s">
        <v>216</v>
      </c>
      <c r="E628" s="210" t="s">
        <v>1780</v>
      </c>
      <c r="F628" s="102" t="str">
        <f t="shared" si="27"/>
        <v>E</v>
      </c>
    </row>
    <row r="629" spans="2:7" ht="17">
      <c r="B629" s="206" t="s">
        <v>1781</v>
      </c>
      <c r="C629" s="207" t="s">
        <v>342</v>
      </c>
      <c r="D629" s="207" t="s">
        <v>342</v>
      </c>
      <c r="E629" s="210" t="s">
        <v>1782</v>
      </c>
      <c r="F629" s="102" t="str">
        <f t="shared" si="27"/>
        <v>L</v>
      </c>
    </row>
    <row r="630" spans="2:7" ht="17">
      <c r="B630" s="206" t="s">
        <v>1783</v>
      </c>
      <c r="C630" s="207" t="s">
        <v>856</v>
      </c>
      <c r="D630" s="207" t="s">
        <v>856</v>
      </c>
      <c r="E630" s="210" t="s">
        <v>1784</v>
      </c>
      <c r="F630" s="102" t="str">
        <f t="shared" si="27"/>
        <v>UOEA</v>
      </c>
      <c r="G630" s="208" t="s">
        <v>1785</v>
      </c>
    </row>
    <row r="631" spans="2:7" ht="34">
      <c r="B631" s="206" t="s">
        <v>1786</v>
      </c>
      <c r="C631" s="207" t="s">
        <v>1787</v>
      </c>
      <c r="D631" s="207" t="s">
        <v>216</v>
      </c>
      <c r="F631" s="102" t="str">
        <f t="shared" si="27"/>
        <v>R</v>
      </c>
    </row>
    <row r="632" spans="2:7" ht="17">
      <c r="B632" s="206" t="s">
        <v>1788</v>
      </c>
      <c r="C632" s="207" t="s">
        <v>216</v>
      </c>
      <c r="D632" s="207" t="s">
        <v>216</v>
      </c>
      <c r="E632" s="210" t="s">
        <v>1</v>
      </c>
      <c r="F632" s="102" t="str">
        <f t="shared" si="27"/>
        <v>PC</v>
      </c>
    </row>
    <row r="633" spans="2:7" ht="17">
      <c r="B633" s="206" t="s">
        <v>1789</v>
      </c>
      <c r="C633" s="207" t="s">
        <v>29</v>
      </c>
      <c r="D633" s="207" t="s">
        <v>955</v>
      </c>
      <c r="E633" s="210" t="s">
        <v>1790</v>
      </c>
      <c r="F633" s="102" t="str">
        <f t="shared" si="27"/>
        <v>P</v>
      </c>
    </row>
    <row r="634" spans="2:7" ht="17">
      <c r="B634" s="206" t="s">
        <v>1791</v>
      </c>
      <c r="C634" s="207" t="s">
        <v>1576</v>
      </c>
      <c r="D634" s="207" t="s">
        <v>35</v>
      </c>
      <c r="E634" s="210" t="s">
        <v>1792</v>
      </c>
      <c r="F634" s="102" t="str">
        <f t="shared" si="27"/>
        <v>MMOG</v>
      </c>
      <c r="G634" s="208" t="s">
        <v>1793</v>
      </c>
    </row>
    <row r="635" spans="2:7" ht="34">
      <c r="B635" s="206" t="s">
        <v>1794</v>
      </c>
      <c r="C635" s="207" t="s">
        <v>1795</v>
      </c>
      <c r="D635" s="207" t="s">
        <v>35</v>
      </c>
      <c r="E635" s="210" t="s">
        <v>1792</v>
      </c>
      <c r="F635" s="102" t="str">
        <f t="shared" si="27"/>
        <v>CA</v>
      </c>
    </row>
    <row r="636" spans="2:7" ht="17">
      <c r="B636" s="206" t="s">
        <v>1797</v>
      </c>
      <c r="C636" s="207" t="s">
        <v>554</v>
      </c>
      <c r="D636" s="207" t="s">
        <v>216</v>
      </c>
      <c r="F636" s="102" t="str">
        <f t="shared" si="27"/>
        <v>D</v>
      </c>
    </row>
    <row r="637" spans="2:7" ht="17">
      <c r="B637" s="206" t="s">
        <v>1798</v>
      </c>
      <c r="C637" s="207" t="s">
        <v>1799</v>
      </c>
      <c r="D637" s="207" t="s">
        <v>216</v>
      </c>
      <c r="E637" s="210" t="s">
        <v>1800</v>
      </c>
      <c r="F637" s="102" t="str">
        <f t="shared" si="27"/>
        <v>R-SH</v>
      </c>
    </row>
    <row r="638" spans="2:7" ht="51">
      <c r="B638" s="206" t="s">
        <v>1808</v>
      </c>
      <c r="C638" s="207" t="s">
        <v>1809</v>
      </c>
      <c r="D638" s="207" t="s">
        <v>49</v>
      </c>
      <c r="E638" s="210" t="s">
        <v>1811</v>
      </c>
      <c r="F638" s="102" t="str">
        <f t="shared" si="27"/>
        <v>NL</v>
      </c>
      <c r="G638" s="208" t="s">
        <v>1810</v>
      </c>
    </row>
    <row r="639" spans="2:7" ht="17">
      <c r="B639" s="206" t="s">
        <v>1826</v>
      </c>
      <c r="C639" s="207" t="s">
        <v>1827</v>
      </c>
      <c r="D639" s="207" t="s">
        <v>216</v>
      </c>
      <c r="F639" s="102" t="str">
        <f t="shared" si="27"/>
        <v>RY</v>
      </c>
    </row>
    <row r="640" spans="2:7" ht="17">
      <c r="B640" s="206" t="s">
        <v>1842</v>
      </c>
      <c r="C640" s="207" t="s">
        <v>250</v>
      </c>
      <c r="D640" s="207" t="s">
        <v>216</v>
      </c>
      <c r="F640" s="102" t="str">
        <f t="shared" si="27"/>
        <v>MB</v>
      </c>
    </row>
    <row r="641" spans="2:7" ht="17">
      <c r="B641" s="206" t="s">
        <v>1844</v>
      </c>
      <c r="C641" s="207" t="s">
        <v>216</v>
      </c>
      <c r="D641" s="207" t="s">
        <v>216</v>
      </c>
      <c r="E641" s="210" t="s">
        <v>1845</v>
      </c>
      <c r="F641" s="102" t="str">
        <f t="shared" si="27"/>
        <v>PJ</v>
      </c>
    </row>
    <row r="642" spans="2:7" ht="17">
      <c r="B642" s="206" t="s">
        <v>1846</v>
      </c>
      <c r="C642" s="207" t="s">
        <v>1254</v>
      </c>
      <c r="D642" s="207" t="s">
        <v>1254</v>
      </c>
      <c r="E642" s="210" t="s">
        <v>1847</v>
      </c>
      <c r="F642" s="102" t="str">
        <f t="shared" si="27"/>
        <v>IKK</v>
      </c>
    </row>
    <row r="643" spans="2:7" ht="17">
      <c r="B643" s="206" t="s">
        <v>1851</v>
      </c>
      <c r="C643" s="207" t="s">
        <v>392</v>
      </c>
      <c r="D643" s="207" t="s">
        <v>216</v>
      </c>
      <c r="E643" s="210" t="s">
        <v>1850</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1852</v>
      </c>
      <c r="C644" s="207" t="s">
        <v>1178</v>
      </c>
      <c r="D644" s="207" t="s">
        <v>216</v>
      </c>
      <c r="E644" s="210" t="s">
        <v>1853</v>
      </c>
      <c r="F644" s="102" t="str">
        <f t="shared" si="29"/>
        <v>SRB</v>
      </c>
      <c r="G644" s="208" t="s">
        <v>1854</v>
      </c>
    </row>
    <row r="645" spans="2:7" ht="17">
      <c r="B645" s="206" t="s">
        <v>1855</v>
      </c>
      <c r="C645" s="207" t="s">
        <v>1856</v>
      </c>
      <c r="D645" s="207" t="s">
        <v>1856</v>
      </c>
      <c r="E645" s="210" t="s">
        <v>1857</v>
      </c>
      <c r="F645" s="102" t="str">
        <f t="shared" si="29"/>
        <v>LMZ</v>
      </c>
    </row>
    <row r="646" spans="2:7" ht="17">
      <c r="B646" s="206" t="s">
        <v>1859</v>
      </c>
      <c r="C646" s="207" t="s">
        <v>216</v>
      </c>
      <c r="D646" s="207" t="s">
        <v>216</v>
      </c>
      <c r="F646" s="102" t="str">
        <f t="shared" si="29"/>
        <v>KTH</v>
      </c>
    </row>
    <row r="647" spans="2:7" ht="17">
      <c r="B647" s="206" t="s">
        <v>1860</v>
      </c>
      <c r="C647" s="207" t="s">
        <v>466</v>
      </c>
      <c r="D647" s="207" t="s">
        <v>954</v>
      </c>
      <c r="F647" s="102" t="str">
        <f t="shared" si="29"/>
        <v>BS</v>
      </c>
    </row>
    <row r="648" spans="2:7" ht="17">
      <c r="B648" s="206" t="s">
        <v>1861</v>
      </c>
      <c r="C648" s="207" t="s">
        <v>274</v>
      </c>
      <c r="D648" s="207" t="s">
        <v>216</v>
      </c>
      <c r="E648" s="210" t="s">
        <v>1862</v>
      </c>
      <c r="F648" s="102" t="str">
        <f t="shared" si="29"/>
        <v>JA-J</v>
      </c>
    </row>
    <row r="649" spans="2:7" ht="17">
      <c r="B649" s="206" t="s">
        <v>1863</v>
      </c>
      <c r="C649" s="207" t="s">
        <v>1864</v>
      </c>
      <c r="D649" s="207" t="s">
        <v>216</v>
      </c>
      <c r="F649" s="102" t="str">
        <f t="shared" si="29"/>
        <v>ABG</v>
      </c>
      <c r="G649" s="208" t="s">
        <v>1184</v>
      </c>
    </row>
    <row r="650" spans="2:7" ht="17">
      <c r="B650" s="206" t="s">
        <v>1866</v>
      </c>
      <c r="C650" s="207" t="s">
        <v>216</v>
      </c>
      <c r="D650" s="207" t="s">
        <v>216</v>
      </c>
      <c r="E650" s="210" t="s">
        <v>1867</v>
      </c>
      <c r="F650" s="102" t="str">
        <f t="shared" si="29"/>
        <v>KICA</v>
      </c>
      <c r="G650" s="208" t="s">
        <v>1868</v>
      </c>
    </row>
    <row r="651" spans="2:7" ht="17">
      <c r="B651" s="206" t="s">
        <v>1869</v>
      </c>
      <c r="C651" s="207" t="s">
        <v>216</v>
      </c>
      <c r="D651" s="207" t="s">
        <v>216</v>
      </c>
      <c r="E651" s="210" t="s">
        <v>1870</v>
      </c>
      <c r="F651" s="102" t="str">
        <f t="shared" si="29"/>
        <v>KA</v>
      </c>
    </row>
    <row r="652" spans="2:7" ht="17">
      <c r="B652" s="206" t="s">
        <v>1871</v>
      </c>
      <c r="C652" s="207" t="s">
        <v>1872</v>
      </c>
      <c r="D652" s="207" t="s">
        <v>216</v>
      </c>
      <c r="F652" s="102" t="str">
        <f t="shared" si="29"/>
        <v>MA</v>
      </c>
    </row>
    <row r="653" spans="2:7" ht="17">
      <c r="B653" s="206" t="s">
        <v>1873</v>
      </c>
      <c r="C653" s="207" t="s">
        <v>117</v>
      </c>
      <c r="D653" s="207" t="s">
        <v>216</v>
      </c>
      <c r="E653" s="210" t="s">
        <v>1874</v>
      </c>
      <c r="F653" s="102" t="str">
        <f t="shared" si="29"/>
        <v>WD</v>
      </c>
    </row>
    <row r="654" spans="2:7" ht="17">
      <c r="B654" s="206" t="s">
        <v>1875</v>
      </c>
      <c r="C654" s="207" t="s">
        <v>1396</v>
      </c>
      <c r="D654" s="207" t="s">
        <v>216</v>
      </c>
      <c r="E654" s="210" t="s">
        <v>1876</v>
      </c>
      <c r="F654" s="102" t="str">
        <f t="shared" si="29"/>
        <v>PO</v>
      </c>
    </row>
    <row r="655" spans="2:7" ht="17">
      <c r="B655" s="206" t="s">
        <v>1877</v>
      </c>
      <c r="C655" s="207" t="s">
        <v>216</v>
      </c>
      <c r="D655" s="207" t="s">
        <v>216</v>
      </c>
      <c r="E655" s="207" t="s">
        <v>1878</v>
      </c>
      <c r="F655" s="102" t="str">
        <f t="shared" si="29"/>
        <v>D</v>
      </c>
    </row>
    <row r="656" spans="2:7" ht="17">
      <c r="B656" s="206" t="s">
        <v>1880</v>
      </c>
      <c r="C656" s="207" t="s">
        <v>216</v>
      </c>
      <c r="D656" s="207" t="s">
        <v>216</v>
      </c>
      <c r="E656" s="210" t="s">
        <v>1881</v>
      </c>
      <c r="F656" s="102" t="str">
        <f t="shared" si="29"/>
        <v>M</v>
      </c>
    </row>
    <row r="657" spans="2:8" ht="17">
      <c r="B657" s="206" t="s">
        <v>2437</v>
      </c>
      <c r="C657" s="207" t="s">
        <v>576</v>
      </c>
      <c r="D657" s="207" t="s">
        <v>1082</v>
      </c>
      <c r="E657" s="210" t="s">
        <v>1881</v>
      </c>
      <c r="F657" s="102" t="str">
        <f t="shared" si="29"/>
        <v>M-N</v>
      </c>
    </row>
    <row r="658" spans="2:8" ht="17">
      <c r="B658" s="206" t="s">
        <v>1900</v>
      </c>
      <c r="C658" s="207" t="s">
        <v>216</v>
      </c>
      <c r="D658" s="207" t="s">
        <v>216</v>
      </c>
      <c r="E658" s="210" t="s">
        <v>1901</v>
      </c>
      <c r="F658" s="102" t="str">
        <f t="shared" si="29"/>
        <v>I</v>
      </c>
      <c r="G658" s="208" t="s">
        <v>1902</v>
      </c>
    </row>
    <row r="659" spans="2:8" ht="17">
      <c r="B659" s="206" t="s">
        <v>1904</v>
      </c>
      <c r="C659" s="207" t="s">
        <v>1905</v>
      </c>
      <c r="D659" s="207" t="s">
        <v>35</v>
      </c>
      <c r="E659" s="220" t="s">
        <v>1906</v>
      </c>
      <c r="F659" s="102" t="str">
        <f t="shared" si="29"/>
        <v>GGC</v>
      </c>
      <c r="G659" s="208" t="s">
        <v>1903</v>
      </c>
    </row>
    <row r="660" spans="2:8" ht="17">
      <c r="B660" s="206" t="s">
        <v>1910</v>
      </c>
      <c r="C660" s="207" t="s">
        <v>57</v>
      </c>
      <c r="D660" s="207" t="s">
        <v>954</v>
      </c>
      <c r="F660" s="102" t="str">
        <f t="shared" si="29"/>
        <v>GM</v>
      </c>
    </row>
    <row r="661" spans="2:8" ht="17">
      <c r="B661" s="206" t="s">
        <v>1928</v>
      </c>
      <c r="C661" s="207" t="s">
        <v>216</v>
      </c>
      <c r="D661" s="207" t="s">
        <v>216</v>
      </c>
      <c r="E661" s="210" t="s">
        <v>1926</v>
      </c>
      <c r="F661" s="102" t="str">
        <f t="shared" si="29"/>
        <v>TO</v>
      </c>
      <c r="H661" s="219" t="s">
        <v>1927</v>
      </c>
    </row>
    <row r="662" spans="2:8" ht="17">
      <c r="B662" s="206" t="s">
        <v>1929</v>
      </c>
      <c r="C662" s="207" t="s">
        <v>438</v>
      </c>
      <c r="D662" s="207" t="s">
        <v>216</v>
      </c>
      <c r="E662" s="210" t="s">
        <v>2193</v>
      </c>
      <c r="F662" s="102" t="str">
        <f t="shared" si="29"/>
        <v>CS</v>
      </c>
    </row>
    <row r="663" spans="2:8" ht="17">
      <c r="B663" s="206" t="s">
        <v>1939</v>
      </c>
      <c r="C663" s="207" t="s">
        <v>1940</v>
      </c>
      <c r="D663" s="207" t="s">
        <v>216</v>
      </c>
      <c r="E663" s="210" t="s">
        <v>1941</v>
      </c>
      <c r="F663" s="102" t="str">
        <f t="shared" si="29"/>
        <v>JK</v>
      </c>
    </row>
    <row r="664" spans="2:8" ht="17">
      <c r="B664" s="206" t="s">
        <v>1943</v>
      </c>
      <c r="C664" s="207" t="s">
        <v>295</v>
      </c>
      <c r="D664" s="207" t="s">
        <v>295</v>
      </c>
      <c r="E664" s="210" t="s">
        <v>1944</v>
      </c>
      <c r="F664" s="102" t="str">
        <f t="shared" si="29"/>
        <v>A</v>
      </c>
    </row>
    <row r="665" spans="2:8" ht="17">
      <c r="B665" s="206" t="s">
        <v>2189</v>
      </c>
      <c r="C665" s="207" t="s">
        <v>2190</v>
      </c>
      <c r="D665" s="207" t="s">
        <v>216</v>
      </c>
      <c r="E665" s="210" t="s">
        <v>2191</v>
      </c>
      <c r="F665" s="102" t="str">
        <f t="shared" si="29"/>
        <v>PT</v>
      </c>
      <c r="H665" s="219" t="s">
        <v>2192</v>
      </c>
    </row>
    <row r="666" spans="2:8" ht="17">
      <c r="B666" s="206" t="s">
        <v>2319</v>
      </c>
      <c r="C666" s="207" t="s">
        <v>274</v>
      </c>
      <c r="D666" s="207" t="s">
        <v>216</v>
      </c>
      <c r="E666" s="210" t="s">
        <v>2320</v>
      </c>
      <c r="F666" s="102" t="str">
        <f t="shared" si="29"/>
        <v>EA</v>
      </c>
      <c r="H666" s="219" t="s">
        <v>2321</v>
      </c>
    </row>
    <row r="667" spans="2:8" ht="34">
      <c r="B667" s="206" t="s">
        <v>2322</v>
      </c>
      <c r="C667" s="207" t="s">
        <v>2323</v>
      </c>
      <c r="D667" s="207" t="s">
        <v>216</v>
      </c>
      <c r="E667" s="210" t="s">
        <v>2324</v>
      </c>
      <c r="F667" s="102" t="str">
        <f t="shared" si="29"/>
        <v>T</v>
      </c>
    </row>
    <row r="668" spans="2:8" ht="17">
      <c r="B668" s="206" t="s">
        <v>2325</v>
      </c>
      <c r="C668" s="207" t="s">
        <v>1533</v>
      </c>
      <c r="D668" s="207" t="s">
        <v>216</v>
      </c>
      <c r="E668" s="210" t="s">
        <v>1724</v>
      </c>
      <c r="F668" s="102" t="str">
        <f t="shared" si="29"/>
        <v>SICC</v>
      </c>
    </row>
    <row r="669" spans="2:8" ht="17">
      <c r="B669" s="206" t="s">
        <v>2326</v>
      </c>
      <c r="C669" s="207" t="s">
        <v>1533</v>
      </c>
      <c r="D669" s="207" t="s">
        <v>216</v>
      </c>
      <c r="E669" s="210" t="s">
        <v>1724</v>
      </c>
      <c r="F669" s="102" t="str">
        <f t="shared" si="29"/>
        <v>SICC</v>
      </c>
    </row>
    <row r="670" spans="2:8" ht="17">
      <c r="B670" s="206" t="s">
        <v>2328</v>
      </c>
      <c r="C670" s="207" t="s">
        <v>216</v>
      </c>
      <c r="D670" s="207" t="s">
        <v>216</v>
      </c>
      <c r="E670" s="210" t="s">
        <v>2329</v>
      </c>
      <c r="F670" s="102" t="str">
        <f t="shared" si="29"/>
        <v>B</v>
      </c>
    </row>
    <row r="671" spans="2:8" ht="17">
      <c r="B671" s="206" t="s">
        <v>2330</v>
      </c>
      <c r="C671" s="207" t="s">
        <v>801</v>
      </c>
      <c r="D671" s="207" t="s">
        <v>954</v>
      </c>
      <c r="F671" s="102" t="str">
        <f t="shared" si="29"/>
        <v>AK-A</v>
      </c>
    </row>
    <row r="672" spans="2:8" ht="17">
      <c r="B672" s="206" t="s">
        <v>2331</v>
      </c>
      <c r="C672" s="207" t="s">
        <v>612</v>
      </c>
      <c r="D672" s="207" t="s">
        <v>216</v>
      </c>
      <c r="E672" s="210" t="s">
        <v>2332</v>
      </c>
      <c r="F672" s="102" t="str">
        <f t="shared" si="29"/>
        <v>CA</v>
      </c>
    </row>
    <row r="673" spans="2:8" ht="17">
      <c r="B673" s="206" t="s">
        <v>2333</v>
      </c>
      <c r="C673" s="207" t="s">
        <v>2334</v>
      </c>
      <c r="D673" s="207" t="s">
        <v>955</v>
      </c>
      <c r="E673" s="210" t="s">
        <v>2335</v>
      </c>
      <c r="F673" s="102" t="str">
        <f t="shared" si="29"/>
        <v>MB</v>
      </c>
      <c r="H673" s="219" t="s">
        <v>2336</v>
      </c>
    </row>
    <row r="674" spans="2:8" ht="17">
      <c r="B674" s="206" t="s">
        <v>2353</v>
      </c>
      <c r="C674" s="207" t="s">
        <v>216</v>
      </c>
      <c r="D674" s="207" t="s">
        <v>216</v>
      </c>
      <c r="F674" s="102" t="str">
        <f t="shared" si="29"/>
        <v>AG</v>
      </c>
    </row>
    <row r="675" spans="2:8" ht="17">
      <c r="B675" s="206" t="s">
        <v>2354</v>
      </c>
      <c r="C675" s="207" t="s">
        <v>2355</v>
      </c>
      <c r="D675" s="207" t="s">
        <v>954</v>
      </c>
      <c r="E675" s="210" t="s">
        <v>2356</v>
      </c>
      <c r="F675" s="102" t="str">
        <f t="shared" si="29"/>
        <v>M</v>
      </c>
    </row>
    <row r="676" spans="2:8" ht="17">
      <c r="B676" s="206" t="s">
        <v>2357</v>
      </c>
      <c r="C676" s="207" t="s">
        <v>995</v>
      </c>
      <c r="D676" s="207" t="s">
        <v>955</v>
      </c>
      <c r="E676" s="210" t="s">
        <v>2358</v>
      </c>
      <c r="F676" s="102" t="str">
        <f t="shared" si="29"/>
        <v>EA</v>
      </c>
    </row>
    <row r="677" spans="2:8" ht="17">
      <c r="B677" s="206" t="s">
        <v>2359</v>
      </c>
      <c r="C677" s="207" t="s">
        <v>2360</v>
      </c>
      <c r="D677" s="207" t="s">
        <v>954</v>
      </c>
      <c r="E677" s="210" t="s">
        <v>2361</v>
      </c>
      <c r="F677" s="102" t="str">
        <f t="shared" si="29"/>
        <v>AB</v>
      </c>
    </row>
    <row r="678" spans="2:8" ht="51">
      <c r="B678" s="206" t="s">
        <v>2362</v>
      </c>
      <c r="C678" s="207" t="s">
        <v>2364</v>
      </c>
      <c r="D678" s="207" t="s">
        <v>216</v>
      </c>
      <c r="E678" s="210" t="s">
        <v>2363</v>
      </c>
      <c r="F678" s="102" t="str">
        <f t="shared" si="29"/>
        <v>EGAO</v>
      </c>
    </row>
    <row r="679" spans="2:8" ht="17">
      <c r="B679" s="206" t="s">
        <v>2365</v>
      </c>
      <c r="C679" s="207" t="s">
        <v>216</v>
      </c>
      <c r="D679" s="207" t="s">
        <v>216</v>
      </c>
      <c r="E679" s="210" t="s">
        <v>2366</v>
      </c>
      <c r="F679" s="102" t="str">
        <f t="shared" si="29"/>
        <v>J</v>
      </c>
    </row>
    <row r="680" spans="2:8" ht="34">
      <c r="B680" s="206" t="s">
        <v>2367</v>
      </c>
      <c r="C680" s="207" t="s">
        <v>2368</v>
      </c>
      <c r="D680" s="207" t="s">
        <v>216</v>
      </c>
      <c r="E680" s="210" t="s">
        <v>2369</v>
      </c>
      <c r="F680" s="102" t="str">
        <f t="shared" si="29"/>
        <v>DBA</v>
      </c>
    </row>
    <row r="681" spans="2:8" ht="17">
      <c r="B681" s="206" t="s">
        <v>2370</v>
      </c>
      <c r="C681" s="207" t="s">
        <v>216</v>
      </c>
      <c r="D681" s="207" t="s">
        <v>216</v>
      </c>
      <c r="F681" s="102" t="str">
        <f t="shared" si="29"/>
        <v>RB</v>
      </c>
    </row>
    <row r="682" spans="2:8" ht="17">
      <c r="B682" s="206" t="s">
        <v>2371</v>
      </c>
      <c r="C682" s="207" t="s">
        <v>216</v>
      </c>
      <c r="D682" s="207" t="s">
        <v>216</v>
      </c>
      <c r="E682" s="210" t="s">
        <v>2372</v>
      </c>
      <c r="F682" s="102" t="str">
        <f t="shared" si="29"/>
        <v>TO</v>
      </c>
    </row>
    <row r="683" spans="2:8" ht="17">
      <c r="B683" s="206" t="s">
        <v>2374</v>
      </c>
      <c r="C683" s="207" t="s">
        <v>2375</v>
      </c>
      <c r="D683" s="207" t="s">
        <v>51</v>
      </c>
      <c r="E683" s="210" t="s">
        <v>2376</v>
      </c>
      <c r="F683" s="102" t="str">
        <f t="shared" si="29"/>
        <v>PV</v>
      </c>
      <c r="G683" s="208" t="s">
        <v>2373</v>
      </c>
    </row>
    <row r="684" spans="2:8" ht="17">
      <c r="B684" s="206" t="s">
        <v>2377</v>
      </c>
      <c r="C684" s="207" t="s">
        <v>216</v>
      </c>
      <c r="D684" s="207" t="s">
        <v>216</v>
      </c>
      <c r="F684" s="102" t="str">
        <f t="shared" si="29"/>
        <v>T</v>
      </c>
    </row>
    <row r="685" spans="2:8" ht="17">
      <c r="B685" s="206" t="s">
        <v>2378</v>
      </c>
      <c r="C685" s="207" t="s">
        <v>49</v>
      </c>
      <c r="D685" s="207" t="s">
        <v>49</v>
      </c>
      <c r="F685" s="102" t="str">
        <f t="shared" si="29"/>
        <v>CB</v>
      </c>
    </row>
    <row r="686" spans="2:8" ht="17">
      <c r="B686" s="206" t="s">
        <v>2385</v>
      </c>
      <c r="C686" s="207" t="s">
        <v>216</v>
      </c>
      <c r="D686" s="207" t="s">
        <v>216</v>
      </c>
      <c r="E686" s="210" t="s">
        <v>2386</v>
      </c>
      <c r="F686" s="102" t="str">
        <f t="shared" si="29"/>
        <v>K</v>
      </c>
    </row>
    <row r="687" spans="2:8" ht="17">
      <c r="B687" s="206" t="s">
        <v>2387</v>
      </c>
      <c r="C687" s="207" t="s">
        <v>216</v>
      </c>
      <c r="D687" s="207" t="s">
        <v>216</v>
      </c>
      <c r="F687" s="102" t="str">
        <f t="shared" si="29"/>
        <v>AT</v>
      </c>
    </row>
    <row r="688" spans="2:8" ht="51">
      <c r="B688" s="206" t="s">
        <v>2388</v>
      </c>
      <c r="C688" s="207" t="s">
        <v>2389</v>
      </c>
      <c r="D688" s="207" t="s">
        <v>216</v>
      </c>
      <c r="E688" s="210" t="s">
        <v>680</v>
      </c>
      <c r="F688" s="102" t="str">
        <f t="shared" si="29"/>
        <v>KAGL</v>
      </c>
    </row>
    <row r="689" spans="2:6" ht="17">
      <c r="B689" s="206" t="s">
        <v>2390</v>
      </c>
      <c r="C689" s="207" t="s">
        <v>35</v>
      </c>
      <c r="D689" s="207" t="s">
        <v>216</v>
      </c>
      <c r="F689" s="102" t="str">
        <f t="shared" si="29"/>
        <v>ES</v>
      </c>
    </row>
    <row r="690" spans="2:6" ht="17">
      <c r="B690" s="206" t="s">
        <v>2391</v>
      </c>
      <c r="C690" s="207" t="s">
        <v>216</v>
      </c>
      <c r="D690" s="207" t="s">
        <v>216</v>
      </c>
      <c r="E690" s="210" t="s">
        <v>2392</v>
      </c>
      <c r="F690" s="102" t="str">
        <f t="shared" si="29"/>
        <v>KA</v>
      </c>
    </row>
    <row r="691" spans="2:6" ht="17">
      <c r="B691" s="206" t="s">
        <v>2393</v>
      </c>
      <c r="C691" s="207" t="s">
        <v>216</v>
      </c>
      <c r="D691" s="207" t="s">
        <v>216</v>
      </c>
      <c r="E691" s="210" t="s">
        <v>2394</v>
      </c>
      <c r="F691" s="102" t="str">
        <f t="shared" si="29"/>
        <v>IIKB</v>
      </c>
    </row>
    <row r="692" spans="2:6" ht="17">
      <c r="B692" s="206" t="s">
        <v>2395</v>
      </c>
      <c r="C692" s="207" t="s">
        <v>80</v>
      </c>
      <c r="D692" s="207" t="s">
        <v>216</v>
      </c>
      <c r="E692" s="210" t="s">
        <v>2396</v>
      </c>
      <c r="F692" s="102" t="str">
        <f t="shared" si="29"/>
        <v>PA</v>
      </c>
    </row>
    <row r="693" spans="2:6" ht="17">
      <c r="B693" s="206" t="s">
        <v>2397</v>
      </c>
      <c r="C693" s="207" t="s">
        <v>352</v>
      </c>
      <c r="D693" s="207" t="s">
        <v>216</v>
      </c>
      <c r="E693" s="210" t="s">
        <v>2398</v>
      </c>
      <c r="F693" s="102" t="str">
        <f t="shared" si="29"/>
        <v>ME</v>
      </c>
    </row>
    <row r="694" spans="2:6" ht="17">
      <c r="B694" s="206" t="s">
        <v>2399</v>
      </c>
      <c r="C694" s="207" t="s">
        <v>271</v>
      </c>
      <c r="D694" s="207" t="s">
        <v>216</v>
      </c>
      <c r="E694" s="210" t="s">
        <v>2400</v>
      </c>
      <c r="F694" s="102" t="str">
        <f t="shared" si="29"/>
        <v>KSA</v>
      </c>
    </row>
    <row r="695" spans="2:6" ht="17">
      <c r="B695" s="206" t="s">
        <v>2406</v>
      </c>
      <c r="C695" s="207" t="s">
        <v>38</v>
      </c>
      <c r="D695" s="207" t="s">
        <v>216</v>
      </c>
      <c r="E695" s="210" t="s">
        <v>2407</v>
      </c>
      <c r="F695" s="102" t="str">
        <f t="shared" si="29"/>
        <v>AAY</v>
      </c>
    </row>
    <row r="696" spans="2:6" ht="17">
      <c r="B696" s="206" t="s">
        <v>2408</v>
      </c>
      <c r="C696" s="207" t="s">
        <v>69</v>
      </c>
      <c r="D696" s="207" t="s">
        <v>216</v>
      </c>
      <c r="E696" s="207" t="s">
        <v>2409</v>
      </c>
      <c r="F696" s="102" t="str">
        <f t="shared" si="29"/>
        <v>E-K</v>
      </c>
    </row>
    <row r="697" spans="2:6" ht="17">
      <c r="B697" s="206" t="s">
        <v>1550</v>
      </c>
      <c r="C697" s="207" t="s">
        <v>46</v>
      </c>
      <c r="D697" s="207" t="s">
        <v>216</v>
      </c>
      <c r="F697" s="102" t="str">
        <f t="shared" si="29"/>
        <v>I</v>
      </c>
    </row>
    <row r="698" spans="2:6" ht="17">
      <c r="B698" s="206" t="s">
        <v>2410</v>
      </c>
      <c r="C698" s="207" t="s">
        <v>29</v>
      </c>
      <c r="D698" s="207" t="s">
        <v>216</v>
      </c>
      <c r="E698" s="210" t="s">
        <v>2411</v>
      </c>
      <c r="F698" s="102" t="str">
        <f t="shared" si="29"/>
        <v>EBY</v>
      </c>
    </row>
    <row r="699" spans="2:6" ht="17">
      <c r="B699" s="206" t="s">
        <v>2412</v>
      </c>
      <c r="C699" s="207" t="s">
        <v>216</v>
      </c>
      <c r="D699" s="207" t="s">
        <v>216</v>
      </c>
      <c r="E699" s="207" t="s">
        <v>2413</v>
      </c>
      <c r="F699" s="102" t="str">
        <f t="shared" si="29"/>
        <v>EP</v>
      </c>
    </row>
    <row r="700" spans="2:6" ht="17">
      <c r="B700" s="206" t="s">
        <v>2414</v>
      </c>
      <c r="C700" s="207" t="s">
        <v>29</v>
      </c>
      <c r="D700" s="207" t="s">
        <v>216</v>
      </c>
      <c r="E700" s="210" t="s">
        <v>2415</v>
      </c>
      <c r="F700" s="102" t="str">
        <f t="shared" si="29"/>
        <v>K</v>
      </c>
    </row>
    <row r="701" spans="2:6" ht="17">
      <c r="B701" s="206" t="s">
        <v>2418</v>
      </c>
      <c r="C701" s="207" t="s">
        <v>216</v>
      </c>
      <c r="D701" s="207" t="s">
        <v>216</v>
      </c>
      <c r="E701" s="210" t="s">
        <v>2419</v>
      </c>
      <c r="F701" s="102" t="str">
        <f t="shared" si="29"/>
        <v>H</v>
      </c>
    </row>
    <row r="702" spans="2:6" ht="17">
      <c r="B702" s="206" t="s">
        <v>2420</v>
      </c>
      <c r="C702" s="207" t="s">
        <v>1081</v>
      </c>
      <c r="D702" s="207" t="s">
        <v>1081</v>
      </c>
      <c r="E702" s="210" t="s">
        <v>2421</v>
      </c>
      <c r="F702" s="102" t="str">
        <f t="shared" si="29"/>
        <v>DJA</v>
      </c>
    </row>
    <row r="703" spans="2:6" ht="17">
      <c r="B703" s="206" t="s">
        <v>2422</v>
      </c>
      <c r="C703" s="207" t="s">
        <v>216</v>
      </c>
      <c r="D703" s="207" t="s">
        <v>216</v>
      </c>
      <c r="E703" s="210" t="s">
        <v>2423</v>
      </c>
      <c r="F703" s="102" t="str">
        <f t="shared" si="29"/>
        <v>PM</v>
      </c>
    </row>
    <row r="704" spans="2:6" ht="17">
      <c r="B704" s="206" t="s">
        <v>2425</v>
      </c>
      <c r="C704" s="207" t="s">
        <v>216</v>
      </c>
      <c r="D704" s="207" t="s">
        <v>216</v>
      </c>
      <c r="E704" s="210" t="s">
        <v>2424</v>
      </c>
      <c r="F704" s="102" t="str">
        <f t="shared" si="29"/>
        <v>T-V</v>
      </c>
    </row>
    <row r="705" spans="2:7" ht="17">
      <c r="B705" s="206" t="s">
        <v>1575</v>
      </c>
      <c r="C705" s="207" t="s">
        <v>216</v>
      </c>
      <c r="D705" s="207" t="s">
        <v>216</v>
      </c>
      <c r="E705" s="210" t="s">
        <v>1614</v>
      </c>
      <c r="F705" s="102" t="str">
        <f t="shared" si="29"/>
        <v>F</v>
      </c>
    </row>
    <row r="706" spans="2:7" ht="17">
      <c r="B706" s="206" t="s">
        <v>1358</v>
      </c>
      <c r="C706" s="207" t="s">
        <v>216</v>
      </c>
      <c r="D706" s="207" t="s">
        <v>216</v>
      </c>
      <c r="E706" s="210" t="s">
        <v>2427</v>
      </c>
      <c r="F706" s="102" t="str">
        <f t="shared" si="29"/>
        <v>JC</v>
      </c>
    </row>
    <row r="707" spans="2:7" ht="17">
      <c r="B707" s="206" t="s">
        <v>2428</v>
      </c>
      <c r="C707" s="207" t="s">
        <v>216</v>
      </c>
      <c r="D707" s="207" t="s">
        <v>216</v>
      </c>
      <c r="E707" s="210" t="s">
        <v>2429</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2430</v>
      </c>
      <c r="C708" s="207" t="s">
        <v>216</v>
      </c>
      <c r="D708" s="207" t="s">
        <v>216</v>
      </c>
      <c r="F708" s="102" t="str">
        <f t="shared" si="30"/>
        <v>SE/P</v>
      </c>
    </row>
    <row r="709" spans="2:7" ht="17">
      <c r="B709" s="206" t="s">
        <v>2431</v>
      </c>
      <c r="C709" s="207" t="s">
        <v>858</v>
      </c>
      <c r="D709" s="207" t="s">
        <v>858</v>
      </c>
      <c r="E709" s="210" t="s">
        <v>2432</v>
      </c>
      <c r="F709" s="102" t="str">
        <f t="shared" si="30"/>
        <v>S</v>
      </c>
    </row>
    <row r="710" spans="2:7" ht="17">
      <c r="B710" s="206" t="s">
        <v>2433</v>
      </c>
      <c r="C710" s="207" t="s">
        <v>389</v>
      </c>
      <c r="D710" s="207" t="s">
        <v>954</v>
      </c>
      <c r="F710" s="102" t="str">
        <f t="shared" si="30"/>
        <v>PRH</v>
      </c>
      <c r="G710" s="208" t="s">
        <v>2434</v>
      </c>
    </row>
    <row r="711" spans="2:7" ht="17">
      <c r="B711" s="206" t="s">
        <v>2436</v>
      </c>
      <c r="C711" s="207" t="s">
        <v>216</v>
      </c>
      <c r="D711" s="207" t="s">
        <v>216</v>
      </c>
      <c r="E711" s="210" t="s">
        <v>2435</v>
      </c>
      <c r="F711" s="102" t="str">
        <f t="shared" si="30"/>
        <v>E-</v>
      </c>
    </row>
    <row r="712" spans="2:7" ht="17">
      <c r="B712" s="206" t="s">
        <v>2438</v>
      </c>
      <c r="C712" s="207" t="s">
        <v>856</v>
      </c>
      <c r="D712" s="207" t="s">
        <v>856</v>
      </c>
      <c r="E712" s="210" t="s">
        <v>2439</v>
      </c>
      <c r="F712" s="102" t="str">
        <f t="shared" si="30"/>
        <v>MA</v>
      </c>
    </row>
    <row r="713" spans="2:7" ht="17">
      <c r="B713" s="206" t="s">
        <v>2440</v>
      </c>
      <c r="C713" s="207" t="s">
        <v>93</v>
      </c>
      <c r="D713" s="207" t="s">
        <v>216</v>
      </c>
      <c r="E713" s="210" t="s">
        <v>2441</v>
      </c>
      <c r="F713" s="102" t="str">
        <f t="shared" si="30"/>
        <v>K</v>
      </c>
    </row>
    <row r="714" spans="2:7" ht="17">
      <c r="B714" s="206" t="s">
        <v>2442</v>
      </c>
      <c r="C714" s="207" t="s">
        <v>216</v>
      </c>
      <c r="D714" s="207" t="s">
        <v>216</v>
      </c>
      <c r="E714" s="210" t="s">
        <v>2443</v>
      </c>
      <c r="F714" s="102" t="str">
        <f t="shared" si="30"/>
        <v>MJ</v>
      </c>
    </row>
    <row r="715" spans="2:7" ht="17">
      <c r="B715" s="206" t="s">
        <v>2444</v>
      </c>
      <c r="C715" s="207" t="s">
        <v>32</v>
      </c>
      <c r="D715" s="207" t="s">
        <v>216</v>
      </c>
      <c r="E715" s="210" t="s">
        <v>2445</v>
      </c>
      <c r="F715" s="102" t="str">
        <f t="shared" si="30"/>
        <v>AY</v>
      </c>
    </row>
    <row r="716" spans="2:7" ht="17">
      <c r="B716" s="206" t="s">
        <v>2446</v>
      </c>
      <c r="C716" s="207" t="s">
        <v>409</v>
      </c>
      <c r="D716" s="207" t="s">
        <v>216</v>
      </c>
      <c r="E716" s="210" t="s">
        <v>2447</v>
      </c>
      <c r="F716" s="102" t="str">
        <f t="shared" si="30"/>
        <v>MF</v>
      </c>
    </row>
    <row r="717" spans="2:7" ht="17">
      <c r="B717" s="206" t="s">
        <v>2448</v>
      </c>
      <c r="C717" s="207" t="s">
        <v>2451</v>
      </c>
      <c r="D717" s="207" t="s">
        <v>216</v>
      </c>
      <c r="E717" s="210" t="s">
        <v>2450</v>
      </c>
      <c r="F717" s="102" t="str">
        <f t="shared" si="30"/>
        <v>SMMC</v>
      </c>
      <c r="G717" s="208" t="s">
        <v>2449</v>
      </c>
    </row>
    <row r="718" spans="2:7" ht="17">
      <c r="B718" s="206" t="s">
        <v>2453</v>
      </c>
      <c r="C718" s="207" t="s">
        <v>305</v>
      </c>
      <c r="D718" s="207" t="s">
        <v>955</v>
      </c>
      <c r="E718" s="210" t="s">
        <v>2452</v>
      </c>
      <c r="F718" s="102" t="str">
        <f t="shared" si="30"/>
        <v>PAB</v>
      </c>
    </row>
    <row r="719" spans="2:7" ht="34">
      <c r="B719" s="206" t="s">
        <v>2454</v>
      </c>
      <c r="C719" s="207" t="s">
        <v>628</v>
      </c>
      <c r="D719" s="207" t="s">
        <v>216</v>
      </c>
      <c r="E719" s="210" t="s">
        <v>2455</v>
      </c>
      <c r="F719" s="102" t="str">
        <f t="shared" si="30"/>
        <v>C</v>
      </c>
    </row>
    <row r="720" spans="2:7" ht="17">
      <c r="B720" s="206" t="s">
        <v>2480</v>
      </c>
      <c r="C720" s="207" t="s">
        <v>216</v>
      </c>
      <c r="D720" s="207" t="s">
        <v>216</v>
      </c>
      <c r="F720" s="102" t="str">
        <f t="shared" si="30"/>
        <v>SA</v>
      </c>
    </row>
    <row r="721" spans="2:8" ht="34">
      <c r="B721" s="206" t="s">
        <v>2481</v>
      </c>
      <c r="C721" s="207" t="s">
        <v>2482</v>
      </c>
      <c r="D721" s="207" t="s">
        <v>216</v>
      </c>
      <c r="F721" s="102" t="str">
        <f t="shared" si="30"/>
        <v>MFA</v>
      </c>
    </row>
    <row r="722" spans="2:8" ht="17">
      <c r="B722" s="206" t="s">
        <v>2483</v>
      </c>
      <c r="C722" s="207" t="s">
        <v>29</v>
      </c>
      <c r="D722" s="207" t="s">
        <v>216</v>
      </c>
      <c r="F722" s="102" t="str">
        <f t="shared" si="30"/>
        <v>GNCU</v>
      </c>
    </row>
    <row r="723" spans="2:8" ht="17">
      <c r="B723" s="206" t="s">
        <v>2487</v>
      </c>
      <c r="C723" s="207" t="s">
        <v>93</v>
      </c>
      <c r="D723" s="207" t="s">
        <v>216</v>
      </c>
      <c r="E723" s="210" t="s">
        <v>2488</v>
      </c>
      <c r="F723" s="102" t="str">
        <f t="shared" si="30"/>
        <v>MG</v>
      </c>
    </row>
    <row r="724" spans="2:8" ht="17">
      <c r="B724" s="206" t="s">
        <v>2496</v>
      </c>
      <c r="C724" s="207" t="s">
        <v>628</v>
      </c>
      <c r="D724" s="207" t="s">
        <v>216</v>
      </c>
      <c r="E724" s="210" t="s">
        <v>2497</v>
      </c>
      <c r="F724" s="102" t="str">
        <f t="shared" si="30"/>
        <v>V</v>
      </c>
    </row>
    <row r="725" spans="2:8" ht="17">
      <c r="B725" s="206" t="s">
        <v>2511</v>
      </c>
      <c r="C725" s="207" t="s">
        <v>219</v>
      </c>
      <c r="D725" s="207" t="s">
        <v>216</v>
      </c>
      <c r="E725" s="210" t="s">
        <v>2510</v>
      </c>
      <c r="F725" s="102" t="str">
        <f t="shared" si="30"/>
        <v>SO</v>
      </c>
      <c r="G725" s="211"/>
      <c r="H725" s="211" t="s">
        <v>2509</v>
      </c>
    </row>
    <row r="726" spans="2:8" ht="17">
      <c r="B726" s="206" t="s">
        <v>2512</v>
      </c>
      <c r="C726" s="207" t="s">
        <v>216</v>
      </c>
      <c r="D726" s="207" t="s">
        <v>216</v>
      </c>
      <c r="E726" s="210" t="s">
        <v>2513</v>
      </c>
      <c r="F726" s="102" t="str">
        <f t="shared" si="30"/>
        <v>MS</v>
      </c>
    </row>
    <row r="727" spans="2:8" ht="17">
      <c r="B727" s="206" t="s">
        <v>2514</v>
      </c>
      <c r="C727" s="207" t="s">
        <v>216</v>
      </c>
      <c r="D727" s="207" t="s">
        <v>216</v>
      </c>
      <c r="E727" s="210" t="s">
        <v>2516</v>
      </c>
      <c r="F727" s="102" t="str">
        <f t="shared" si="30"/>
        <v>E</v>
      </c>
      <c r="G727" s="208" t="s">
        <v>2515</v>
      </c>
    </row>
    <row r="728" spans="2:8" ht="15">
      <c r="B728" s="221" t="s">
        <v>2517</v>
      </c>
      <c r="C728" s="222" t="s">
        <v>216</v>
      </c>
      <c r="D728" s="222" t="s">
        <v>216</v>
      </c>
      <c r="E728" s="223" t="s">
        <v>1500</v>
      </c>
      <c r="F728" s="102" t="str">
        <f t="shared" si="30"/>
        <v>JA</v>
      </c>
    </row>
    <row r="729" spans="2:8" ht="15">
      <c r="B729" s="221" t="s">
        <v>2518</v>
      </c>
      <c r="C729" s="222" t="s">
        <v>216</v>
      </c>
      <c r="D729" s="222" t="s">
        <v>216</v>
      </c>
      <c r="E729" s="223" t="s">
        <v>2519</v>
      </c>
      <c r="F729" s="102" t="str">
        <f t="shared" si="30"/>
        <v>MT</v>
      </c>
      <c r="H729" s="219" t="s">
        <v>2523</v>
      </c>
    </row>
    <row r="730" spans="2:8" ht="15">
      <c r="B730" s="221" t="s">
        <v>2520</v>
      </c>
      <c r="C730" s="222" t="s">
        <v>2521</v>
      </c>
      <c r="D730" s="222" t="s">
        <v>216</v>
      </c>
      <c r="E730" s="223" t="s">
        <v>2522</v>
      </c>
      <c r="F730" s="102" t="str">
        <f t="shared" si="30"/>
        <v>MFE</v>
      </c>
    </row>
    <row r="731" spans="2:8" ht="15">
      <c r="B731" s="221" t="s">
        <v>2524</v>
      </c>
      <c r="C731" s="222" t="s">
        <v>392</v>
      </c>
      <c r="D731" s="222" t="s">
        <v>216</v>
      </c>
      <c r="E731" s="223" t="s">
        <v>2525</v>
      </c>
      <c r="F731" s="102" t="str">
        <f t="shared" si="30"/>
        <v>F</v>
      </c>
    </row>
    <row r="732" spans="2:8" ht="15">
      <c r="B732" s="221" t="s">
        <v>2526</v>
      </c>
      <c r="C732" s="223" t="s">
        <v>216</v>
      </c>
      <c r="D732" s="222" t="s">
        <v>216</v>
      </c>
      <c r="E732" s="223" t="s">
        <v>2527</v>
      </c>
      <c r="F732" s="102" t="str">
        <f t="shared" si="30"/>
        <v>MK</v>
      </c>
    </row>
    <row r="733" spans="2:8" ht="15">
      <c r="B733" s="221" t="s">
        <v>2528</v>
      </c>
      <c r="C733" s="222" t="s">
        <v>313</v>
      </c>
      <c r="D733" s="222" t="s">
        <v>216</v>
      </c>
      <c r="E733" s="223" t="s">
        <v>2529</v>
      </c>
      <c r="F733" s="102" t="str">
        <f t="shared" si="30"/>
        <v>E</v>
      </c>
    </row>
    <row r="734" spans="2:8" ht="17">
      <c r="B734" s="206" t="s">
        <v>2530</v>
      </c>
      <c r="C734" s="207" t="s">
        <v>35</v>
      </c>
      <c r="D734" s="207" t="s">
        <v>216</v>
      </c>
      <c r="E734" s="210" t="s">
        <v>2531</v>
      </c>
      <c r="F734" s="102" t="str">
        <f t="shared" si="30"/>
        <v>TGL</v>
      </c>
      <c r="G734" s="208" t="s">
        <v>2532</v>
      </c>
    </row>
    <row r="735" spans="2:8" ht="17">
      <c r="B735" s="206" t="s">
        <v>2534</v>
      </c>
      <c r="C735" s="207" t="s">
        <v>170</v>
      </c>
      <c r="D735" s="207" t="s">
        <v>216</v>
      </c>
      <c r="E735" s="210" t="s">
        <v>2533</v>
      </c>
      <c r="F735" s="102" t="str">
        <f t="shared" si="30"/>
        <v>MC</v>
      </c>
    </row>
    <row r="736" spans="2:8" ht="17">
      <c r="B736" s="206" t="s">
        <v>2535</v>
      </c>
      <c r="C736" s="207" t="s">
        <v>29</v>
      </c>
      <c r="D736" s="207" t="s">
        <v>216</v>
      </c>
      <c r="F736" s="102" t="str">
        <f t="shared" si="30"/>
        <v>MAS/</v>
      </c>
    </row>
    <row r="737" spans="2:8" ht="17">
      <c r="B737" s="206" t="s">
        <v>2536</v>
      </c>
      <c r="C737" s="207" t="s">
        <v>117</v>
      </c>
      <c r="D737" s="207" t="s">
        <v>216</v>
      </c>
      <c r="E737" s="210" t="s">
        <v>2537</v>
      </c>
      <c r="F737" s="102" t="str">
        <f t="shared" si="30"/>
        <v>ML</v>
      </c>
    </row>
    <row r="738" spans="2:8" ht="17">
      <c r="B738" s="206" t="s">
        <v>2538</v>
      </c>
      <c r="C738" s="207" t="s">
        <v>182</v>
      </c>
      <c r="D738" s="207" t="s">
        <v>216</v>
      </c>
      <c r="E738" s="210" t="s">
        <v>2539</v>
      </c>
      <c r="F738" s="102" t="str">
        <f t="shared" si="30"/>
        <v>OA</v>
      </c>
    </row>
    <row r="739" spans="2:8" ht="17">
      <c r="B739" s="206" t="s">
        <v>2540</v>
      </c>
      <c r="C739" s="207" t="s">
        <v>392</v>
      </c>
      <c r="D739" s="207" t="s">
        <v>216</v>
      </c>
      <c r="E739" s="210" t="s">
        <v>2541</v>
      </c>
      <c r="F739" s="102" t="str">
        <f t="shared" si="30"/>
        <v>MB</v>
      </c>
    </row>
    <row r="740" spans="2:8" ht="17">
      <c r="B740" s="206" t="s">
        <v>1246</v>
      </c>
      <c r="C740" s="207" t="s">
        <v>588</v>
      </c>
      <c r="D740" s="207" t="s">
        <v>216</v>
      </c>
      <c r="E740" s="210" t="s">
        <v>2542</v>
      </c>
      <c r="F740" s="102" t="str">
        <f t="shared" si="30"/>
        <v>D</v>
      </c>
    </row>
    <row r="741" spans="2:8" ht="34">
      <c r="B741" s="206" t="s">
        <v>2543</v>
      </c>
      <c r="C741" s="207" t="s">
        <v>2544</v>
      </c>
      <c r="D741" s="207" t="s">
        <v>216</v>
      </c>
      <c r="E741" s="210" t="s">
        <v>2546</v>
      </c>
      <c r="F741" s="102" t="str">
        <f t="shared" si="30"/>
        <v>AA</v>
      </c>
      <c r="H741" s="219" t="s">
        <v>2545</v>
      </c>
    </row>
    <row r="742" spans="2:8" ht="17">
      <c r="B742" s="209" t="s">
        <v>2547</v>
      </c>
      <c r="C742" s="207" t="s">
        <v>2550</v>
      </c>
      <c r="D742" s="207" t="s">
        <v>216</v>
      </c>
      <c r="E742" s="210" t="s">
        <v>2548</v>
      </c>
      <c r="F742" s="102" t="str">
        <f t="shared" si="30"/>
        <v>HA</v>
      </c>
      <c r="H742" s="219" t="s">
        <v>2549</v>
      </c>
    </row>
    <row r="743" spans="2:8" ht="17">
      <c r="B743" s="206" t="s">
        <v>2551</v>
      </c>
      <c r="C743" s="207" t="s">
        <v>1576</v>
      </c>
      <c r="D743" s="207" t="s">
        <v>216</v>
      </c>
      <c r="E743" s="210" t="s">
        <v>2553</v>
      </c>
      <c r="F743" s="102" t="str">
        <f t="shared" si="30"/>
        <v>GA</v>
      </c>
      <c r="H743" s="219" t="s">
        <v>2552</v>
      </c>
    </row>
    <row r="744" spans="2:8" ht="17">
      <c r="B744" s="206" t="s">
        <v>2554</v>
      </c>
      <c r="C744" s="207" t="s">
        <v>2557</v>
      </c>
      <c r="D744" s="207" t="s">
        <v>216</v>
      </c>
      <c r="E744" s="210" t="s">
        <v>2555</v>
      </c>
      <c r="F744" s="102" t="str">
        <f t="shared" si="30"/>
        <v>SA</v>
      </c>
      <c r="H744" s="219" t="s">
        <v>2556</v>
      </c>
    </row>
    <row r="745" spans="2:8" ht="17">
      <c r="B745" s="206" t="s">
        <v>2558</v>
      </c>
      <c r="C745" s="207" t="s">
        <v>216</v>
      </c>
      <c r="D745" s="207" t="s">
        <v>216</v>
      </c>
      <c r="E745" s="210" t="s">
        <v>2559</v>
      </c>
      <c r="F745" s="102" t="str">
        <f t="shared" si="30"/>
        <v>HI</v>
      </c>
    </row>
    <row r="746" spans="2:8" ht="17">
      <c r="B746" s="206" t="s">
        <v>2560</v>
      </c>
      <c r="C746" s="207" t="s">
        <v>29</v>
      </c>
      <c r="D746" s="207" t="s">
        <v>216</v>
      </c>
      <c r="E746" s="210" t="s">
        <v>2561</v>
      </c>
      <c r="F746" s="102" t="str">
        <f t="shared" si="30"/>
        <v>WG</v>
      </c>
    </row>
    <row r="747" spans="2:8" ht="17">
      <c r="B747" s="206" t="s">
        <v>2562</v>
      </c>
      <c r="C747" s="207" t="s">
        <v>1576</v>
      </c>
      <c r="D747" s="207" t="s">
        <v>216</v>
      </c>
      <c r="E747" s="210" t="s">
        <v>2563</v>
      </c>
      <c r="F747" s="102" t="str">
        <f t="shared" si="30"/>
        <v>C</v>
      </c>
    </row>
    <row r="748" spans="2:8" ht="17">
      <c r="B748" s="206" t="s">
        <v>2564</v>
      </c>
      <c r="C748" s="207" t="s">
        <v>216</v>
      </c>
      <c r="D748" s="207" t="s">
        <v>216</v>
      </c>
      <c r="F748" s="102" t="str">
        <f t="shared" si="30"/>
        <v>EB</v>
      </c>
    </row>
    <row r="749" spans="2:8" ht="17">
      <c r="B749" s="206" t="s">
        <v>2565</v>
      </c>
      <c r="C749" s="207" t="s">
        <v>216</v>
      </c>
      <c r="D749" s="207" t="s">
        <v>216</v>
      </c>
      <c r="E749" s="210" t="s">
        <v>2566</v>
      </c>
      <c r="F749" s="102" t="str">
        <f t="shared" si="30"/>
        <v>DO</v>
      </c>
    </row>
    <row r="750" spans="2:8" ht="17">
      <c r="B750" s="206" t="s">
        <v>2567</v>
      </c>
      <c r="C750" s="207" t="s">
        <v>216</v>
      </c>
      <c r="D750" s="207" t="s">
        <v>216</v>
      </c>
      <c r="E750" s="210" t="s">
        <v>2568</v>
      </c>
      <c r="F750" s="102" t="str">
        <f t="shared" si="30"/>
        <v>MA</v>
      </c>
    </row>
    <row r="751" spans="2:8" ht="17">
      <c r="B751" s="206" t="s">
        <v>2569</v>
      </c>
      <c r="C751" s="207" t="s">
        <v>339</v>
      </c>
      <c r="D751" s="207" t="s">
        <v>216</v>
      </c>
      <c r="E751" s="210" t="s">
        <v>2570</v>
      </c>
      <c r="F751" s="102" t="str">
        <f t="shared" si="30"/>
        <v>MJ</v>
      </c>
    </row>
    <row r="752" spans="2:8" ht="17">
      <c r="B752" s="206" t="s">
        <v>2571</v>
      </c>
      <c r="C752" s="207" t="s">
        <v>51</v>
      </c>
      <c r="D752" s="207" t="s">
        <v>51</v>
      </c>
      <c r="F752" s="102" t="str">
        <f t="shared" si="30"/>
        <v>WPC</v>
      </c>
    </row>
    <row r="753" spans="2:8" ht="17">
      <c r="B753" s="206" t="s">
        <v>2572</v>
      </c>
      <c r="C753" s="207" t="s">
        <v>337</v>
      </c>
      <c r="D753" s="207" t="s">
        <v>216</v>
      </c>
      <c r="E753" s="210" t="s">
        <v>2573</v>
      </c>
      <c r="F753" s="102" t="str">
        <f t="shared" si="30"/>
        <v>MKF</v>
      </c>
    </row>
    <row r="754" spans="2:8" ht="17">
      <c r="B754" s="206" t="s">
        <v>2574</v>
      </c>
      <c r="C754" s="207" t="s">
        <v>389</v>
      </c>
      <c r="D754" s="207" t="s">
        <v>389</v>
      </c>
      <c r="F754" s="102" t="str">
        <f t="shared" si="30"/>
        <v>KZG-</v>
      </c>
    </row>
    <row r="755" spans="2:8" ht="17">
      <c r="B755" s="206" t="s">
        <v>2575</v>
      </c>
      <c r="C755" s="207" t="s">
        <v>2576</v>
      </c>
      <c r="D755" s="207" t="s">
        <v>216</v>
      </c>
      <c r="E755" s="210" t="s">
        <v>2577</v>
      </c>
      <c r="F755" s="102" t="str">
        <f t="shared" si="30"/>
        <v>RA</v>
      </c>
    </row>
    <row r="756" spans="2:8" ht="17">
      <c r="B756" s="206" t="s">
        <v>2578</v>
      </c>
      <c r="C756" s="207" t="s">
        <v>305</v>
      </c>
      <c r="D756" s="207" t="s">
        <v>305</v>
      </c>
      <c r="E756" s="210" t="s">
        <v>2579</v>
      </c>
      <c r="F756" s="102" t="str">
        <f t="shared" si="30"/>
        <v>MK</v>
      </c>
    </row>
    <row r="757" spans="2:8" ht="17">
      <c r="B757" s="206" t="s">
        <v>2588</v>
      </c>
      <c r="C757" s="207" t="s">
        <v>2586</v>
      </c>
      <c r="D757" s="207" t="s">
        <v>216</v>
      </c>
      <c r="E757" s="210" t="s">
        <v>2587</v>
      </c>
      <c r="F757" s="102" t="str">
        <f t="shared" si="30"/>
        <v>SD</v>
      </c>
      <c r="H757" s="219" t="s">
        <v>2589</v>
      </c>
    </row>
    <row r="758" spans="2:8" ht="17">
      <c r="B758" s="206" t="s">
        <v>2597</v>
      </c>
      <c r="C758" s="207" t="s">
        <v>69</v>
      </c>
      <c r="D758" s="207" t="s">
        <v>216</v>
      </c>
      <c r="F758" s="102" t="str">
        <f t="shared" si="30"/>
        <v>HAAA</v>
      </c>
    </row>
    <row r="759" spans="2:8" ht="17">
      <c r="B759" s="206" t="s">
        <v>2598</v>
      </c>
      <c r="C759" s="207" t="s">
        <v>69</v>
      </c>
      <c r="D759" s="207" t="s">
        <v>216</v>
      </c>
      <c r="F759" s="102" t="str">
        <f t="shared" si="30"/>
        <v>AA</v>
      </c>
    </row>
    <row r="760" spans="2:8" ht="17">
      <c r="B760" s="206" t="s">
        <v>2608</v>
      </c>
      <c r="C760" s="207" t="s">
        <v>2606</v>
      </c>
      <c r="D760" s="207" t="s">
        <v>216</v>
      </c>
      <c r="E760" s="210" t="s">
        <v>2607</v>
      </c>
      <c r="F760" s="102" t="str">
        <f t="shared" si="30"/>
        <v>AR</v>
      </c>
      <c r="H760" s="219" t="s">
        <v>2605</v>
      </c>
    </row>
    <row r="761" spans="2:8" ht="17">
      <c r="B761" s="206" t="s">
        <v>2609</v>
      </c>
      <c r="C761" s="207" t="s">
        <v>69</v>
      </c>
      <c r="D761" s="207" t="s">
        <v>216</v>
      </c>
      <c r="E761" s="210" t="s">
        <v>2610</v>
      </c>
      <c r="F761" s="102" t="str">
        <f t="shared" si="30"/>
        <v>SOS</v>
      </c>
      <c r="H761" s="219" t="s">
        <v>2611</v>
      </c>
    </row>
    <row r="762" spans="2:8" ht="17">
      <c r="B762" s="206" t="s">
        <v>2614</v>
      </c>
      <c r="C762" s="207" t="s">
        <v>1678</v>
      </c>
      <c r="D762" s="207" t="s">
        <v>216</v>
      </c>
      <c r="E762" s="210" t="s">
        <v>2615</v>
      </c>
      <c r="F762" s="102" t="str">
        <f t="shared" si="30"/>
        <v>MA</v>
      </c>
    </row>
    <row r="763" spans="2:8" ht="17">
      <c r="B763" s="206" t="s">
        <v>2617</v>
      </c>
      <c r="C763" s="207" t="s">
        <v>216</v>
      </c>
      <c r="D763" s="207" t="s">
        <v>216</v>
      </c>
      <c r="E763" s="210" t="s">
        <v>2618</v>
      </c>
      <c r="F763" s="102" t="str">
        <f t="shared" si="30"/>
        <v>MJ</v>
      </c>
    </row>
    <row r="764" spans="2:8" ht="17">
      <c r="B764" s="206" t="s">
        <v>2619</v>
      </c>
      <c r="C764" s="207" t="s">
        <v>216</v>
      </c>
      <c r="D764" s="207" t="s">
        <v>216</v>
      </c>
      <c r="E764" s="210" t="s">
        <v>2620</v>
      </c>
      <c r="F764" s="102" t="str">
        <f t="shared" si="30"/>
        <v>DEL</v>
      </c>
      <c r="G764" s="208" t="s">
        <v>2622</v>
      </c>
      <c r="H764" s="209" t="s">
        <v>2621</v>
      </c>
    </row>
    <row r="765" spans="2:8" ht="17">
      <c r="B765" s="206" t="s">
        <v>2624</v>
      </c>
      <c r="C765" s="207" t="s">
        <v>216</v>
      </c>
      <c r="D765" s="207" t="s">
        <v>216</v>
      </c>
      <c r="E765" s="210" t="s">
        <v>2625</v>
      </c>
      <c r="F765" s="102" t="str">
        <f t="shared" si="30"/>
        <v>PB</v>
      </c>
    </row>
    <row r="766" spans="2:8" ht="17">
      <c r="B766" s="206" t="s">
        <v>2626</v>
      </c>
      <c r="C766" s="207" t="s">
        <v>216</v>
      </c>
      <c r="D766" s="207" t="s">
        <v>216</v>
      </c>
      <c r="F766" s="102" t="str">
        <f t="shared" si="30"/>
        <v>FD</v>
      </c>
    </row>
    <row r="767" spans="2:8" ht="17">
      <c r="B767" s="206" t="s">
        <v>2627</v>
      </c>
      <c r="C767" s="207" t="s">
        <v>216</v>
      </c>
      <c r="D767" s="207" t="s">
        <v>216</v>
      </c>
      <c r="E767" s="210" t="s">
        <v>2628</v>
      </c>
      <c r="F767" s="102" t="str">
        <f t="shared" si="30"/>
        <v>J</v>
      </c>
    </row>
    <row r="768" spans="2:8" ht="17">
      <c r="B768" s="206" t="s">
        <v>1553</v>
      </c>
      <c r="C768" s="207" t="s">
        <v>216</v>
      </c>
      <c r="D768" s="207" t="s">
        <v>216</v>
      </c>
      <c r="F768" s="102" t="str">
        <f t="shared" si="30"/>
        <v>C</v>
      </c>
    </row>
    <row r="769" spans="2:7" ht="17">
      <c r="B769" s="206" t="s">
        <v>2629</v>
      </c>
      <c r="C769" s="207" t="s">
        <v>2630</v>
      </c>
      <c r="D769" s="207" t="s">
        <v>955</v>
      </c>
      <c r="E769" s="210" t="s">
        <v>2631</v>
      </c>
      <c r="F769" s="102" t="str">
        <f t="shared" si="30"/>
        <v>MBH</v>
      </c>
    </row>
    <row r="770" spans="2:7" ht="17">
      <c r="B770" s="206" t="s">
        <v>2632</v>
      </c>
      <c r="C770" s="207" t="s">
        <v>634</v>
      </c>
      <c r="D770" s="207" t="s">
        <v>958</v>
      </c>
      <c r="E770" s="210" t="s">
        <v>2633</v>
      </c>
      <c r="F770" s="102" t="str">
        <f t="shared" si="30"/>
        <v>SE</v>
      </c>
    </row>
    <row r="771" spans="2:7" ht="17">
      <c r="B771" s="206" t="s">
        <v>2634</v>
      </c>
      <c r="C771" s="207" t="s">
        <v>414</v>
      </c>
      <c r="D771" s="207" t="s">
        <v>216</v>
      </c>
      <c r="E771" s="210" t="s">
        <v>2635</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2636</v>
      </c>
      <c r="C772" s="207" t="s">
        <v>216</v>
      </c>
      <c r="D772" s="207" t="s">
        <v>216</v>
      </c>
      <c r="F772" s="102" t="str">
        <f t="shared" si="31"/>
        <v>E</v>
      </c>
    </row>
    <row r="773" spans="2:7" ht="17">
      <c r="B773" s="206" t="s">
        <v>2637</v>
      </c>
      <c r="C773" s="210" t="s">
        <v>216</v>
      </c>
      <c r="D773" s="207" t="s">
        <v>216</v>
      </c>
      <c r="E773" s="210" t="s">
        <v>2638</v>
      </c>
      <c r="F773" s="102" t="str">
        <f t="shared" si="31"/>
        <v>MY</v>
      </c>
    </row>
    <row r="774" spans="2:7" ht="17">
      <c r="B774" s="206" t="s">
        <v>2640</v>
      </c>
      <c r="C774" s="207" t="s">
        <v>216</v>
      </c>
      <c r="D774" s="207" t="s">
        <v>216</v>
      </c>
      <c r="F774" s="102" t="str">
        <f t="shared" si="31"/>
        <v>MEA</v>
      </c>
    </row>
    <row r="775" spans="2:7" ht="17">
      <c r="B775" s="206" t="s">
        <v>2641</v>
      </c>
      <c r="C775" s="207" t="s">
        <v>216</v>
      </c>
      <c r="D775" s="207" t="s">
        <v>216</v>
      </c>
      <c r="E775" s="210" t="s">
        <v>2642</v>
      </c>
      <c r="F775" s="102" t="str">
        <f t="shared" si="31"/>
        <v>F</v>
      </c>
    </row>
    <row r="776" spans="2:7" ht="17">
      <c r="B776" s="206" t="s">
        <v>2643</v>
      </c>
      <c r="C776" s="207" t="s">
        <v>216</v>
      </c>
      <c r="D776" s="207" t="s">
        <v>216</v>
      </c>
      <c r="E776" s="210" t="s">
        <v>2644</v>
      </c>
      <c r="F776" s="102" t="str">
        <f t="shared" si="31"/>
        <v>DY</v>
      </c>
    </row>
    <row r="777" spans="2:7" ht="34">
      <c r="B777" s="206" t="s">
        <v>2645</v>
      </c>
      <c r="C777" s="207" t="s">
        <v>216</v>
      </c>
      <c r="D777" s="207" t="s">
        <v>216</v>
      </c>
      <c r="E777" s="210" t="s">
        <v>2646</v>
      </c>
      <c r="F777" s="102" t="str">
        <f t="shared" si="31"/>
        <v>G</v>
      </c>
    </row>
    <row r="778" spans="2:7" ht="17">
      <c r="B778" s="206" t="s">
        <v>2647</v>
      </c>
      <c r="C778" s="207" t="s">
        <v>216</v>
      </c>
      <c r="D778" s="207" t="s">
        <v>216</v>
      </c>
      <c r="E778" s="210" t="s">
        <v>2648</v>
      </c>
      <c r="F778" s="102" t="str">
        <f t="shared" si="31"/>
        <v>N</v>
      </c>
    </row>
    <row r="779" spans="2:7" ht="17">
      <c r="B779" s="206" t="s">
        <v>2651</v>
      </c>
      <c r="C779" s="207" t="s">
        <v>414</v>
      </c>
      <c r="D779" s="207" t="s">
        <v>216</v>
      </c>
      <c r="F779" s="102" t="str">
        <f t="shared" si="31"/>
        <v>KIS-</v>
      </c>
    </row>
    <row r="780" spans="2:7" ht="34">
      <c r="B780" s="206" t="s">
        <v>2653</v>
      </c>
      <c r="C780" s="207" t="s">
        <v>216</v>
      </c>
      <c r="D780" s="207" t="s">
        <v>216</v>
      </c>
      <c r="E780" s="210" t="s">
        <v>2654</v>
      </c>
      <c r="F780" s="102" t="str">
        <f t="shared" si="31"/>
        <v>KOA</v>
      </c>
    </row>
    <row r="781" spans="2:7" ht="34">
      <c r="B781" s="206" t="s">
        <v>2656</v>
      </c>
      <c r="C781" s="207" t="s">
        <v>216</v>
      </c>
      <c r="D781" s="207" t="s">
        <v>216</v>
      </c>
      <c r="E781" s="210" t="s">
        <v>2657</v>
      </c>
      <c r="F781" s="102" t="str">
        <f t="shared" si="31"/>
        <v>CK</v>
      </c>
    </row>
    <row r="782" spans="2:7" ht="17">
      <c r="B782" s="206" t="s">
        <v>2658</v>
      </c>
      <c r="C782" s="207" t="s">
        <v>216</v>
      </c>
      <c r="D782" s="207" t="s">
        <v>216</v>
      </c>
      <c r="E782" s="210" t="s">
        <v>2659</v>
      </c>
      <c r="F782" s="102" t="str">
        <f t="shared" si="31"/>
        <v>KS</v>
      </c>
    </row>
    <row r="783" spans="2:7" ht="17">
      <c r="B783" s="206" t="s">
        <v>2664</v>
      </c>
      <c r="C783" s="207" t="s">
        <v>352</v>
      </c>
      <c r="D783" s="207" t="s">
        <v>216</v>
      </c>
      <c r="E783" s="210" t="s">
        <v>2665</v>
      </c>
      <c r="F783" s="102" t="str">
        <f t="shared" si="31"/>
        <v>DA</v>
      </c>
      <c r="G783" s="208" t="s">
        <v>2666</v>
      </c>
    </row>
    <row r="784" spans="2:7" ht="17">
      <c r="B784" s="206" t="s">
        <v>2672</v>
      </c>
      <c r="C784" s="207" t="s">
        <v>157</v>
      </c>
      <c r="D784" s="207" t="s">
        <v>216</v>
      </c>
      <c r="E784" s="210" t="s">
        <v>2673</v>
      </c>
      <c r="F784" s="102" t="str">
        <f t="shared" si="31"/>
        <v>PI</v>
      </c>
      <c r="G784" s="208" t="s">
        <v>2671</v>
      </c>
    </row>
    <row r="785" spans="2:8" ht="34">
      <c r="B785" s="206" t="s">
        <v>2674</v>
      </c>
      <c r="C785" s="207" t="s">
        <v>2675</v>
      </c>
      <c r="D785" s="207" t="s">
        <v>216</v>
      </c>
      <c r="E785" s="210" t="s">
        <v>2673</v>
      </c>
      <c r="F785" s="102" t="str">
        <f t="shared" si="31"/>
        <v>EGA</v>
      </c>
    </row>
    <row r="786" spans="2:8" ht="17">
      <c r="B786" s="206" t="s">
        <v>2676</v>
      </c>
      <c r="C786" s="207" t="s">
        <v>770</v>
      </c>
      <c r="D786" s="207" t="s">
        <v>216</v>
      </c>
      <c r="F786" s="102" t="str">
        <f t="shared" si="31"/>
        <v>F</v>
      </c>
    </row>
    <row r="787" spans="2:8" ht="17">
      <c r="B787" s="206" t="s">
        <v>2701</v>
      </c>
      <c r="C787" s="207" t="s">
        <v>216</v>
      </c>
      <c r="D787" s="207" t="s">
        <v>216</v>
      </c>
      <c r="E787" s="210" t="s">
        <v>2702</v>
      </c>
      <c r="F787" s="102" t="str">
        <f t="shared" si="31"/>
        <v>R</v>
      </c>
    </row>
    <row r="788" spans="2:8" ht="17">
      <c r="B788" s="206" t="s">
        <v>2703</v>
      </c>
      <c r="C788" s="207" t="s">
        <v>628</v>
      </c>
      <c r="D788" s="207" t="s">
        <v>216</v>
      </c>
      <c r="F788" s="102" t="str">
        <f t="shared" si="31"/>
        <v>MP</v>
      </c>
    </row>
    <row r="789" spans="2:8" ht="17">
      <c r="B789" s="206" t="s">
        <v>2704</v>
      </c>
      <c r="C789" s="207" t="s">
        <v>93</v>
      </c>
      <c r="D789" s="207" t="s">
        <v>216</v>
      </c>
      <c r="F789" s="102" t="str">
        <f t="shared" si="31"/>
        <v>MJ</v>
      </c>
    </row>
    <row r="790" spans="2:8" ht="17">
      <c r="B790" s="206" t="s">
        <v>2705</v>
      </c>
      <c r="C790" s="207" t="s">
        <v>2706</v>
      </c>
      <c r="D790" s="207" t="s">
        <v>216</v>
      </c>
      <c r="F790" s="102" t="str">
        <f t="shared" si="31"/>
        <v>MD</v>
      </c>
      <c r="G790" s="208" t="s">
        <v>2705</v>
      </c>
    </row>
    <row r="791" spans="2:8" ht="17">
      <c r="B791" s="206" t="s">
        <v>2707</v>
      </c>
      <c r="C791" s="207" t="s">
        <v>216</v>
      </c>
      <c r="D791" s="207" t="s">
        <v>216</v>
      </c>
      <c r="F791" s="102" t="str">
        <f t="shared" si="31"/>
        <v>MC</v>
      </c>
    </row>
    <row r="792" spans="2:8" ht="17">
      <c r="B792" s="206" t="s">
        <v>2765</v>
      </c>
      <c r="C792" s="207" t="s">
        <v>32</v>
      </c>
      <c r="D792" s="207" t="s">
        <v>216</v>
      </c>
      <c r="F792" s="102" t="str">
        <f t="shared" si="31"/>
        <v>MM</v>
      </c>
    </row>
    <row r="793" spans="2:8" ht="17">
      <c r="B793" s="206" t="s">
        <v>2766</v>
      </c>
      <c r="C793" s="207" t="s">
        <v>216</v>
      </c>
      <c r="D793" s="207" t="s">
        <v>216</v>
      </c>
      <c r="E793" s="210" t="s">
        <v>2768</v>
      </c>
      <c r="F793" s="102" t="str">
        <f t="shared" si="31"/>
        <v>AE</v>
      </c>
      <c r="G793" s="208" t="s">
        <v>2767</v>
      </c>
    </row>
    <row r="794" spans="2:8" ht="17">
      <c r="B794" s="206" t="s">
        <v>2774</v>
      </c>
      <c r="C794" s="207" t="s">
        <v>216</v>
      </c>
      <c r="D794" s="207" t="s">
        <v>216</v>
      </c>
      <c r="E794" s="210" t="s">
        <v>2775</v>
      </c>
      <c r="F794" s="102" t="str">
        <f t="shared" si="31"/>
        <v>ML</v>
      </c>
    </row>
    <row r="795" spans="2:8" ht="17">
      <c r="B795" s="206" t="s">
        <v>2778</v>
      </c>
      <c r="C795" s="207" t="s">
        <v>466</v>
      </c>
      <c r="D795" s="207" t="s">
        <v>954</v>
      </c>
      <c r="E795" s="210" t="s">
        <v>2779</v>
      </c>
      <c r="F795" s="102" t="str">
        <f t="shared" si="31"/>
        <v>JM</v>
      </c>
    </row>
    <row r="796" spans="2:8" ht="17">
      <c r="B796" s="206" t="s">
        <v>2780</v>
      </c>
      <c r="C796" s="207" t="s">
        <v>2781</v>
      </c>
      <c r="D796" s="207" t="s">
        <v>2782</v>
      </c>
      <c r="F796" s="102" t="str">
        <f t="shared" si="31"/>
        <v>SPGH</v>
      </c>
    </row>
    <row r="797" spans="2:8" ht="17">
      <c r="B797" s="206" t="s">
        <v>2783</v>
      </c>
      <c r="C797" s="207" t="s">
        <v>856</v>
      </c>
      <c r="D797" s="207" t="s">
        <v>856</v>
      </c>
      <c r="E797" s="210" t="s">
        <v>2784</v>
      </c>
      <c r="F797" s="102" t="str">
        <f t="shared" si="31"/>
        <v>E-ST</v>
      </c>
    </row>
    <row r="798" spans="2:8" ht="17">
      <c r="B798" s="206" t="s">
        <v>2785</v>
      </c>
      <c r="C798" s="207" t="s">
        <v>42</v>
      </c>
      <c r="D798" s="207" t="s">
        <v>1499</v>
      </c>
      <c r="E798" s="210" t="s">
        <v>2786</v>
      </c>
      <c r="F798" s="102" t="str">
        <f t="shared" si="31"/>
        <v>PS</v>
      </c>
    </row>
    <row r="799" spans="2:8" ht="17">
      <c r="B799" s="206" t="s">
        <v>2787</v>
      </c>
      <c r="C799" s="207" t="s">
        <v>216</v>
      </c>
      <c r="D799" s="207" t="s">
        <v>216</v>
      </c>
      <c r="E799" s="210" t="s">
        <v>2788</v>
      </c>
      <c r="F799" s="102" t="str">
        <f t="shared" si="31"/>
        <v>BE</v>
      </c>
      <c r="G799" s="208" t="s">
        <v>2789</v>
      </c>
      <c r="H799" s="219" t="s">
        <v>2790</v>
      </c>
    </row>
    <row r="800" spans="2:8" ht="34">
      <c r="B800" s="206" t="s">
        <v>2791</v>
      </c>
      <c r="C800" s="207" t="s">
        <v>2792</v>
      </c>
      <c r="D800" s="207" t="s">
        <v>35</v>
      </c>
      <c r="E800" s="210" t="s">
        <v>2793</v>
      </c>
      <c r="F800" s="102" t="str">
        <f t="shared" si="31"/>
        <v>PGL</v>
      </c>
      <c r="G800" s="208" t="s">
        <v>2794</v>
      </c>
    </row>
    <row r="801" spans="2:7" ht="17">
      <c r="B801" s="206" t="s">
        <v>2797</v>
      </c>
      <c r="C801" s="207" t="s">
        <v>742</v>
      </c>
      <c r="D801" s="207" t="s">
        <v>216</v>
      </c>
      <c r="E801" s="210" t="s">
        <v>2798</v>
      </c>
      <c r="F801" s="102" t="str">
        <f t="shared" si="31"/>
        <v>A</v>
      </c>
    </row>
    <row r="802" spans="2:7" ht="17">
      <c r="B802" s="206" t="s">
        <v>2799</v>
      </c>
      <c r="C802" s="207" t="s">
        <v>2800</v>
      </c>
      <c r="D802" s="207" t="s">
        <v>955</v>
      </c>
      <c r="E802" s="210" t="s">
        <v>2801</v>
      </c>
      <c r="F802" s="102" t="str">
        <f t="shared" si="31"/>
        <v>PEL</v>
      </c>
    </row>
    <row r="803" spans="2:7" ht="17">
      <c r="B803" s="206" t="s">
        <v>2802</v>
      </c>
      <c r="C803" s="207" t="s">
        <v>192</v>
      </c>
      <c r="D803" s="207" t="s">
        <v>216</v>
      </c>
      <c r="E803" s="210" t="s">
        <v>2803</v>
      </c>
      <c r="F803" s="102" t="str">
        <f t="shared" si="31"/>
        <v>S</v>
      </c>
    </row>
    <row r="804" spans="2:7" ht="17">
      <c r="B804" s="206" t="s">
        <v>2804</v>
      </c>
      <c r="C804" s="207" t="s">
        <v>216</v>
      </c>
      <c r="D804" s="207" t="s">
        <v>216</v>
      </c>
      <c r="E804" s="210" t="s">
        <v>2805</v>
      </c>
      <c r="F804" s="102" t="str">
        <f t="shared" si="31"/>
        <v>F-DB</v>
      </c>
    </row>
    <row r="805" spans="2:7" ht="17">
      <c r="B805" s="206" t="s">
        <v>2806</v>
      </c>
      <c r="C805" s="207" t="s">
        <v>856</v>
      </c>
      <c r="D805" s="207" t="s">
        <v>856</v>
      </c>
      <c r="F805" s="102" t="str">
        <f t="shared" si="31"/>
        <v>MB</v>
      </c>
    </row>
    <row r="806" spans="2:7" ht="17">
      <c r="B806" s="206" t="s">
        <v>2807</v>
      </c>
      <c r="C806" s="207" t="s">
        <v>805</v>
      </c>
      <c r="D806" s="207" t="s">
        <v>216</v>
      </c>
      <c r="E806" s="210" t="s">
        <v>2808</v>
      </c>
      <c r="F806" s="102" t="str">
        <f t="shared" si="31"/>
        <v>MN</v>
      </c>
    </row>
    <row r="807" spans="2:7" ht="17">
      <c r="B807" s="206" t="s">
        <v>2809</v>
      </c>
      <c r="C807" s="207" t="s">
        <v>342</v>
      </c>
      <c r="D807" s="207" t="s">
        <v>342</v>
      </c>
      <c r="E807" s="210" t="s">
        <v>1097</v>
      </c>
      <c r="F807" s="102" t="str">
        <f t="shared" si="31"/>
        <v>AB-T</v>
      </c>
    </row>
    <row r="808" spans="2:7" ht="17">
      <c r="B808" s="206" t="s">
        <v>2810</v>
      </c>
      <c r="C808" s="207" t="s">
        <v>29</v>
      </c>
      <c r="D808" s="207" t="s">
        <v>216</v>
      </c>
      <c r="E808" s="210" t="s">
        <v>2811</v>
      </c>
      <c r="F808" s="102" t="str">
        <f t="shared" si="31"/>
        <v>MR</v>
      </c>
    </row>
    <row r="809" spans="2:7" ht="17">
      <c r="B809" s="206" t="s">
        <v>2812</v>
      </c>
      <c r="C809" s="207" t="s">
        <v>2813</v>
      </c>
      <c r="D809" s="207" t="s">
        <v>51</v>
      </c>
      <c r="E809" s="210" t="s">
        <v>2814</v>
      </c>
      <c r="F809" s="102" t="str">
        <f t="shared" si="31"/>
        <v>AV</v>
      </c>
    </row>
    <row r="810" spans="2:7" ht="17">
      <c r="B810" s="206" t="s">
        <v>2815</v>
      </c>
      <c r="C810" s="207" t="s">
        <v>51</v>
      </c>
      <c r="D810" s="207" t="s">
        <v>51</v>
      </c>
      <c r="F810" s="102" t="str">
        <f t="shared" si="31"/>
        <v>PMC</v>
      </c>
      <c r="G810" s="208" t="s">
        <v>2816</v>
      </c>
    </row>
    <row r="811" spans="2:7" ht="17">
      <c r="B811" s="206" t="s">
        <v>2817</v>
      </c>
      <c r="C811" s="207" t="s">
        <v>216</v>
      </c>
      <c r="D811" s="207" t="s">
        <v>216</v>
      </c>
      <c r="E811" s="210" t="s">
        <v>2818</v>
      </c>
      <c r="F811" s="102" t="str">
        <f t="shared" si="31"/>
        <v>AA</v>
      </c>
    </row>
    <row r="812" spans="2:7" ht="34">
      <c r="B812" s="206" t="s">
        <v>2819</v>
      </c>
      <c r="C812" s="207" t="s">
        <v>2675</v>
      </c>
      <c r="D812" s="207" t="s">
        <v>216</v>
      </c>
      <c r="E812" s="210" t="s">
        <v>2820</v>
      </c>
      <c r="F812" s="102" t="str">
        <f t="shared" si="31"/>
        <v>JB</v>
      </c>
    </row>
    <row r="813" spans="2:7" ht="17">
      <c r="B813" s="206" t="s">
        <v>2821</v>
      </c>
      <c r="C813" s="207" t="s">
        <v>2822</v>
      </c>
      <c r="D813" s="207" t="s">
        <v>954</v>
      </c>
      <c r="E813" s="210" t="s">
        <v>2823</v>
      </c>
      <c r="F813" s="102" t="str">
        <f t="shared" si="31"/>
        <v>A</v>
      </c>
    </row>
    <row r="814" spans="2:7" ht="17">
      <c r="B814" s="206" t="s">
        <v>2824</v>
      </c>
      <c r="C814" s="207" t="s">
        <v>627</v>
      </c>
      <c r="D814" s="207" t="s">
        <v>216</v>
      </c>
      <c r="E814" s="210" t="s">
        <v>2825</v>
      </c>
      <c r="F814" s="102" t="str">
        <f t="shared" si="31"/>
        <v>DI</v>
      </c>
    </row>
    <row r="815" spans="2:7" ht="17">
      <c r="B815" s="206" t="s">
        <v>2827</v>
      </c>
      <c r="C815" s="207" t="s">
        <v>566</v>
      </c>
      <c r="D815" s="207" t="s">
        <v>216</v>
      </c>
      <c r="F815" s="102" t="str">
        <f t="shared" si="31"/>
        <v>R-A</v>
      </c>
    </row>
    <row r="816" spans="2:7" ht="17">
      <c r="B816" s="206" t="s">
        <v>2124</v>
      </c>
      <c r="C816" s="207" t="s">
        <v>216</v>
      </c>
      <c r="D816" s="207" t="s">
        <v>216</v>
      </c>
      <c r="F816" s="102" t="str">
        <f t="shared" si="31"/>
        <v>A</v>
      </c>
    </row>
    <row r="817" spans="2:6" ht="17">
      <c r="B817" s="206" t="s">
        <v>2828</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5" priority="9" operator="equal">
      <formula>0</formula>
    </cfRule>
  </conditionalFormatting>
  <conditionalFormatting sqref="A437:E520">
    <cfRule type="cellIs" dxfId="54" priority="3" operator="equal">
      <formula>0</formula>
    </cfRule>
  </conditionalFormatting>
  <conditionalFormatting sqref="A524:E567 A568 A569:E658 A659:D659">
    <cfRule type="cellIs" dxfId="53" priority="11" operator="equal">
      <formula>0</formula>
    </cfRule>
  </conditionalFormatting>
  <conditionalFormatting sqref="A660:E1522">
    <cfRule type="cellIs" dxfId="52"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51" priority="12" operator="equal">
      <formula>0</formula>
    </cfRule>
  </conditionalFormatting>
  <conditionalFormatting sqref="B422:E422">
    <cfRule type="cellIs" dxfId="50" priority="10" operator="equal">
      <formula>0</formula>
    </cfRule>
  </conditionalFormatting>
  <conditionalFormatting sqref="B436:E437">
    <cfRule type="cellIs" dxfId="49" priority="8" operator="equal">
      <formula>0</formula>
    </cfRule>
  </conditionalFormatting>
  <conditionalFormatting sqref="T1:V1 U2:XFD211">
    <cfRule type="cellIs" dxfId="48"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C11" sqref="C11"/>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1742</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2830</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45771.523657175923</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TSL-TR-240425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1726</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15kVA inverter, 30kWh Battery, 15kWp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1</v>
      </c>
      <c r="C18" s="279" t="str">
        <f t="array" aca="1" ref="C18" ca="1">IFERROR(INDEX(Items!O:O,SMALL(IF(Items!$O$6:$O$676&lt;&gt;"",ROW(Items!$O$6:$O$676)),Items!N6)),"gdhgf")</f>
        <v>Victron MultiPlus-II 48/15000/200-100 230V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43459.519999999997</v>
      </c>
      <c r="K18" s="282">
        <f t="shared" ref="K18:K56" ca="1" si="0">IFERROR(SUM(B18*J18),"")</f>
        <v>43459.519999999997</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6</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18200</v>
      </c>
      <c r="K19" s="282">
        <f t="shared" ca="1" si="0"/>
        <v>109200</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25</v>
      </c>
      <c r="C20" s="279" t="str">
        <f t="array" aca="1" ref="C20" ca="1">IFERROR(INDEX(Items!O:O,SMALL(IF(Items!$O$6:$O$676&lt;&gt;"",ROW(Items!$O$6:$O$676)),Items!N8)),"")</f>
        <v>JA Solar JAM66-S45 600 Watts Solar Panel</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1844.08</v>
      </c>
      <c r="K20" s="282">
        <f t="shared" ca="1" si="0"/>
        <v>46102</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1</v>
      </c>
      <c r="C21" s="279" t="str">
        <f t="array" aca="1" ref="C21" ca="1">IFERROR(INDEX(Items!O:O,SMALL(IF(Items!$O$6:$O$676&lt;&gt;"",ROW(Items!$O$6:$O$676)),Items!N9)),"")</f>
        <v>Victron SmartSolar MPPT 100/20 up to 48V</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1444.8</v>
      </c>
      <c r="K21" s="282">
        <f t="shared" ca="1" si="0"/>
        <v>1444.8</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2</v>
      </c>
      <c r="C22" s="279" t="str">
        <f t="array" aca="1" ref="C22" ca="1">IFERROR(INDEX(Items!O:O,SMALL(IF(Items!$O$6:$O$676&lt;&gt;"",ROW(Items!$O$6:$O$676)),Items!N10)),"")</f>
        <v>Victron SmartSolar MPPT 250/100-Tr VE.Can</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9911.36</v>
      </c>
      <c r="K22" s="282">
        <f t="shared" ca="1" si="0"/>
        <v>19822.72</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Cerbo GX</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4449.92</v>
      </c>
      <c r="K23" s="282">
        <f t="shared" ca="1" si="0"/>
        <v>4449.92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GX Touch 50</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3361.28</v>
      </c>
      <c r="K24" s="282">
        <f t="shared" ca="1" si="0"/>
        <v>3361.28</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 Wall Mount</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245.44</v>
      </c>
      <c r="K25" s="282">
        <f t="shared" ca="1" si="0"/>
        <v>245.44</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2</v>
      </c>
      <c r="C26" s="279" t="str">
        <f t="array" aca="1" ref="C26" ca="1">IFERROR(INDEX(Items!O:O,SMALL(IF(Items!$O$6:$O$676&lt;&gt;"",ROW(Items!$O$6:$O$676)),Items!N14)),"")</f>
        <v>Victron Solar Busbar 250A 2P with 6 screws +cover</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707.84</v>
      </c>
      <c r="K26" s="282">
        <f t="shared" ca="1" si="0"/>
        <v>1415.68</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v>
      </c>
      <c r="C27" s="279" t="str">
        <f t="array" aca="1" ref="C27" ca="1">IFERROR(INDEX(Items!O:O,SMALL(IF(Items!$O$6:$O$676&lt;&gt;"",ROW(Items!$O$6:$O$676)),Items!N15)),"")</f>
        <v>Solar DC Combiner BHS 3/1</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2022.72</v>
      </c>
      <c r="K27" s="282">
        <f t="shared" ca="1" si="0"/>
        <v>4045.44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Citel AC Surge Protection Device DAC50VGS-11-275/G VAC 1-Phase</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781.6</v>
      </c>
      <c r="K28" s="282">
        <f t="shared" ca="1" si="0"/>
        <v>781.6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60</v>
      </c>
      <c r="C29" s="279" t="str">
        <f t="array" aca="1" ref="C29" ca="1">IFERROR(INDEX(Items!O:O,SMALL(IF(Items!$O$6:$O$676&lt;&gt;"",ROW(Items!$O$6:$O$676)),Items!N17)),"")</f>
        <v>Hikra Sol DC Solar cable 1x4mm2 1500V H1Z2Z2</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16.32</v>
      </c>
      <c r="K29" s="282">
        <f t="shared" ca="1" si="0"/>
        <v>979.2</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180</v>
      </c>
      <c r="C30" s="279" t="str">
        <f t="array" aca="1" ref="C30" ca="1">IFERROR(INDEX(Items!O:O,SMALL(IF(Items!$O$6:$O$676&lt;&gt;"",ROW(Items!$O$6:$O$676)),Items!N18)),"")</f>
        <v>Hikra Sol DC Solar cable 1x10mm2 1500V H1Z2Z2</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37.6</v>
      </c>
      <c r="K30" s="282">
        <f t="shared" ca="1" si="0"/>
        <v>6768</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30</v>
      </c>
      <c r="C31" s="279" t="str">
        <f t="array" aca="1" ref="C31" ca="1">IFERROR(INDEX(Items!O:O,SMALL(IF(Items!$O$6:$O$676&lt;&gt;"",ROW(Items!$O$6:$O$676)),Items!N19)),"")</f>
        <v>Hikra Sol DC Solar cable 1x16mm2 1500V H1Z2Z2</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72.48</v>
      </c>
      <c r="K31" s="282">
        <f t="shared" ca="1" si="0"/>
        <v>2174.4</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15</v>
      </c>
      <c r="C32" s="279" t="str">
        <f t="array" aca="1" ref="C32" ca="1">IFERROR(INDEX(Items!O:O,SMALL(IF(Items!$O$6:$O$676&lt;&gt;"",ROW(Items!$O$6:$O$676)),Items!N20)),"")</f>
        <v>Hikra Sol DC Solar cable 1x25mm2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132</v>
      </c>
      <c r="K32" s="282">
        <f t="shared" ca="1" si="0"/>
        <v>1980</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5</v>
      </c>
      <c r="C33" s="279" t="str">
        <f t="array" aca="1" ref="C33" ca="1">IFERROR(INDEX(Items!O:O,SMALL(IF(Items!$O$6:$O$676&lt;&gt;"",ROW(Items!$O$6:$O$676)),Items!N21)),"")</f>
        <v>Hikra Sol DC Solar cable 1x95mm2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660.32</v>
      </c>
      <c r="K33" s="282">
        <f t="shared" ca="1" si="0"/>
        <v>3301.6000000000004</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15</v>
      </c>
      <c r="C34" s="279" t="str">
        <f t="array" aca="1" ref="C34" ca="1">IFERROR(INDEX(Items!O:O,SMALL(IF(Items!$O$6:$O$676&lt;&gt;"",ROW(Items!$O$6:$O$676)),Items!N22)),"")</f>
        <v>Top Cable AC solar cable 5x25mm2 RV-K 0.6/1KV</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458.88</v>
      </c>
      <c r="K34" s="282">
        <f t="shared" ca="1" si="0"/>
        <v>6883.2</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55</v>
      </c>
      <c r="C35" s="279" t="str">
        <f t="array" aca="1" ref="C35" ca="1">IFERROR(INDEX(Items!O:O,SMALL(IF(Items!$O$6:$O$676&lt;&gt;"",ROW(Items!$O$6:$O$676)),Items!N23)),"")</f>
        <v>1x6mm2 RV-K 0.6/1KV Yellow/Green Earth Cable</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35.200000000000003</v>
      </c>
      <c r="K35" s="282">
        <f t="shared" ca="1" si="0"/>
        <v>1936.0000000000002</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1</v>
      </c>
      <c r="C36" s="279" t="str">
        <f t="array" aca="1" ref="C36" ca="1">IFERROR(INDEX(Items!O:O,SMALL(IF(Items!$O$6:$O$676&lt;&gt;"",ROW(Items!$O$6:$O$676)),Items!N24)),"")</f>
        <v>Victron RJ45 UTP Cable 3 m</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202.24</v>
      </c>
      <c r="K36" s="282">
        <f t="shared" ca="1" si="0"/>
        <v>202.24</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3</v>
      </c>
      <c r="C37" s="279" t="str">
        <f t="array" aca="1" ref="C37" ca="1">IFERROR(INDEX(Items!O:O,SMALL(IF(Items!$O$6:$O$676&lt;&gt;"",ROW(Items!$O$6:$O$676)),Items!N25)),"")</f>
        <v>Victron VE.Direct Cable 1,8m</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216.8</v>
      </c>
      <c r="K37" s="282">
        <f t="shared" ca="1" si="0"/>
        <v>650.40000000000009</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1</v>
      </c>
      <c r="C38" s="279" t="str">
        <f t="array" aca="1" ref="C38" ca="1">IFERROR(INDEX(Items!O:O,SMALL(IF(Items!$O$6:$O$676&lt;&gt;"",ROW(Items!$O$6:$O$676)),Items!N26)),"")</f>
        <v>Victron VE.Can to CAN-bus BMS type B Cable 1.8m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279.68</v>
      </c>
      <c r="K38" s="282">
        <f t="shared" ca="1" si="0"/>
        <v>279.68</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1</v>
      </c>
      <c r="C39" s="279" t="str">
        <f t="array" aca="1" ref="C39" ca="1">IFERROR(INDEX(Items!O:O,SMALL(IF(Items!$O$6:$O$676&lt;&gt;"",ROW(Items!$O$6:$O$676)),Items!N27)),"")</f>
        <v>250A Manual Transfer Switch</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3200</v>
      </c>
      <c r="K39" s="282">
        <f t="shared" ca="1" si="0"/>
        <v>3200</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2</v>
      </c>
      <c r="C40" s="279" t="str">
        <f t="array" aca="1" ref="C40" ca="1">IFERROR(INDEX(Items!O:O,SMALL(IF(Items!$O$6:$O$676&lt;&gt;"",ROW(Items!$O$6:$O$676)),Items!N28)),"")</f>
        <v>100A 2-Pole AC Circuit Breaker</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784</v>
      </c>
      <c r="K40" s="282">
        <f t="shared" ca="1" si="0"/>
        <v>1568</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9</v>
      </c>
      <c r="C41" s="279" t="str">
        <f t="array" aca="1" ref="C41" ca="1">IFERROR(INDEX(Items!O:O,SMALL(IF(Items!$O$6:$O$676&lt;&gt;"",ROW(Items!$O$6:$O$676)),Items!N29)),"")</f>
        <v>Victron MC4 Solar connector pair MC4, 1x Male/1x Female</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144.47999999999999</v>
      </c>
      <c r="K41" s="282">
        <f t="shared" ca="1" si="0"/>
        <v>1300.32</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2</v>
      </c>
      <c r="C42" s="279" t="str">
        <f t="array" aca="1" ref="C42" ca="1">IFERROR(INDEX(Items!O:O,SMALL(IF(Items!$O$6:$O$676&lt;&gt;"",ROW(Items!$O$6:$O$676)),Items!N30)),"")</f>
        <v>50x200mm Enclosure with Dinrail</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271.18644067792002</v>
      </c>
      <c r="K42" s="282">
        <f t="shared" ca="1" si="0"/>
        <v>542.37288135584004</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6.5</v>
      </c>
      <c r="C43" s="279" t="str">
        <f t="array" aca="1" ref="C43" ca="1">IFERROR(INDEX(Items!O:O,SMALL(IF(Items!$O$6:$O$676&lt;&gt;"",ROW(Items!$O$6:$O$676)),Items!N31)),"")</f>
        <v>Mounting Structure for Metal/ Tile Roof (per set of 4 panels) - 4.64 meter</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1376</v>
      </c>
      <c r="K43" s="282">
        <f t="shared" ca="1" si="0"/>
        <v>8944</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PVC Pipes, Trunking, Cable Lugs and Assessories</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1598.3999999999999</v>
      </c>
      <c r="K44" s="282">
        <f t="shared" ca="1" si="0"/>
        <v>1598.3999999999999</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Transportation Expenses</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4517.8578000000007</v>
      </c>
      <c r="K45" s="282">
        <f t="shared" ca="1" si="0"/>
        <v>4517.8578000000007</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v>
      </c>
      <c r="C46" s="279" t="str">
        <f t="array" aca="1" ref="C46" ca="1">IFERROR(INDEX(Items!O:O,SMALL(IF(Items!$O$6:$O$676&lt;&gt;"",ROW(Items!$O$6:$O$676)),Items!N34)),"")</f>
        <v>Engineering and Installation Works</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5864</v>
      </c>
      <c r="K46" s="282">
        <f t="shared" ca="1" si="0"/>
        <v>5864</v>
      </c>
      <c r="L46" s="49"/>
      <c r="M46" s="48"/>
      <c r="N46" s="48"/>
      <c r="O46" s="48"/>
      <c r="P46" s="48"/>
      <c r="Q46" s="48"/>
      <c r="R46" s="48"/>
    </row>
    <row r="47" spans="1:18" ht="16" customHeight="1">
      <c r="A47" s="1"/>
      <c r="B47" s="294" t="str">
        <f t="array" aca="1" ref="B47" ca="1">IF('Customer Base'!$I$15="MANUAL",IFERROR(INDEX(Items!B$6:B$679,SMALL(IF(Items!B$6:B$679&lt;&gt;"",ROW(Items!B$6:B$679)-MIN(ROW(Items!B$6:B$679))+1),Items!N35)),""),IF('Customer Base'!$I$15="AUTOMATE",IFERROR(INDEX(Items!A$6:A$679,SMALL(IF(Items!A$6:A$679&lt;&gt;"",ROW(Items!A$6:A$679)-MIN(ROW(Items!A$6:A$679))+1),Items!N35)),""),""))</f>
        <v/>
      </c>
      <c r="C47" s="279" t="str">
        <f t="array" aca="1" ref="C47" ca="1">IFERROR(INDEX(Items!O:O,SMALL(IF(Items!$O$6:$O$676&lt;&gt;"",ROW(Items!$O$6:$O$676)),Items!N35)),"")</f>
        <v/>
      </c>
      <c r="D47" s="280"/>
      <c r="E47" s="280"/>
      <c r="F47" s="280"/>
      <c r="G47" s="280"/>
      <c r="H47" s="280"/>
      <c r="I47" s="280"/>
      <c r="J47" s="285" t="str">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
      </c>
      <c r="K47" s="282" t="str">
        <f t="shared" ca="1" si="0"/>
        <v/>
      </c>
      <c r="L47" s="49"/>
      <c r="M47" s="48"/>
      <c r="N47" s="48"/>
      <c r="O47" s="48"/>
      <c r="P47" s="48"/>
      <c r="Q47" s="48"/>
      <c r="R47" s="48"/>
    </row>
    <row r="48" spans="1:18" ht="16" customHeight="1">
      <c r="A48" s="1"/>
      <c r="B48" s="294" t="str">
        <f t="array" aca="1" ref="B48" ca="1">IF('Customer Base'!$I$15="MANUAL",IFERROR(INDEX(Items!B$6:B$679,SMALL(IF(Items!B$6:B$679&lt;&gt;"",ROW(Items!B$6:B$679)-MIN(ROW(Items!B$6:B$679))+1),Items!N36)),""),IF('Customer Base'!$I$15="AUTOMATE",IFERROR(INDEX(Items!A$6:A$679,SMALL(IF(Items!A$6:A$679&lt;&gt;"",ROW(Items!A$6:A$679)-MIN(ROW(Items!A$6:A$679))+1),Items!N36)),""),""))</f>
        <v/>
      </c>
      <c r="C48" s="279" t="str">
        <f t="array" aca="1" ref="C48" ca="1">IFERROR(INDEX(Items!O:O,SMALL(IF(Items!$O$6:$O$676&lt;&gt;"",ROW(Items!$O$6:$O$676)),Items!N36)),"")</f>
        <v/>
      </c>
      <c r="D48" s="280"/>
      <c r="E48" s="280"/>
      <c r="F48" s="280"/>
      <c r="G48" s="280"/>
      <c r="H48" s="280"/>
      <c r="I48" s="280"/>
      <c r="J48" s="285" t="str">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
      </c>
      <c r="K48" s="282" t="str">
        <f t="shared" ca="1" si="0"/>
        <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1909</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2616</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2773</v>
      </c>
      <c r="D60" s="29"/>
      <c r="E60" s="29"/>
      <c r="F60" s="29"/>
      <c r="G60" s="29"/>
      <c r="H60" s="29"/>
      <c r="I60" s="29"/>
      <c r="J60" s="285"/>
      <c r="K60" s="282">
        <f t="shared" si="1"/>
        <v>0</v>
      </c>
      <c r="L60" s="49"/>
      <c r="M60" s="48"/>
      <c r="N60" s="48"/>
      <c r="O60" s="48"/>
      <c r="P60" s="48"/>
      <c r="Q60" s="48"/>
      <c r="R60" s="48"/>
    </row>
    <row r="61" spans="1:118">
      <c r="A61" s="1"/>
      <c r="B61" s="295"/>
      <c r="C61" s="30" t="s">
        <v>2839</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1210</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2829</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1449</v>
      </c>
      <c r="D66" s="13"/>
      <c r="E66" s="13"/>
      <c r="F66" s="13"/>
      <c r="G66" s="13"/>
      <c r="H66" s="13"/>
      <c r="I66" s="13"/>
      <c r="J66" s="25" t="s">
        <v>15</v>
      </c>
      <c r="K66" s="288">
        <f ca="1">IF(NOW()&gt;Q13,"",IF(SUM(K17:K65)&gt;0,ROUND(SUM(K17:K65),2),""))</f>
        <v>287018.07</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287,018.07</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2796</v>
      </c>
      <c r="C77" s="13"/>
      <c r="D77" s="13"/>
      <c r="E77" s="13"/>
      <c r="F77" s="13"/>
      <c r="G77" s="13"/>
      <c r="H77" s="13"/>
      <c r="I77" s="13"/>
      <c r="J77" s="13"/>
      <c r="K77" s="13"/>
      <c r="M77" s="48"/>
      <c r="N77" s="48"/>
      <c r="O77" s="48"/>
      <c r="P77" s="48"/>
      <c r="Q77" s="48"/>
      <c r="R77" s="48"/>
    </row>
    <row r="78" spans="1:18" ht="16" thickTop="1">
      <c r="A78" s="1"/>
      <c r="B78" s="355" t="s">
        <v>2795</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7" priority="2" operator="equal">
      <formula>0</formula>
    </cfRule>
  </conditionalFormatting>
  <conditionalFormatting sqref="K1:K1048576 C78:J78">
    <cfRule type="cellIs" dxfId="46"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103" zoomScaleNormal="100" workbookViewId="0">
      <selection activeCell="J6" sqref="J6"/>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1738</v>
      </c>
      <c r="J2" s="299"/>
      <c r="K2" s="83" t="s">
        <v>1739</v>
      </c>
      <c r="L2" s="359"/>
    </row>
    <row r="3" spans="2:27" ht="20" thickTop="1" thickBot="1">
      <c r="B3" s="60"/>
      <c r="C3" s="376" t="s">
        <v>2498</v>
      </c>
      <c r="D3" s="377"/>
      <c r="E3" s="377"/>
      <c r="F3" s="378"/>
      <c r="G3" s="61"/>
      <c r="I3" s="84"/>
      <c r="J3" s="79"/>
      <c r="K3" s="85"/>
    </row>
    <row r="4" spans="2:27" ht="19" thickTop="1">
      <c r="B4" s="60"/>
      <c r="C4" s="66"/>
      <c r="D4" s="66"/>
      <c r="E4" s="66"/>
      <c r="F4" s="66"/>
      <c r="G4" s="61"/>
      <c r="I4" s="86" t="s">
        <v>1273</v>
      </c>
      <c r="J4" s="291" t="str">
        <f ca="1">IFERROR(INVOICE!K14&amp;" "&amp;TEXT(IF(I12="DISPLAY TAX",ROUND(SUM(INVOICE!K68:K69)/J9,2),ROUND(INVOICE!K66/J9,2)),"#,##0.00"),"")</f>
        <v>GH₵ 19,134.54</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15kVA inverter, 30kWh Battery, 15kWp Solar Panels and Remote Monitoring</v>
      </c>
      <c r="D5" s="380"/>
      <c r="E5" s="380"/>
      <c r="F5" s="381"/>
      <c r="G5" s="61"/>
      <c r="I5" s="86" t="s">
        <v>1239</v>
      </c>
      <c r="J5" s="296">
        <v>16</v>
      </c>
      <c r="K5" s="87"/>
      <c r="U5" s="360" t="s">
        <v>2475</v>
      </c>
    </row>
    <row r="6" spans="2:27" ht="14" customHeight="1">
      <c r="B6" s="60"/>
      <c r="C6" s="382"/>
      <c r="D6" s="383"/>
      <c r="E6" s="383"/>
      <c r="F6" s="384"/>
      <c r="G6" s="61"/>
      <c r="I6" s="88"/>
      <c r="J6" s="81"/>
      <c r="K6" s="87"/>
    </row>
    <row r="7" spans="2:27">
      <c r="B7" s="60"/>
      <c r="C7" s="69" t="s">
        <v>2457</v>
      </c>
      <c r="D7" s="274" t="s">
        <v>2459</v>
      </c>
      <c r="F7" s="61"/>
      <c r="G7" s="61"/>
      <c r="I7" s="89" t="s">
        <v>1214</v>
      </c>
      <c r="J7" s="290">
        <f>'Customer Base'!D$14*'Customer Base'!D$15</f>
        <v>15</v>
      </c>
      <c r="K7" s="90" t="s">
        <v>1228</v>
      </c>
      <c r="M7" s="52" t="s">
        <v>2708</v>
      </c>
      <c r="N7" s="52" t="s">
        <v>2461</v>
      </c>
      <c r="O7" s="52" t="s">
        <v>2197</v>
      </c>
      <c r="P7" s="52" t="s">
        <v>2474</v>
      </c>
      <c r="Q7" s="52" t="s">
        <v>2462</v>
      </c>
      <c r="R7" s="52" t="s">
        <v>2663</v>
      </c>
      <c r="S7" s="52" t="s">
        <v>2662</v>
      </c>
      <c r="T7" s="52" t="s">
        <v>2466</v>
      </c>
      <c r="U7" s="52" t="s">
        <v>2463</v>
      </c>
      <c r="V7" s="52" t="s">
        <v>1215</v>
      </c>
      <c r="W7" s="52" t="s">
        <v>2469</v>
      </c>
      <c r="X7" s="52" t="s">
        <v>2660</v>
      </c>
      <c r="Y7" s="52" t="s">
        <v>2489</v>
      </c>
      <c r="Z7" s="53" t="s">
        <v>2493</v>
      </c>
      <c r="AA7" s="52"/>
    </row>
    <row r="8" spans="2:27">
      <c r="B8" s="60"/>
      <c r="C8" s="69" t="s">
        <v>2468</v>
      </c>
      <c r="D8" s="274">
        <v>48</v>
      </c>
      <c r="F8" s="61"/>
      <c r="G8" s="61"/>
      <c r="I8" s="86" t="s">
        <v>1215</v>
      </c>
      <c r="J8" s="291">
        <f>SUM(Items!AO205:AO236)</f>
        <v>30</v>
      </c>
      <c r="K8" s="91" t="s">
        <v>1229</v>
      </c>
      <c r="M8" s="50" t="s">
        <v>2195</v>
      </c>
      <c r="N8" s="50" t="s">
        <v>2198</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2472</v>
      </c>
      <c r="X8" s="50" t="str">
        <f>IF(D$25="Victron",115,"")</f>
        <v/>
      </c>
      <c r="Y8" s="50" t="s">
        <v>2490</v>
      </c>
      <c r="Z8" s="50" t="s">
        <v>2492</v>
      </c>
    </row>
    <row r="9" spans="2:27">
      <c r="B9" s="60"/>
      <c r="C9" s="69" t="s">
        <v>2474</v>
      </c>
      <c r="D9" s="275">
        <v>1</v>
      </c>
      <c r="F9" s="61"/>
      <c r="G9" s="61"/>
      <c r="I9" s="92" t="s">
        <v>1216</v>
      </c>
      <c r="J9" s="292">
        <f>SUM(Items!AO242:AO254)</f>
        <v>15</v>
      </c>
      <c r="K9" s="93" t="s">
        <v>1230</v>
      </c>
      <c r="M9" s="50" t="s">
        <v>2199</v>
      </c>
      <c r="N9" s="50" t="s">
        <v>2458</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2465</v>
      </c>
      <c r="X9" s="50" t="str">
        <f>IF(D$25="Victron",270,"")</f>
        <v/>
      </c>
      <c r="Y9" s="50" t="s">
        <v>2491</v>
      </c>
      <c r="Z9" s="50" t="s">
        <v>2494</v>
      </c>
    </row>
    <row r="10" spans="2:27">
      <c r="B10" s="60"/>
      <c r="C10" s="70"/>
      <c r="D10" s="71"/>
      <c r="E10" s="64"/>
      <c r="F10" s="65"/>
      <c r="G10" s="61"/>
      <c r="I10" s="94"/>
      <c r="J10" s="80"/>
      <c r="K10" s="95"/>
      <c r="M10" s="50" t="s">
        <v>2200</v>
      </c>
      <c r="N10" s="50" t="s">
        <v>2459</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2464</v>
      </c>
      <c r="X10" s="50" t="str">
        <f>IF(D$25="Victron",305,"")</f>
        <v/>
      </c>
      <c r="Z10" s="50" t="s">
        <v>2495</v>
      </c>
    </row>
    <row r="11" spans="2:27">
      <c r="B11" s="60"/>
      <c r="C11" s="54"/>
      <c r="D11" s="55"/>
      <c r="G11" s="61"/>
      <c r="I11" s="88"/>
      <c r="J11" s="98" t="str">
        <f>IF(AND(D7&lt;&gt;"Mini-Grid",D7&lt;&gt;"Grid-Tied"),"","AC DC ratio")</f>
        <v/>
      </c>
      <c r="K11" s="91">
        <v>1.2</v>
      </c>
      <c r="N11" s="50" t="s">
        <v>2460</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1824</v>
      </c>
      <c r="X11" s="50" t="str">
        <f>IF(D$25="Victron",330,"")</f>
        <v/>
      </c>
    </row>
    <row r="12" spans="2:27">
      <c r="B12" s="60"/>
      <c r="C12" s="67"/>
      <c r="D12" s="68"/>
      <c r="E12" s="58"/>
      <c r="F12" s="59"/>
      <c r="G12" s="61"/>
      <c r="I12" s="297" t="s">
        <v>1463</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2473</v>
      </c>
      <c r="X12" s="50" t="str">
        <f>IF(D$25="Sharp",415,"")</f>
        <v/>
      </c>
    </row>
    <row r="13" spans="2:27">
      <c r="B13" s="60"/>
      <c r="C13" s="69" t="s">
        <v>2456</v>
      </c>
      <c r="D13" s="274" t="s">
        <v>1824</v>
      </c>
      <c r="E13" s="316" t="s">
        <v>2199</v>
      </c>
      <c r="F13" s="274" t="s">
        <v>2667</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15</v>
      </c>
      <c r="E14" s="56"/>
      <c r="F14" s="317">
        <v>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2467</v>
      </c>
      <c r="D15" s="276">
        <v>1</v>
      </c>
      <c r="F15" s="318">
        <v>1</v>
      </c>
      <c r="G15" s="61"/>
      <c r="I15" s="297" t="s">
        <v>2832</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row>
    <row r="19" spans="2:24" ht="15" thickTop="1">
      <c r="B19" s="60"/>
      <c r="C19" s="69" t="s">
        <v>2466</v>
      </c>
      <c r="D19" s="274" t="s">
        <v>1823</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4">
      <c r="B20" s="60"/>
      <c r="C20" s="69" t="s">
        <v>2668</v>
      </c>
      <c r="D20" s="274" t="s">
        <v>2464</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2669</v>
      </c>
      <c r="D21" s="276">
        <v>6</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4">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4">
      <c r="B25" s="60"/>
      <c r="C25" s="69" t="s">
        <v>2470</v>
      </c>
      <c r="D25" s="277" t="s">
        <v>2472</v>
      </c>
      <c r="E25" s="273">
        <f ca="1">IF(D13="Victron",SUM(Items!A242:A254)-IF('Client List'!IL474="",0,'Client List'!IL474),SUM(Items!A242:A254))</f>
        <v>25</v>
      </c>
      <c r="F25" s="61" t="s">
        <v>2508</v>
      </c>
      <c r="G25" s="61"/>
      <c r="R25" s="50" t="str" cm="1">
        <f t="array" ref="R25">IF(AND(ISNUMBER(SEARCH({"Fronius"},D$13)),ISNUMBER(SEARCH({"230/400"},D$8))),25,"")</f>
        <v/>
      </c>
      <c r="S25" s="50" t="str" cm="1">
        <f t="array" ref="S25">IF(AND(ISNUMBER(SEARCH({"Fronius"},F$13)),ISNUMBER(SEARCH({"Mini-Grid"},D$7))),25,"")</f>
        <v/>
      </c>
      <c r="V25" s="50" t="str">
        <f>IF(AND(D$19="Lithium",D$20="Jinko"),4.8,"")</f>
        <v/>
      </c>
    </row>
    <row r="26" spans="2:24">
      <c r="B26" s="60"/>
      <c r="C26" s="69" t="s">
        <v>2661</v>
      </c>
      <c r="D26" s="277">
        <v>600</v>
      </c>
      <c r="E26" s="305"/>
      <c r="F26" s="61"/>
      <c r="G26" s="61"/>
      <c r="R26" s="50" t="str" cm="1">
        <f t="array" ref="R26">IF(AND(ISNUMBER(SEARCH({"Fronius"},D$13)),ISNUMBER(SEARCH({"230/400"},D$8))),27,"")</f>
        <v/>
      </c>
      <c r="S26" s="50" t="str" cm="1">
        <f t="array" ref="S26">IF(AND(ISNUMBER(SEARCH({"Fronius"},F$13)),ISNUMBER(SEARCH({"Mini-Grid"},D$7))),27,"")</f>
        <v/>
      </c>
    </row>
    <row r="27" spans="2:24">
      <c r="B27" s="60"/>
      <c r="C27" s="69" t="s">
        <v>2471</v>
      </c>
      <c r="D27" s="276">
        <v>15</v>
      </c>
      <c r="E27" s="308">
        <f>IF(D7="Grid-Tied",ROUNDUP(1.2*((D14*D15)),0),(D21*IF(D19="Lithium",E20,IF(OR(D19="2V OPzV",D19="2V OPzS"),E20*2/1000,IF(D19="12V Lead-Acid",E20*12/1000,0)))/4)+(0.5*((D14*D15))))</f>
        <v>15</v>
      </c>
      <c r="F27" s="61" t="s">
        <v>2507</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t="str" cm="1">
        <f t="array" ref="S29">IF(AND(OR(ISNUMBER(SEARCH({"Fronius","Huawei"},F$13))),ISNUMBER(SEARCH({"Mini-Grid"},D$7))),50,"")</f>
        <v/>
      </c>
    </row>
    <row r="30" spans="2:24">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4">
      <c r="B31" s="60"/>
      <c r="C31" s="69" t="s">
        <v>2476</v>
      </c>
      <c r="D31" s="276">
        <v>30</v>
      </c>
      <c r="F31" s="61"/>
      <c r="G31" s="61"/>
      <c r="R31" s="50" t="str" cm="1">
        <f t="array" ref="R31">IF(AND(ISNUMBER(SEARCH({"Fronius"},D$13)),ISNUMBER(SEARCH({"230/400"},D$8))),100,"")</f>
        <v/>
      </c>
    </row>
    <row r="32" spans="2:24">
      <c r="B32" s="60"/>
      <c r="C32" s="69" t="s">
        <v>2477</v>
      </c>
      <c r="D32" s="276">
        <v>15</v>
      </c>
      <c r="F32" s="61"/>
      <c r="G32" s="61"/>
    </row>
    <row r="33" spans="2:7">
      <c r="B33" s="60"/>
      <c r="C33" s="69"/>
      <c r="D33" s="54"/>
      <c r="F33" s="61"/>
      <c r="G33" s="61"/>
    </row>
    <row r="34" spans="2:7">
      <c r="B34" s="60"/>
      <c r="C34" s="69" t="str">
        <f>IF(D7="Grid-Tied","Hybrid Controller:","Remote Monitoring:")</f>
        <v>Remote Monitoring:</v>
      </c>
      <c r="D34" s="274" t="s">
        <v>2490</v>
      </c>
      <c r="E34" s="315">
        <v>1</v>
      </c>
      <c r="F34" s="61" t="s">
        <v>2649</v>
      </c>
      <c r="G34" s="61"/>
    </row>
    <row r="35" spans="2:7">
      <c r="B35" s="60"/>
      <c r="C35" s="69"/>
      <c r="D35" s="54"/>
      <c r="F35" s="61"/>
      <c r="G35" s="61"/>
    </row>
    <row r="36" spans="2:7">
      <c r="B36" s="60"/>
      <c r="C36" s="69" t="s">
        <v>2493</v>
      </c>
      <c r="D36" s="274" t="s">
        <v>2492</v>
      </c>
      <c r="F36" s="61"/>
      <c r="G36" s="61"/>
    </row>
    <row r="37" spans="2:7">
      <c r="B37" s="60"/>
      <c r="C37" s="73"/>
      <c r="D37" s="63"/>
      <c r="E37" s="64"/>
      <c r="F37" s="65"/>
      <c r="G37" s="61"/>
    </row>
    <row r="38" spans="2:7">
      <c r="B38" s="60"/>
      <c r="G38" s="61"/>
    </row>
    <row r="39" spans="2:7">
      <c r="B39" s="60"/>
      <c r="C39" s="54" t="s">
        <v>2499</v>
      </c>
      <c r="D39" s="272" t="str">
        <f ca="1">INVOICE!K70</f>
        <v>GH₵ 287,018.07</v>
      </c>
      <c r="G39" s="61"/>
    </row>
    <row r="40" spans="2:7">
      <c r="B40" s="62"/>
      <c r="C40" s="63"/>
      <c r="D40" s="63"/>
      <c r="E40" s="64"/>
      <c r="F40" s="64"/>
      <c r="G40" s="65"/>
    </row>
  </sheetData>
  <mergeCells count="3">
    <mergeCell ref="C3:F3"/>
    <mergeCell ref="C5:F5"/>
    <mergeCell ref="C6:F6"/>
  </mergeCells>
  <conditionalFormatting sqref="C31">
    <cfRule type="expression" dxfId="45" priority="19">
      <formula>ISERROR(MATCH($D$7,$N$8:$N$10,0))</formula>
    </cfRule>
  </conditionalFormatting>
  <conditionalFormatting sqref="D8">
    <cfRule type="expression" dxfId="43" priority="28">
      <formula>ISERROR(MATCH($D$8,$O$8:$O$11,0))</formula>
    </cfRule>
  </conditionalFormatting>
  <conditionalFormatting sqref="D13">
    <cfRule type="expression" dxfId="42" priority="13">
      <formula>ISERROR(MATCH($D$13,$Q$8:$Q$12,0))</formula>
    </cfRule>
  </conditionalFormatting>
  <conditionalFormatting sqref="D14">
    <cfRule type="expression" dxfId="41" priority="12">
      <formula>ISERROR(MATCH($D$14,$R$8:$R$31,0))</formula>
    </cfRule>
  </conditionalFormatting>
  <conditionalFormatting sqref="D19">
    <cfRule type="expression" dxfId="40" priority="32">
      <formula>ISERROR(MATCH($D$19,$T$8:$T$11,0))</formula>
    </cfRule>
  </conditionalFormatting>
  <conditionalFormatting sqref="D19:D20">
    <cfRule type="expression" dxfId="39" priority="16">
      <formula>ISERROR(MATCH($D$7,$N$9:$N$11,0))</formula>
    </cfRule>
  </conditionalFormatting>
  <conditionalFormatting sqref="D20">
    <cfRule type="expression" dxfId="38" priority="33">
      <formula>ISERROR(MATCH($D$20,$U$8:$U$12,0))</formula>
    </cfRule>
  </conditionalFormatting>
  <conditionalFormatting sqref="D21">
    <cfRule type="expression" dxfId="37" priority="24">
      <formula>ISERROR(MATCH($D$19,$T$8:$T$11,0))</formula>
    </cfRule>
    <cfRule type="expression" dxfId="36" priority="31">
      <formula>ISERROR(MATCH($D$7,$N$9:$N$11,0))</formula>
    </cfRule>
  </conditionalFormatting>
  <conditionalFormatting sqref="D25">
    <cfRule type="expression" dxfId="35" priority="8">
      <formula>ISERROR(MATCH($D$7,$N$8:$N$10,0))</formula>
    </cfRule>
  </conditionalFormatting>
  <conditionalFormatting sqref="D26">
    <cfRule type="expression" dxfId="33" priority="35" stopIfTrue="1">
      <formula>ISERROR(MATCH($D$26,$X$8:$X$18,0))</formula>
    </cfRule>
    <cfRule type="expression" dxfId="32" priority="38">
      <formula>ISERROR(MATCH($D$7,$N$8:$N$10,0))</formula>
    </cfRule>
  </conditionalFormatting>
  <conditionalFormatting sqref="D27">
    <cfRule type="expression" dxfId="31" priority="36">
      <formula>ISERROR(MATCH($D$7,$N$8:$N$10,0))</formula>
    </cfRule>
  </conditionalFormatting>
  <conditionalFormatting sqref="D31">
    <cfRule type="expression" dxfId="30" priority="18">
      <formula>ISERROR(MATCH($D$7,$N$8:$N$10,0))</formula>
    </cfRule>
  </conditionalFormatting>
  <conditionalFormatting sqref="E13">
    <cfRule type="expression" dxfId="27" priority="7">
      <formula>$D$13&lt;&gt;"Victron"</formula>
    </cfRule>
  </conditionalFormatting>
  <conditionalFormatting sqref="E20">
    <cfRule type="expression" dxfId="26" priority="34">
      <formula>ISERROR(MATCH($E$20,$V$8:$V$25,0))</formula>
    </cfRule>
  </conditionalFormatting>
  <conditionalFormatting sqref="E27">
    <cfRule type="expression" dxfId="23" priority="23">
      <formula>ISERROR(MATCH($D$7,$N$8:$N$10,0))</formula>
    </cfRule>
  </conditionalFormatting>
  <conditionalFormatting sqref="E34">
    <cfRule type="expression" dxfId="22" priority="15">
      <formula>OR($C$34="Remote Monitoring:",AND($D$34="No",$C$34="Hybrid Controller:"))</formula>
    </cfRule>
  </conditionalFormatting>
  <conditionalFormatting sqref="E20:F20">
    <cfRule type="expression" dxfId="21" priority="29">
      <formula>$D$7="Grid-Tied"</formula>
    </cfRule>
  </conditionalFormatting>
  <conditionalFormatting sqref="E25:F25">
    <cfRule type="expression" dxfId="20" priority="20">
      <formula>ISERROR(MATCH($D$7,$N$8:$N$10,0))</formula>
    </cfRule>
  </conditionalFormatting>
  <conditionalFormatting sqref="F13">
    <cfRule type="expression" dxfId="19" priority="26">
      <formula>ISERROR(MATCH($F$13,$Q$8:$Q$12,0))</formula>
    </cfRule>
    <cfRule type="expression" dxfId="18" priority="11" stopIfTrue="1">
      <formula>OR($D$7="Hybrid",$D$7="Grid-Tied",$D$7="Backup")</formula>
    </cfRule>
  </conditionalFormatting>
  <conditionalFormatting sqref="F14">
    <cfRule type="expression" dxfId="17" priority="27" stopIfTrue="1">
      <formula>ISERROR(MATCH($F$14,$S$8:$S$30,0))</formula>
    </cfRule>
    <cfRule type="expression" dxfId="16" priority="10">
      <formula>OR($D$7="Hybrid",$D$7="Grid-Tied",$D$7="Backup")</formula>
    </cfRule>
  </conditionalFormatting>
  <conditionalFormatting sqref="F15">
    <cfRule type="expression" dxfId="15" priority="9" stopIfTrue="1">
      <formula>OR($D$7="Hybrid",$D$7="Grid-Tied",$D$7="Backup")</formula>
    </cfRule>
  </conditionalFormatting>
  <conditionalFormatting sqref="F27">
    <cfRule type="expression" dxfId="14" priority="22">
      <formula>ISERROR(MATCH($D$7,$N$8:$N$10,0))</formula>
    </cfRule>
  </conditionalFormatting>
  <conditionalFormatting sqref="F34">
    <cfRule type="expression" dxfId="13" priority="14">
      <formula>OR($C$34="Remote Monitoring:",AND($D$34="No",$C$34="Hybrid Controller:"))</formula>
    </cfRule>
  </conditionalFormatting>
  <conditionalFormatting sqref="K11">
    <cfRule type="expression" dxfId="12" priority="2" stopIfTrue="1">
      <formula>$J$11=""</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6"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7"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41" id="{959F3578-A66A-8846-B7A8-B2C96C8D8A5E}">
            <xm:f>'CABLE SIZING TOOL'!$H$104&gt;=3%</xm:f>
            <x14:dxf>
              <font>
                <color rgb="FF9C0006"/>
              </font>
              <fill>
                <patternFill>
                  <bgColor rgb="FFFFC7CE"/>
                </patternFill>
              </fill>
            </x14:dxf>
          </x14:cfRule>
          <x14:cfRule type="expression" priority="40"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6" id="{6E760702-88E6-F242-A506-1F9C98051E08}">
            <xm:f>$E$25&gt;SUM(Items!$A$242:$A$254)</xm:f>
            <x14:dxf>
              <font>
                <color rgb="FF9C5700"/>
              </font>
              <fill>
                <patternFill>
                  <bgColor rgb="FFFFEB9C"/>
                </patternFill>
              </fill>
            </x14:dxf>
          </x14:cfRule>
          <x14:cfRule type="expression" priority="9947" stopIfTrue="1" id="{278B350F-99A4-2245-80E8-F663818AB25B}">
            <xm:f>$E$25&lt;SUM(Items!$A$242:$A$254)</xm:f>
            <x14:dxf>
              <font>
                <color rgb="FF9C0006"/>
              </font>
              <fill>
                <patternFill>
                  <bgColor rgb="FFFFC7CE"/>
                </patternFill>
              </fill>
            </x14:dxf>
          </x14:cfRule>
          <xm:sqref>E25</xm:sqref>
        </x14:conditionalFormatting>
        <x14:conditionalFormatting xmlns:xm="http://schemas.microsoft.com/office/excel/2006/main">
          <x14:cfRule type="expression" priority="1" id="{E01D7DD8-FC82-014A-B301-AD9AFC969E46}">
            <xm:f>AND('Client List'!$N$1&lt;=0,OR($D$7="Mini-Grid",$D$7="Grid-Tied"))</xm:f>
            <x14:dxf>
              <font>
                <color rgb="FF9C0006"/>
              </font>
              <fill>
                <patternFill>
                  <bgColor rgb="FFFFC7CE"/>
                </patternFill>
              </fill>
            </x14:dxf>
          </x14:cfRule>
          <xm:sqref>K11</xm:sqref>
        </x14:conditionalFormatting>
        <x14:conditionalFormatting xmlns:xm="http://schemas.microsoft.com/office/excel/2006/main">
          <x14:cfRule type="expression" priority="5"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1945</v>
      </c>
      <c r="P3" s="106" t="s">
        <v>1946</v>
      </c>
      <c r="U3" s="105" t="s">
        <v>1947</v>
      </c>
    </row>
    <row r="4" spans="2:29">
      <c r="I4" s="107"/>
      <c r="AB4" s="107"/>
    </row>
    <row r="5" spans="2:29" ht="68">
      <c r="B5" s="108" t="s">
        <v>1948</v>
      </c>
      <c r="C5" s="108" t="s">
        <v>1949</v>
      </c>
      <c r="D5" s="108" t="s">
        <v>1950</v>
      </c>
      <c r="E5" s="108" t="s">
        <v>1951</v>
      </c>
      <c r="F5" s="108" t="s">
        <v>1952</v>
      </c>
      <c r="G5" s="108" t="s">
        <v>1953</v>
      </c>
      <c r="H5" s="108" t="s">
        <v>1954</v>
      </c>
      <c r="I5" s="108" t="s">
        <v>1955</v>
      </c>
      <c r="J5" s="108" t="s">
        <v>1956</v>
      </c>
      <c r="K5" s="108" t="s">
        <v>1957</v>
      </c>
      <c r="L5" s="108" t="s">
        <v>1958</v>
      </c>
      <c r="M5" s="109" t="s">
        <v>1959</v>
      </c>
      <c r="P5" s="105" t="s">
        <v>1960</v>
      </c>
      <c r="Q5" s="105" t="s">
        <v>1961</v>
      </c>
      <c r="U5" s="108" t="s">
        <v>1948</v>
      </c>
      <c r="V5" s="108" t="s">
        <v>1949</v>
      </c>
      <c r="W5" s="108" t="s">
        <v>1950</v>
      </c>
      <c r="X5" s="108" t="s">
        <v>1951</v>
      </c>
      <c r="Y5" s="108" t="s">
        <v>1962</v>
      </c>
      <c r="Z5" s="108" t="s">
        <v>1963</v>
      </c>
      <c r="AA5" s="108" t="s">
        <v>1964</v>
      </c>
      <c r="AB5" s="108" t="s">
        <v>1965</v>
      </c>
      <c r="AC5" s="108" t="s">
        <v>1959</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1966</v>
      </c>
      <c r="U30" s="105" t="s">
        <v>1967</v>
      </c>
    </row>
    <row r="31" spans="2:29">
      <c r="I31" s="107"/>
    </row>
    <row r="32" spans="2:29" ht="51">
      <c r="B32" s="108" t="s">
        <v>1948</v>
      </c>
      <c r="C32" s="108" t="s">
        <v>1949</v>
      </c>
      <c r="D32" s="108" t="s">
        <v>1950</v>
      </c>
      <c r="E32" s="108" t="s">
        <v>1951</v>
      </c>
      <c r="F32" s="108" t="s">
        <v>1962</v>
      </c>
      <c r="G32" s="108" t="s">
        <v>1963</v>
      </c>
      <c r="H32" s="108" t="s">
        <v>1964</v>
      </c>
      <c r="I32" s="108" t="s">
        <v>1965</v>
      </c>
      <c r="J32" s="108" t="s">
        <v>1959</v>
      </c>
      <c r="U32" s="108" t="s">
        <v>1968</v>
      </c>
      <c r="V32" s="108" t="s">
        <v>1969</v>
      </c>
      <c r="W32" s="108" t="s">
        <v>1970</v>
      </c>
      <c r="X32" s="108" t="s">
        <v>1959</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1971</v>
      </c>
      <c r="P53" s="106" t="s">
        <v>1972</v>
      </c>
      <c r="U53" s="105" t="s">
        <v>1973</v>
      </c>
    </row>
    <row r="54" spans="2:28">
      <c r="I54" s="107"/>
      <c r="AB54" s="107"/>
    </row>
    <row r="55" spans="2:28" ht="68">
      <c r="B55" s="108" t="s">
        <v>1952</v>
      </c>
      <c r="C55" s="108" t="s">
        <v>1974</v>
      </c>
      <c r="D55" s="108" t="s">
        <v>1954</v>
      </c>
      <c r="E55" s="108" t="s">
        <v>1955</v>
      </c>
      <c r="F55" s="108" t="s">
        <v>1956</v>
      </c>
      <c r="G55" s="108" t="s">
        <v>1975</v>
      </c>
      <c r="H55" s="108" t="s">
        <v>1976</v>
      </c>
      <c r="I55" s="108" t="s">
        <v>1977</v>
      </c>
      <c r="J55" s="108" t="s">
        <v>1978</v>
      </c>
      <c r="K55" s="108" t="s">
        <v>1979</v>
      </c>
      <c r="L55" s="108" t="s">
        <v>1980</v>
      </c>
      <c r="M55" s="109" t="s">
        <v>1959</v>
      </c>
      <c r="P55" s="105" t="s">
        <v>1960</v>
      </c>
      <c r="Q55" s="105" t="s">
        <v>1961</v>
      </c>
      <c r="U55" s="108" t="s">
        <v>1948</v>
      </c>
      <c r="V55" s="108" t="s">
        <v>1949</v>
      </c>
      <c r="W55" s="108" t="s">
        <v>1950</v>
      </c>
      <c r="X55" s="108" t="s">
        <v>1951</v>
      </c>
      <c r="Y55" s="108" t="s">
        <v>1962</v>
      </c>
      <c r="Z55" s="108" t="s">
        <v>1963</v>
      </c>
      <c r="AA55" s="108" t="s">
        <v>1959</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1981</v>
      </c>
      <c r="P71" s="105">
        <v>960</v>
      </c>
      <c r="U71" s="105" t="s">
        <v>1982</v>
      </c>
    </row>
    <row r="72" spans="2:27">
      <c r="I72" s="107"/>
      <c r="P72" s="105">
        <v>1200</v>
      </c>
    </row>
    <row r="73" spans="2:27" ht="51">
      <c r="B73" s="108" t="s">
        <v>1962</v>
      </c>
      <c r="C73" s="108" t="s">
        <v>1983</v>
      </c>
      <c r="D73" s="108" t="s">
        <v>1964</v>
      </c>
      <c r="E73" s="108" t="s">
        <v>1984</v>
      </c>
      <c r="F73" s="108" t="s">
        <v>1985</v>
      </c>
      <c r="G73" s="108" t="s">
        <v>1986</v>
      </c>
      <c r="H73" s="108" t="s">
        <v>1959</v>
      </c>
      <c r="U73" s="108" t="s">
        <v>1968</v>
      </c>
      <c r="V73" s="108" t="s">
        <v>1969</v>
      </c>
      <c r="W73" s="108" t="s">
        <v>1970</v>
      </c>
      <c r="X73" s="108" t="s">
        <v>1959</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1987</v>
      </c>
    </row>
    <row r="94" spans="2:24">
      <c r="I94" s="107"/>
    </row>
    <row r="95" spans="2:24" ht="34">
      <c r="B95" s="108" t="s">
        <v>1988</v>
      </c>
      <c r="C95" s="108" t="s">
        <v>1989</v>
      </c>
      <c r="D95" s="108" t="s">
        <v>1990</v>
      </c>
      <c r="E95" s="108" t="s">
        <v>1991</v>
      </c>
      <c r="F95" s="108" t="s">
        <v>1992</v>
      </c>
      <c r="G95" s="108" t="s">
        <v>1993</v>
      </c>
      <c r="H95" s="108" t="s">
        <v>1994</v>
      </c>
      <c r="I95" s="109" t="s">
        <v>1959</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1995</v>
      </c>
      <c r="U105" s="105" t="s">
        <v>1996</v>
      </c>
    </row>
    <row r="106" spans="2:29">
      <c r="I106" s="107"/>
      <c r="P106" s="105" t="s">
        <v>1997</v>
      </c>
      <c r="AB106" s="107"/>
    </row>
    <row r="107" spans="2:29" ht="68">
      <c r="B107" s="108" t="s">
        <v>1948</v>
      </c>
      <c r="C107" s="108" t="s">
        <v>1949</v>
      </c>
      <c r="D107" s="108" t="s">
        <v>1950</v>
      </c>
      <c r="E107" s="108" t="s">
        <v>1951</v>
      </c>
      <c r="F107" s="108" t="s">
        <v>1952</v>
      </c>
      <c r="G107" s="108" t="s">
        <v>1953</v>
      </c>
      <c r="H107" s="108" t="s">
        <v>1954</v>
      </c>
      <c r="I107" s="108" t="s">
        <v>1955</v>
      </c>
      <c r="J107" s="108" t="s">
        <v>1956</v>
      </c>
      <c r="K107" s="108" t="s">
        <v>1998</v>
      </c>
      <c r="L107" s="108" t="s">
        <v>1958</v>
      </c>
      <c r="M107" s="109" t="s">
        <v>1959</v>
      </c>
      <c r="U107" s="108" t="s">
        <v>1948</v>
      </c>
      <c r="V107" s="108" t="s">
        <v>1949</v>
      </c>
      <c r="W107" s="108" t="s">
        <v>1950</v>
      </c>
      <c r="X107" s="108" t="s">
        <v>1951</v>
      </c>
      <c r="Y107" s="108" t="s">
        <v>1962</v>
      </c>
      <c r="Z107" s="108" t="s">
        <v>1963</v>
      </c>
      <c r="AA107" s="108" t="s">
        <v>1964</v>
      </c>
      <c r="AB107" s="108" t="s">
        <v>1965</v>
      </c>
      <c r="AC107" s="108" t="s">
        <v>1959</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1999</v>
      </c>
      <c r="P132" s="105">
        <v>1600</v>
      </c>
      <c r="U132" s="105" t="s">
        <v>2000</v>
      </c>
    </row>
    <row r="133" spans="2:29">
      <c r="I133" s="107"/>
    </row>
    <row r="134" spans="2:29" ht="51">
      <c r="B134" s="108" t="s">
        <v>1948</v>
      </c>
      <c r="C134" s="108" t="s">
        <v>1949</v>
      </c>
      <c r="D134" s="108" t="s">
        <v>1950</v>
      </c>
      <c r="E134" s="108" t="s">
        <v>1951</v>
      </c>
      <c r="F134" s="108" t="s">
        <v>1962</v>
      </c>
      <c r="G134" s="108" t="s">
        <v>2001</v>
      </c>
      <c r="H134" s="108" t="s">
        <v>1964</v>
      </c>
      <c r="I134" s="108" t="s">
        <v>2002</v>
      </c>
      <c r="J134" s="108" t="s">
        <v>1959</v>
      </c>
      <c r="U134" s="108" t="s">
        <v>1968</v>
      </c>
      <c r="V134" s="108" t="s">
        <v>1969</v>
      </c>
      <c r="W134" s="108" t="s">
        <v>1970</v>
      </c>
      <c r="X134" s="108" t="s">
        <v>1959</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2003</v>
      </c>
      <c r="U155" s="105" t="s">
        <v>2004</v>
      </c>
    </row>
    <row r="156" spans="2:28">
      <c r="I156" s="107"/>
      <c r="AB156" s="107"/>
    </row>
    <row r="157" spans="2:28" ht="68">
      <c r="B157" s="108" t="s">
        <v>1952</v>
      </c>
      <c r="C157" s="108" t="s">
        <v>1974</v>
      </c>
      <c r="D157" s="108" t="s">
        <v>1954</v>
      </c>
      <c r="E157" s="108" t="s">
        <v>1955</v>
      </c>
      <c r="F157" s="108" t="s">
        <v>1956</v>
      </c>
      <c r="G157" s="108" t="s">
        <v>1975</v>
      </c>
      <c r="H157" s="108" t="s">
        <v>1976</v>
      </c>
      <c r="I157" s="108" t="s">
        <v>1977</v>
      </c>
      <c r="J157" s="108" t="s">
        <v>1978</v>
      </c>
      <c r="K157" s="108" t="s">
        <v>1979</v>
      </c>
      <c r="L157" s="108" t="s">
        <v>1980</v>
      </c>
      <c r="M157" s="109" t="s">
        <v>1959</v>
      </c>
      <c r="U157" s="108" t="s">
        <v>1948</v>
      </c>
      <c r="V157" s="108" t="s">
        <v>1949</v>
      </c>
      <c r="W157" s="108" t="s">
        <v>1950</v>
      </c>
      <c r="X157" s="108" t="s">
        <v>1951</v>
      </c>
      <c r="Y157" s="108" t="s">
        <v>1962</v>
      </c>
      <c r="Z157" s="108" t="s">
        <v>1963</v>
      </c>
      <c r="AA157" s="108" t="s">
        <v>1959</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2005</v>
      </c>
      <c r="U173" s="105" t="s">
        <v>2006</v>
      </c>
    </row>
    <row r="175" spans="2:27" ht="51">
      <c r="B175" s="108" t="s">
        <v>1962</v>
      </c>
      <c r="C175" s="108" t="s">
        <v>1983</v>
      </c>
      <c r="D175" s="108" t="s">
        <v>1964</v>
      </c>
      <c r="E175" s="108" t="s">
        <v>1984</v>
      </c>
      <c r="F175" s="108" t="s">
        <v>1985</v>
      </c>
      <c r="G175" s="108" t="s">
        <v>1986</v>
      </c>
      <c r="H175" s="108" t="s">
        <v>1959</v>
      </c>
      <c r="U175" s="108" t="s">
        <v>1968</v>
      </c>
      <c r="V175" s="108" t="s">
        <v>1969</v>
      </c>
      <c r="W175" s="108" t="s">
        <v>1970</v>
      </c>
      <c r="X175" s="108" t="s">
        <v>1959</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2007</v>
      </c>
      <c r="U195" s="105" t="s">
        <v>2008</v>
      </c>
    </row>
    <row r="197" spans="2:26" ht="51">
      <c r="B197" s="108" t="s">
        <v>1968</v>
      </c>
      <c r="C197" s="108" t="s">
        <v>1969</v>
      </c>
      <c r="D197" s="108" t="s">
        <v>1970</v>
      </c>
      <c r="E197" s="108" t="s">
        <v>1959</v>
      </c>
      <c r="U197" s="108" t="s">
        <v>1948</v>
      </c>
      <c r="V197" s="108" t="s">
        <v>1949</v>
      </c>
      <c r="W197" s="108" t="s">
        <v>1950</v>
      </c>
      <c r="X197" s="108" t="s">
        <v>1951</v>
      </c>
      <c r="Y197" s="108" t="s">
        <v>1962</v>
      </c>
      <c r="Z197" s="108" t="s">
        <v>1959</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2009</v>
      </c>
      <c r="U217" s="105" t="s">
        <v>2010</v>
      </c>
    </row>
    <row r="219" spans="2:26" ht="51">
      <c r="B219" s="108" t="s">
        <v>1968</v>
      </c>
      <c r="C219" s="108" t="s">
        <v>1969</v>
      </c>
      <c r="D219" s="108" t="s">
        <v>1970</v>
      </c>
      <c r="E219" s="108" t="s">
        <v>1959</v>
      </c>
      <c r="U219" s="108" t="s">
        <v>1948</v>
      </c>
      <c r="V219" s="108" t="s">
        <v>1949</v>
      </c>
      <c r="W219" s="108" t="s">
        <v>1950</v>
      </c>
      <c r="X219" s="108" t="s">
        <v>1951</v>
      </c>
      <c r="Y219" s="108" t="s">
        <v>1959</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2011</v>
      </c>
      <c r="U239" s="105" t="s">
        <v>2012</v>
      </c>
    </row>
    <row r="241" spans="2:28" ht="34">
      <c r="B241" s="108" t="s">
        <v>2013</v>
      </c>
      <c r="C241" s="108" t="s">
        <v>1969</v>
      </c>
      <c r="D241" s="108" t="s">
        <v>2014</v>
      </c>
      <c r="E241" s="108" t="s">
        <v>1959</v>
      </c>
      <c r="U241" s="108" t="s">
        <v>1948</v>
      </c>
      <c r="V241" s="108" t="s">
        <v>1949</v>
      </c>
      <c r="W241" s="108" t="s">
        <v>1959</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2015</v>
      </c>
      <c r="U251" s="105" t="s">
        <v>2016</v>
      </c>
    </row>
    <row r="252" spans="2:28">
      <c r="I252" s="107"/>
      <c r="AB252" s="107"/>
    </row>
    <row r="253" spans="2:28" ht="85">
      <c r="B253" s="108" t="s">
        <v>1962</v>
      </c>
      <c r="C253" s="108" t="s">
        <v>2017</v>
      </c>
      <c r="D253" s="108" t="s">
        <v>2018</v>
      </c>
      <c r="E253" s="108" t="s">
        <v>2019</v>
      </c>
      <c r="F253" s="108" t="s">
        <v>2020</v>
      </c>
      <c r="G253" s="108" t="s">
        <v>2021</v>
      </c>
      <c r="H253" s="108" t="s">
        <v>2022</v>
      </c>
      <c r="I253" s="108" t="s">
        <v>2023</v>
      </c>
      <c r="J253" s="109" t="s">
        <v>1959</v>
      </c>
      <c r="U253" s="108" t="s">
        <v>1948</v>
      </c>
      <c r="V253" s="108" t="s">
        <v>1949</v>
      </c>
      <c r="W253" s="108" t="s">
        <v>1950</v>
      </c>
      <c r="X253" s="108" t="s">
        <v>1951</v>
      </c>
      <c r="Y253" s="108" t="s">
        <v>1962</v>
      </c>
      <c r="Z253" s="108" t="s">
        <v>1963</v>
      </c>
      <c r="AA253" s="108" t="s">
        <v>1959</v>
      </c>
    </row>
    <row r="254" spans="2:28">
      <c r="B254" s="106" t="s">
        <v>2024</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2025</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2026</v>
      </c>
      <c r="U278" s="105" t="s">
        <v>2027</v>
      </c>
    </row>
    <row r="279" spans="2:27">
      <c r="I279" s="107"/>
    </row>
    <row r="280" spans="2:27" ht="85">
      <c r="B280" s="108" t="s">
        <v>1962</v>
      </c>
      <c r="C280" s="108" t="s">
        <v>2017</v>
      </c>
      <c r="D280" s="108" t="s">
        <v>2018</v>
      </c>
      <c r="E280" s="108" t="s">
        <v>2019</v>
      </c>
      <c r="F280" s="108" t="s">
        <v>2020</v>
      </c>
      <c r="G280" s="108" t="s">
        <v>2021</v>
      </c>
      <c r="H280" s="108" t="s">
        <v>2022</v>
      </c>
      <c r="I280" s="108" t="s">
        <v>2023</v>
      </c>
      <c r="J280" s="109" t="s">
        <v>1959</v>
      </c>
      <c r="U280" s="108" t="s">
        <v>1948</v>
      </c>
      <c r="V280" s="108" t="s">
        <v>1949</v>
      </c>
      <c r="W280" s="108" t="s">
        <v>1950</v>
      </c>
      <c r="X280" s="108" t="s">
        <v>1951</v>
      </c>
      <c r="Y280" s="108" t="s">
        <v>1962</v>
      </c>
      <c r="Z280" s="108" t="s">
        <v>1963</v>
      </c>
      <c r="AA280" s="108" t="s">
        <v>1959</v>
      </c>
    </row>
    <row r="281" spans="2:27">
      <c r="B281" s="106" t="s">
        <v>2024</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2025</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2028</v>
      </c>
      <c r="U305" s="105" t="s">
        <v>2029</v>
      </c>
    </row>
    <row r="306" spans="2:29">
      <c r="I306" s="107"/>
    </row>
    <row r="307" spans="2:29" ht="68">
      <c r="B307" s="108" t="s">
        <v>1948</v>
      </c>
      <c r="C307" s="108" t="s">
        <v>1949</v>
      </c>
      <c r="D307" s="108" t="s">
        <v>1950</v>
      </c>
      <c r="E307" s="108" t="s">
        <v>1951</v>
      </c>
      <c r="F307" s="108" t="s">
        <v>1952</v>
      </c>
      <c r="G307" s="108" t="s">
        <v>1953</v>
      </c>
      <c r="H307" s="108" t="s">
        <v>1954</v>
      </c>
      <c r="I307" s="108" t="s">
        <v>1955</v>
      </c>
      <c r="J307" s="108" t="s">
        <v>1956</v>
      </c>
      <c r="K307" s="108" t="s">
        <v>1957</v>
      </c>
      <c r="L307" s="108" t="s">
        <v>1958</v>
      </c>
      <c r="M307" s="109" t="s">
        <v>1959</v>
      </c>
      <c r="U307" s="108" t="s">
        <v>1948</v>
      </c>
      <c r="V307" s="108" t="s">
        <v>1949</v>
      </c>
      <c r="W307" s="108" t="s">
        <v>1950</v>
      </c>
      <c r="X307" s="108" t="s">
        <v>1951</v>
      </c>
      <c r="Y307" s="108" t="s">
        <v>1962</v>
      </c>
      <c r="Z307" s="108" t="s">
        <v>1963</v>
      </c>
      <c r="AA307" s="108" t="s">
        <v>2030</v>
      </c>
      <c r="AB307" s="108" t="s">
        <v>2031</v>
      </c>
      <c r="AC307" s="108" t="s">
        <v>1959</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2032</v>
      </c>
      <c r="U324" s="105" t="s">
        <v>2033</v>
      </c>
    </row>
    <row r="325" spans="2:29">
      <c r="I325" s="107"/>
    </row>
    <row r="326" spans="2:29" ht="34">
      <c r="B326" s="108" t="s">
        <v>1948</v>
      </c>
      <c r="C326" s="108" t="s">
        <v>1949</v>
      </c>
      <c r="D326" s="108" t="s">
        <v>1950</v>
      </c>
      <c r="E326" s="108" t="s">
        <v>1951</v>
      </c>
      <c r="F326" s="108" t="s">
        <v>1962</v>
      </c>
      <c r="G326" s="108" t="s">
        <v>1963</v>
      </c>
      <c r="H326" s="108" t="s">
        <v>1964</v>
      </c>
      <c r="I326" s="108" t="s">
        <v>1965</v>
      </c>
      <c r="J326" s="108" t="s">
        <v>1959</v>
      </c>
      <c r="U326" s="108" t="s">
        <v>1948</v>
      </c>
      <c r="V326" s="108" t="s">
        <v>1949</v>
      </c>
      <c r="W326" s="108" t="s">
        <v>1950</v>
      </c>
      <c r="X326" s="108" t="s">
        <v>1959</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2034</v>
      </c>
      <c r="U340" s="105" t="s">
        <v>2035</v>
      </c>
    </row>
    <row r="341" spans="2:27">
      <c r="I341" s="107"/>
    </row>
    <row r="342" spans="2:27" ht="68">
      <c r="B342" s="108" t="s">
        <v>1952</v>
      </c>
      <c r="C342" s="108" t="s">
        <v>1974</v>
      </c>
      <c r="D342" s="108" t="s">
        <v>1954</v>
      </c>
      <c r="E342" s="108" t="s">
        <v>1955</v>
      </c>
      <c r="F342" s="108" t="s">
        <v>1956</v>
      </c>
      <c r="G342" s="108" t="s">
        <v>1975</v>
      </c>
      <c r="H342" s="108" t="s">
        <v>1976</v>
      </c>
      <c r="I342" s="108" t="s">
        <v>1977</v>
      </c>
      <c r="J342" s="108" t="s">
        <v>1978</v>
      </c>
      <c r="K342" s="108" t="s">
        <v>1979</v>
      </c>
      <c r="L342" s="108" t="s">
        <v>1980</v>
      </c>
      <c r="M342" s="109" t="s">
        <v>1959</v>
      </c>
      <c r="U342" s="108" t="s">
        <v>1948</v>
      </c>
      <c r="V342" s="108" t="s">
        <v>1949</v>
      </c>
      <c r="W342" s="108" t="s">
        <v>1950</v>
      </c>
      <c r="X342" s="108" t="s">
        <v>1951</v>
      </c>
      <c r="Y342" s="108" t="s">
        <v>1962</v>
      </c>
      <c r="Z342" s="108" t="s">
        <v>1963</v>
      </c>
      <c r="AA342" s="108" t="s">
        <v>1959</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2036</v>
      </c>
      <c r="U359" s="105" t="s">
        <v>2037</v>
      </c>
    </row>
    <row r="360" spans="2:27">
      <c r="I360" s="107"/>
    </row>
    <row r="361" spans="2:27" ht="34">
      <c r="B361" s="108" t="s">
        <v>1962</v>
      </c>
      <c r="C361" s="108" t="s">
        <v>1983</v>
      </c>
      <c r="D361" s="108" t="s">
        <v>1964</v>
      </c>
      <c r="E361" s="108" t="s">
        <v>1984</v>
      </c>
      <c r="F361" s="108" t="s">
        <v>1985</v>
      </c>
      <c r="G361" s="108" t="s">
        <v>1986</v>
      </c>
      <c r="H361" s="108" t="s">
        <v>1959</v>
      </c>
      <c r="U361" s="108" t="s">
        <v>1948</v>
      </c>
      <c r="V361" s="108" t="s">
        <v>1949</v>
      </c>
      <c r="W361" s="108" t="s">
        <v>1950</v>
      </c>
      <c r="X361" s="108" t="s">
        <v>1959</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2038</v>
      </c>
      <c r="U375" s="105" t="s">
        <v>2039</v>
      </c>
    </row>
    <row r="376" spans="2:29">
      <c r="I376" s="107"/>
    </row>
    <row r="377" spans="2:29" ht="68">
      <c r="B377" s="108" t="s">
        <v>1948</v>
      </c>
      <c r="C377" s="108" t="s">
        <v>1949</v>
      </c>
      <c r="D377" s="108" t="s">
        <v>1950</v>
      </c>
      <c r="E377" s="108" t="s">
        <v>1951</v>
      </c>
      <c r="F377" s="108" t="s">
        <v>1952</v>
      </c>
      <c r="G377" s="108" t="s">
        <v>1953</v>
      </c>
      <c r="H377" s="108" t="s">
        <v>1954</v>
      </c>
      <c r="I377" s="108" t="s">
        <v>1955</v>
      </c>
      <c r="J377" s="108" t="s">
        <v>1956</v>
      </c>
      <c r="K377" s="108" t="s">
        <v>1998</v>
      </c>
      <c r="L377" s="108" t="s">
        <v>1958</v>
      </c>
      <c r="M377" s="109" t="s">
        <v>1959</v>
      </c>
      <c r="U377" s="108" t="s">
        <v>1948</v>
      </c>
      <c r="V377" s="108" t="s">
        <v>1949</v>
      </c>
      <c r="W377" s="108" t="s">
        <v>1950</v>
      </c>
      <c r="X377" s="108" t="s">
        <v>1951</v>
      </c>
      <c r="Y377" s="108" t="s">
        <v>1962</v>
      </c>
      <c r="Z377" s="108" t="s">
        <v>1963</v>
      </c>
      <c r="AA377" s="108" t="s">
        <v>2030</v>
      </c>
      <c r="AB377" s="108" t="s">
        <v>2031</v>
      </c>
      <c r="AC377" s="108" t="s">
        <v>1959</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2040</v>
      </c>
      <c r="U394" s="105" t="s">
        <v>2041</v>
      </c>
    </row>
    <row r="395" spans="2:29">
      <c r="I395" s="107"/>
    </row>
    <row r="396" spans="2:29" ht="34">
      <c r="B396" s="108" t="s">
        <v>1948</v>
      </c>
      <c r="C396" s="108" t="s">
        <v>1949</v>
      </c>
      <c r="D396" s="108" t="s">
        <v>1950</v>
      </c>
      <c r="E396" s="108" t="s">
        <v>1951</v>
      </c>
      <c r="F396" s="108" t="s">
        <v>1962</v>
      </c>
      <c r="G396" s="108" t="s">
        <v>2001</v>
      </c>
      <c r="H396" s="108" t="s">
        <v>1964</v>
      </c>
      <c r="I396" s="108" t="s">
        <v>2002</v>
      </c>
      <c r="J396" s="108" t="s">
        <v>1959</v>
      </c>
      <c r="U396" s="108" t="s">
        <v>1948</v>
      </c>
      <c r="V396" s="108" t="s">
        <v>1949</v>
      </c>
      <c r="W396" s="108" t="s">
        <v>1950</v>
      </c>
      <c r="X396" s="108" t="s">
        <v>1959</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2042</v>
      </c>
      <c r="U410" s="105" t="s">
        <v>2043</v>
      </c>
    </row>
    <row r="411" spans="2:27">
      <c r="I411" s="107"/>
    </row>
    <row r="412" spans="2:27" ht="68">
      <c r="B412" s="108" t="s">
        <v>1952</v>
      </c>
      <c r="C412" s="108" t="s">
        <v>1974</v>
      </c>
      <c r="D412" s="108" t="s">
        <v>1954</v>
      </c>
      <c r="E412" s="108" t="s">
        <v>1955</v>
      </c>
      <c r="F412" s="108" t="s">
        <v>1956</v>
      </c>
      <c r="G412" s="108" t="s">
        <v>1975</v>
      </c>
      <c r="H412" s="108" t="s">
        <v>1976</v>
      </c>
      <c r="I412" s="108" t="s">
        <v>1977</v>
      </c>
      <c r="J412" s="108" t="s">
        <v>1978</v>
      </c>
      <c r="K412" s="108" t="s">
        <v>1979</v>
      </c>
      <c r="L412" s="108" t="s">
        <v>1980</v>
      </c>
      <c r="M412" s="109" t="s">
        <v>1959</v>
      </c>
      <c r="U412" s="108" t="s">
        <v>1948</v>
      </c>
      <c r="V412" s="108" t="s">
        <v>1949</v>
      </c>
      <c r="W412" s="108" t="s">
        <v>1950</v>
      </c>
      <c r="X412" s="108" t="s">
        <v>1951</v>
      </c>
      <c r="Y412" s="108" t="s">
        <v>1962</v>
      </c>
      <c r="Z412" s="108" t="s">
        <v>1963</v>
      </c>
      <c r="AA412" s="108" t="s">
        <v>1959</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2044</v>
      </c>
      <c r="U429" s="105" t="s">
        <v>2045</v>
      </c>
    </row>
    <row r="431" spans="2:27" ht="34">
      <c r="B431" s="108" t="s">
        <v>1962</v>
      </c>
      <c r="C431" s="108" t="s">
        <v>1983</v>
      </c>
      <c r="D431" s="108" t="s">
        <v>1964</v>
      </c>
      <c r="E431" s="108" t="s">
        <v>1984</v>
      </c>
      <c r="F431" s="108" t="s">
        <v>1985</v>
      </c>
      <c r="G431" s="108" t="s">
        <v>1986</v>
      </c>
      <c r="H431" s="108" t="s">
        <v>1959</v>
      </c>
      <c r="U431" s="108" t="s">
        <v>1948</v>
      </c>
      <c r="V431" s="108" t="s">
        <v>1949</v>
      </c>
      <c r="W431" s="108" t="s">
        <v>1950</v>
      </c>
      <c r="X431" s="108" t="s">
        <v>1959</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3" activePane="bottomRight" state="frozen"/>
      <selection activeCell="O51" sqref="O51"/>
      <selection pane="topRight" activeCell="O51" sqref="O51"/>
      <selection pane="bottomLeft" activeCell="O51" sqref="O51"/>
      <selection pane="bottomRight" activeCell="H29" sqref="H2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2046</v>
      </c>
    </row>
    <row r="2" spans="1:43" ht="15.75" customHeight="1">
      <c r="B2" s="115" t="s">
        <v>2047</v>
      </c>
      <c r="I2" s="116"/>
      <c r="J2" s="117"/>
      <c r="K2" s="117"/>
      <c r="L2" s="116"/>
      <c r="M2" s="116"/>
      <c r="N2" s="118">
        <f ca="1">NOW()</f>
        <v>45771.523657175923</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2048</v>
      </c>
      <c r="D7" s="130" t="s">
        <v>2049</v>
      </c>
      <c r="E7" s="130" t="s">
        <v>2050</v>
      </c>
      <c r="F7" s="130" t="s">
        <v>2051</v>
      </c>
      <c r="G7" s="130" t="s">
        <v>2052</v>
      </c>
      <c r="H7" s="130" t="s">
        <v>2053</v>
      </c>
      <c r="I7" s="130" t="s">
        <v>2054</v>
      </c>
      <c r="J7" s="130" t="s">
        <v>2055</v>
      </c>
      <c r="K7" s="130" t="s">
        <v>2056</v>
      </c>
      <c r="L7" s="130" t="s">
        <v>2057</v>
      </c>
      <c r="M7" s="131"/>
      <c r="N7" s="132" t="s">
        <v>1807</v>
      </c>
      <c r="O7" s="133" t="s">
        <v>2058</v>
      </c>
      <c r="AQ7" s="112"/>
    </row>
    <row r="8" spans="1:43" ht="68">
      <c r="A8" s="134"/>
      <c r="B8" s="135"/>
      <c r="C8" s="136"/>
      <c r="D8" s="137" t="s">
        <v>2590</v>
      </c>
      <c r="E8" s="137" t="s">
        <v>2591</v>
      </c>
      <c r="F8" s="137" t="s">
        <v>2592</v>
      </c>
      <c r="G8" s="137" t="s">
        <v>2593</v>
      </c>
      <c r="H8" s="137" t="s">
        <v>2594</v>
      </c>
      <c r="I8" s="137" t="s">
        <v>2595</v>
      </c>
      <c r="J8" s="137" t="s">
        <v>2596</v>
      </c>
      <c r="K8" s="137" t="s">
        <v>2700</v>
      </c>
      <c r="L8" s="137" t="s">
        <v>2699</v>
      </c>
      <c r="M8" s="135"/>
      <c r="N8" s="135"/>
      <c r="O8" s="138"/>
      <c r="AQ8" s="112"/>
    </row>
    <row r="9" spans="1:43" ht="16">
      <c r="A9" s="131"/>
      <c r="B9" s="148" t="s">
        <v>2059</v>
      </c>
      <c r="C9" s="149"/>
      <c r="D9" s="150">
        <f>'Customer Base'!J7/'Customer Base'!D15</f>
        <v>15</v>
      </c>
      <c r="E9" s="150">
        <f ca="1">IF(SUMPRODUCT(Items!A$6:A$120,Items!AP$6:AP$120)&gt;0,('Customer Base'!J$7/'Customer Base'!D$15),IF(SUMPRODUCT(Items!A$257:A$289,Items!AP$257:AP$289)&gt;0,('Customer Base'!J$7/'Customer Base'!D$15),""))</f>
        <v>15</v>
      </c>
      <c r="F9" s="150">
        <f ca="1">E9</f>
        <v>15</v>
      </c>
      <c r="G9" s="150">
        <f ca="1">E9</f>
        <v>15</v>
      </c>
      <c r="H9" s="150">
        <f ca="1">E9</f>
        <v>15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2060</v>
      </c>
      <c r="C11" s="152"/>
      <c r="D11" s="154">
        <f>D9*100%</f>
        <v>15</v>
      </c>
      <c r="E11" s="154">
        <f ca="1">IFERROR(E9*100%,0)</f>
        <v>15</v>
      </c>
      <c r="F11" s="154">
        <f t="shared" ref="F11:H11" ca="1" si="0">IFERROR(F9*100%,0)</f>
        <v>15</v>
      </c>
      <c r="G11" s="154">
        <f t="shared" ca="1" si="0"/>
        <v>15</v>
      </c>
      <c r="H11" s="154">
        <f t="shared" ca="1" si="0"/>
        <v>15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2061</v>
      </c>
      <c r="C13" s="152"/>
      <c r="D13" s="152">
        <f>D11/0.8</f>
        <v>18.75</v>
      </c>
      <c r="E13" s="152">
        <f ca="1">E11/1</f>
        <v>15</v>
      </c>
      <c r="F13" s="152">
        <f t="shared" ref="F13:H13" ca="1" si="2">F11/1</f>
        <v>15</v>
      </c>
      <c r="G13" s="152">
        <f t="shared" ca="1" si="2"/>
        <v>15</v>
      </c>
      <c r="H13" s="152">
        <f t="shared" ca="1" si="2"/>
        <v>15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2062</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2063</v>
      </c>
      <c r="C17" s="152"/>
      <c r="D17" s="146">
        <f>SUM(D13,D15)</f>
        <v>18.75</v>
      </c>
      <c r="E17" s="146">
        <f ca="1">SUM(E13,E15)</f>
        <v>15</v>
      </c>
      <c r="F17" s="146">
        <f t="shared" ref="F17:L17" ca="1" si="5">SUM(F13,F15)</f>
        <v>15</v>
      </c>
      <c r="G17" s="146">
        <f t="shared" ca="1" si="5"/>
        <v>15</v>
      </c>
      <c r="H17" s="146">
        <f ca="1">SUM(H13,H15)</f>
        <v>15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1" t="s">
        <v>2064</v>
      </c>
      <c r="B19" s="127" t="s">
        <v>2065</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2"/>
      <c r="B20" s="151" t="s">
        <v>2066</v>
      </c>
      <c r="C20" s="152"/>
      <c r="D20" s="142">
        <v>1</v>
      </c>
      <c r="E20" s="142"/>
      <c r="F20" s="142"/>
      <c r="G20" s="142"/>
      <c r="H20" s="142"/>
      <c r="I20" s="142"/>
      <c r="J20" s="142">
        <v>1</v>
      </c>
      <c r="K20" s="142">
        <v>1</v>
      </c>
      <c r="L20" s="142">
        <v>1</v>
      </c>
      <c r="M20" s="144"/>
      <c r="N20" s="142">
        <v>1</v>
      </c>
      <c r="O20" s="143" t="str">
        <f>IF(N20&gt;0,"A","")</f>
        <v>A</v>
      </c>
      <c r="AQ20" s="112"/>
    </row>
    <row r="21" spans="1:43" ht="16">
      <c r="A21" s="393"/>
      <c r="B21" s="134" t="s">
        <v>2067</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2068</v>
      </c>
      <c r="B23" s="151" t="s">
        <v>2069</v>
      </c>
      <c r="C23" s="152"/>
      <c r="D23" s="152">
        <f>IF(D55&lt;&gt;"",D$17*1000/(IF(D57=1,240,IF(D57=3,(SQRT(3)*400)))),"")</f>
        <v>78.125</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47.849999999999994</v>
      </c>
      <c r="F23" s="152">
        <f ca="1">E23</f>
        <v>47.849999999999994</v>
      </c>
      <c r="G23" s="152">
        <f ca="1">E23</f>
        <v>47.849999999999994</v>
      </c>
      <c r="H23" s="152">
        <f ca="1">E23</f>
        <v>47.849999999999994</v>
      </c>
      <c r="I23" s="152">
        <f>SUMPRODUCT(Items!A$6:A$132,Items!AW$6:AW$132)/'Customer Base'!D15</f>
        <v>200</v>
      </c>
      <c r="J23" s="152">
        <f t="shared" ref="J23" si="6">IF(J55&lt;&gt;"",J$17*1000/(IF(J57=1,240,IF(J57=3,(SQRT(3)*400)))),"")</f>
        <v>78.125</v>
      </c>
      <c r="K23" s="152">
        <f>SUMPRODUCT(Items!A$242:A$254,Items!AP$242:AP$254)/SUM(Items!A$242:A$254)</f>
        <v>15.95</v>
      </c>
      <c r="L23" s="152">
        <f>SUMPRODUCT(Items!A$242:A$254,Items!AP$242:AP$254)/SUM(Items!A$242:A$254)</f>
        <v>15.95</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2070</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2071</v>
      </c>
      <c r="B27" s="151" t="s">
        <v>2072</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100</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250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2073</v>
      </c>
      <c r="B29" s="151" t="s">
        <v>2074</v>
      </c>
      <c r="C29" s="152"/>
      <c r="D29" s="152">
        <f>IF(D$25=0,"",D27/(PRODUCT(D61:D67)))</f>
        <v>111.11111111111111</v>
      </c>
      <c r="E29" s="152">
        <f ca="1">IFERROR(IF(E$25=0,"",E27/(PRODUCT(E61:E67))),"")</f>
        <v>50</v>
      </c>
      <c r="F29" s="152">
        <f t="shared" ref="F29:H29" ca="1" si="9">IFERROR(IF(F$25=0,"",F27/(PRODUCT(F61:F67))),"")</f>
        <v>50</v>
      </c>
      <c r="G29" s="152">
        <f t="shared" ca="1" si="9"/>
        <v>50</v>
      </c>
      <c r="H29" s="152">
        <f t="shared" ca="1" si="9"/>
        <v>50</v>
      </c>
      <c r="I29" s="152">
        <f t="shared" ref="I29:L29" si="10">IF(I$25=0,"",I27/(PRODUCT(I61:I67)))</f>
        <v>308.64197530864197</v>
      </c>
      <c r="J29" s="152">
        <f t="shared" si="10"/>
        <v>100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2075</v>
      </c>
      <c r="B31" s="151" t="s">
        <v>2076</v>
      </c>
      <c r="C31" s="152"/>
      <c r="D31" s="152">
        <f>IF(D$25=0,"",MAX(D33:D35)*(PRODUCT(D61:D67)))</f>
        <v>100.8</v>
      </c>
      <c r="E31" s="152">
        <f t="shared" ref="E31:L31" ca="1" si="11">IF(E$25=0,"",MAX(E33:E35)*(PRODUCT(E61:E67)))</f>
        <v>37</v>
      </c>
      <c r="F31" s="152">
        <f t="shared" ca="1" si="11"/>
        <v>47</v>
      </c>
      <c r="G31" s="152">
        <f t="shared" ca="1" si="11"/>
        <v>65</v>
      </c>
      <c r="H31" s="152">
        <f ca="1">IF(H$25=0,"",MAX(H33:H35)*(PRODUCT(H61:H67)))</f>
        <v>87</v>
      </c>
      <c r="I31" s="152">
        <f t="shared" si="11"/>
        <v>251.91000000000003</v>
      </c>
      <c r="J31" s="152">
        <f t="shared" si="11"/>
        <v>112</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112</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311</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112</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2077</v>
      </c>
      <c r="B34" s="151" t="s">
        <v>2078</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2079</v>
      </c>
      <c r="C37" s="152"/>
      <c r="D37" s="152" t="s">
        <v>2080</v>
      </c>
      <c r="E37" s="152" t="s">
        <v>2080</v>
      </c>
      <c r="F37" s="152" t="s">
        <v>2080</v>
      </c>
      <c r="G37" s="152" t="s">
        <v>2080</v>
      </c>
      <c r="H37" s="152" t="s">
        <v>2080</v>
      </c>
      <c r="I37" s="152" t="s">
        <v>2080</v>
      </c>
      <c r="J37" s="152" t="s">
        <v>2080</v>
      </c>
      <c r="K37" s="152" t="s">
        <v>2080</v>
      </c>
      <c r="L37" s="152" t="s">
        <v>2080</v>
      </c>
      <c r="M37" s="152"/>
      <c r="N37" s="152" t="s">
        <v>2080</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2081</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2082</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25</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20</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20</v>
      </c>
      <c r="G41" s="152">
        <f t="shared" ca="1" si="13"/>
        <v>20</v>
      </c>
      <c r="H41" s="152">
        <f t="shared" ca="1" si="13"/>
        <v>20</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2083</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2084</v>
      </c>
      <c r="C45" s="129"/>
      <c r="D45" s="129">
        <f>IF(COUNT(D78:D79)&gt;=1,D84,IF(COUNT(D80)&gt;=1,D83,""))</f>
        <v>25</v>
      </c>
      <c r="E45" s="129">
        <f ca="1">IF(COUNT(E78:E79)&gt;=1,E84,IF(COUNT(E80)&gt;=1,E83,""))</f>
        <v>4</v>
      </c>
      <c r="F45" s="129">
        <f t="shared" ref="F45:M45" ca="1" si="15">IF(COUNT(F78:F79)&gt;=1,F84,IF(COUNT(F80)&gt;=1,F83,""))</f>
        <v>6</v>
      </c>
      <c r="G45" s="129">
        <f t="shared" ca="1" si="15"/>
        <v>10</v>
      </c>
      <c r="H45" s="129">
        <f ca="1">IF(COUNT(H78:H79)&gt;=1,H84,IF(COUNT(H80)&gt;=1,H83,""))</f>
        <v>16</v>
      </c>
      <c r="I45" s="129">
        <f t="shared" si="15"/>
        <v>95</v>
      </c>
      <c r="J45" s="129">
        <f t="shared" si="15"/>
        <v>25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2085</v>
      </c>
      <c r="B47" s="167" t="s">
        <v>2086</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2087</v>
      </c>
      <c r="B48" s="170" t="s">
        <v>2086</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1" t="s">
        <v>2088</v>
      </c>
      <c r="B51" s="127" t="s">
        <v>2089</v>
      </c>
      <c r="C51" s="128"/>
      <c r="D51" s="172" t="str">
        <f>IF(AND(D57=3,D23&lt;225),"4D2",IF(AND(D57=1,D23&lt;251),"4D2",IF(AND(D57=3,D23&gt;=225),"4D1",IF(AND(D57=1,D23&gt;=251),"4D1",""))))</f>
        <v>4D2</v>
      </c>
      <c r="E51" s="173" t="s">
        <v>2091</v>
      </c>
      <c r="F51" s="173" t="s">
        <v>2091</v>
      </c>
      <c r="G51" s="173" t="s">
        <v>2091</v>
      </c>
      <c r="H51" s="173" t="s">
        <v>2091</v>
      </c>
      <c r="I51" s="173" t="s">
        <v>2091</v>
      </c>
      <c r="J51" s="172" t="str">
        <f>IF(AND(J57=3,J23&lt;225),"4D2",IF(AND(J57=1,J23&lt;251),"4D2",IF(AND(J57=3,J23&gt;=225),"4D1",IF(AND(J57=1,J23&gt;=251),"4D1",""))))</f>
        <v>4D2</v>
      </c>
      <c r="K51" s="173" t="s">
        <v>2091</v>
      </c>
      <c r="L51" s="173" t="s">
        <v>2091</v>
      </c>
      <c r="M51" s="174"/>
      <c r="N51" s="173" t="s">
        <v>2091</v>
      </c>
      <c r="O51" s="129"/>
      <c r="P51" s="123"/>
      <c r="Q51" s="123"/>
      <c r="R51" s="123"/>
      <c r="S51" s="123"/>
      <c r="T51" s="123"/>
      <c r="U51" s="123"/>
      <c r="V51" s="123"/>
      <c r="W51" s="123"/>
      <c r="X51" s="123"/>
      <c r="Y51" s="123"/>
      <c r="Z51" s="123"/>
      <c r="AA51" s="123"/>
      <c r="AB51" s="123"/>
      <c r="AC51" s="123"/>
      <c r="AD51" s="147"/>
      <c r="AQ51" s="112"/>
    </row>
    <row r="52" spans="1:43" ht="15.75" customHeight="1">
      <c r="A52" s="392"/>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2"/>
      <c r="B53" s="151" t="s">
        <v>2092</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2"/>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2"/>
      <c r="B55" s="151" t="s">
        <v>2093</v>
      </c>
      <c r="C55" s="143"/>
      <c r="D55" s="175" t="s">
        <v>2094</v>
      </c>
      <c r="E55" s="175" t="s">
        <v>2147</v>
      </c>
      <c r="F55" s="175" t="s">
        <v>2147</v>
      </c>
      <c r="G55" s="175" t="s">
        <v>2147</v>
      </c>
      <c r="H55" s="175" t="s">
        <v>2147</v>
      </c>
      <c r="I55" s="175" t="s">
        <v>2147</v>
      </c>
      <c r="J55" s="175" t="s">
        <v>2094</v>
      </c>
      <c r="K55" s="175" t="s">
        <v>2147</v>
      </c>
      <c r="L55" s="175" t="s">
        <v>2094</v>
      </c>
      <c r="M55" s="143"/>
      <c r="N55" s="175" t="s">
        <v>2094</v>
      </c>
      <c r="O55" s="143"/>
      <c r="P55" s="125"/>
      <c r="Q55" s="125"/>
      <c r="R55" s="125"/>
      <c r="S55" s="125"/>
      <c r="T55" s="125"/>
      <c r="U55" s="125"/>
      <c r="V55" s="125"/>
      <c r="W55" s="125"/>
      <c r="X55" s="125"/>
      <c r="Y55" s="125"/>
      <c r="Z55" s="125"/>
      <c r="AA55" s="125"/>
      <c r="AB55" s="125"/>
      <c r="AC55" s="125"/>
      <c r="AD55" s="147"/>
      <c r="AQ55" s="112"/>
    </row>
    <row r="56" spans="1:43" ht="16">
      <c r="A56" s="392"/>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2"/>
      <c r="B57" s="151" t="s">
        <v>2095</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2"/>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2"/>
      <c r="B59" s="151" t="s">
        <v>2096</v>
      </c>
      <c r="C59" s="143"/>
      <c r="D59" s="175" t="s">
        <v>2097</v>
      </c>
      <c r="E59" s="175" t="s">
        <v>2097</v>
      </c>
      <c r="F59" s="175" t="s">
        <v>2097</v>
      </c>
      <c r="G59" s="175" t="s">
        <v>2097</v>
      </c>
      <c r="H59" s="175" t="s">
        <v>2097</v>
      </c>
      <c r="I59" s="175" t="s">
        <v>2097</v>
      </c>
      <c r="J59" s="175" t="s">
        <v>2097</v>
      </c>
      <c r="K59" s="175" t="s">
        <v>2097</v>
      </c>
      <c r="L59" s="175" t="s">
        <v>2097</v>
      </c>
      <c r="M59" s="143"/>
      <c r="N59" s="175" t="s">
        <v>2097</v>
      </c>
      <c r="O59" s="143"/>
      <c r="P59" s="125"/>
      <c r="Q59" s="125"/>
      <c r="R59" s="125"/>
      <c r="S59" s="125"/>
      <c r="T59" s="125"/>
      <c r="U59" s="125"/>
      <c r="V59" s="125"/>
      <c r="W59" s="125"/>
      <c r="X59" s="125"/>
      <c r="Y59" s="125"/>
      <c r="Z59" s="125"/>
      <c r="AA59" s="125"/>
      <c r="AB59" s="125"/>
      <c r="AC59" s="125"/>
      <c r="AD59" s="147"/>
      <c r="AQ59" s="112"/>
    </row>
    <row r="60" spans="1:43" s="168" customFormat="1" ht="16">
      <c r="A60" s="393"/>
      <c r="B60" s="170"/>
      <c r="C60" s="159"/>
      <c r="D60" s="137"/>
      <c r="E60" s="137"/>
      <c r="F60" s="137"/>
      <c r="G60" s="137"/>
      <c r="H60" s="137"/>
      <c r="I60" s="137"/>
      <c r="J60" s="137"/>
      <c r="K60" s="137"/>
      <c r="L60" s="137"/>
      <c r="M60" s="159"/>
      <c r="N60" s="137"/>
      <c r="O60" s="159"/>
    </row>
    <row r="61" spans="1:43" s="123" customFormat="1" ht="18.75" customHeight="1">
      <c r="A61" s="391" t="s">
        <v>2098</v>
      </c>
      <c r="B61" s="176" t="s">
        <v>2099</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2"/>
      <c r="B62" s="178" t="s">
        <v>2100</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92"/>
      <c r="B63" s="178" t="s">
        <v>2101</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2"/>
      <c r="B64" s="178" t="s">
        <v>2102</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2"/>
      <c r="B65" s="178" t="s">
        <v>2103</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92"/>
      <c r="B66" s="178" t="s">
        <v>2104</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2"/>
      <c r="B67" s="178" t="s">
        <v>2105</v>
      </c>
      <c r="C67" s="152"/>
      <c r="D67" s="140">
        <v>1</v>
      </c>
      <c r="E67" s="140">
        <v>1</v>
      </c>
      <c r="F67" s="140">
        <v>1</v>
      </c>
      <c r="G67" s="140">
        <v>1</v>
      </c>
      <c r="H67" s="140">
        <v>1</v>
      </c>
      <c r="I67" s="140">
        <v>1</v>
      </c>
      <c r="J67" s="140">
        <v>1</v>
      </c>
      <c r="K67" s="140">
        <v>1</v>
      </c>
      <c r="L67" s="140">
        <v>1</v>
      </c>
      <c r="M67" s="152"/>
      <c r="N67" s="140">
        <v>1</v>
      </c>
      <c r="O67" s="152"/>
    </row>
    <row r="68" spans="1:43" ht="15.75" customHeight="1">
      <c r="A68" s="393"/>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2106</v>
      </c>
      <c r="C69" s="156"/>
      <c r="D69" s="180">
        <f>'Customer Base'!D32</f>
        <v>15</v>
      </c>
      <c r="E69" s="180">
        <f>'Customer Base'!D31</f>
        <v>30</v>
      </c>
      <c r="F69" s="180">
        <f>E69</f>
        <v>30</v>
      </c>
      <c r="G69" s="180">
        <f>E69</f>
        <v>30</v>
      </c>
      <c r="H69" s="180">
        <f>E69</f>
        <v>30</v>
      </c>
      <c r="I69" s="180">
        <v>50</v>
      </c>
      <c r="J69" s="180">
        <v>50</v>
      </c>
      <c r="K69" s="180">
        <f>E69</f>
        <v>30</v>
      </c>
      <c r="L69" s="180">
        <f>E69</f>
        <v>30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2107</v>
      </c>
      <c r="C71" s="158"/>
      <c r="D71" s="182" t="s">
        <v>2108</v>
      </c>
      <c r="E71" s="182" t="s">
        <v>2108</v>
      </c>
      <c r="F71" s="182" t="s">
        <v>2108</v>
      </c>
      <c r="G71" s="182" t="s">
        <v>2108</v>
      </c>
      <c r="H71" s="182" t="s">
        <v>2108</v>
      </c>
      <c r="I71" s="182" t="s">
        <v>2108</v>
      </c>
      <c r="J71" s="182" t="s">
        <v>2108</v>
      </c>
      <c r="K71" s="182" t="s">
        <v>2108</v>
      </c>
      <c r="L71" s="182" t="s">
        <v>2108</v>
      </c>
      <c r="M71" s="158"/>
      <c r="N71" s="182" t="s">
        <v>2108</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1" t="s">
        <v>2077</v>
      </c>
      <c r="B75" s="394" t="s">
        <v>2109</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112</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311</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112</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92"/>
      <c r="B76" s="395"/>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3"/>
      <c r="B77" s="396"/>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2110</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25</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95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2111</v>
      </c>
      <c r="C81" s="129"/>
      <c r="D81" s="129" cm="1">
        <f t="array" ref="D81">IF(D$29="","",IF(OR(D78&lt;&gt;"",D79&lt;&gt;"",D80&lt;&gt;""),IF(D94&gt;20,INDEX(T!$P$6:$P$29,MATCH(TRUE,INDEX(T!$P$6:$P$29&gt;D78,0),)),D78)))</f>
        <v>25</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95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25</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95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25</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95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2112</v>
      </c>
      <c r="C84" s="184"/>
      <c r="D84" s="184" cm="1">
        <f t="array" ref="D84">IF(D29="","",IF(D92&gt;(IF(COUNT(D19:D21)=1,230,IF(COUNT(D19:D21)=3,400))/(D27*IF(D37="B",5,IF(D37="C",10,IF(D37="D",20))))),INDEX(T!$P6:$P29,MATCH(TRUE,INDEX(T!$P6:$P29&gt;D83,0),)),D83))</f>
        <v>25</v>
      </c>
      <c r="E84" s="184">
        <v>4</v>
      </c>
      <c r="F84" s="184">
        <v>6</v>
      </c>
      <c r="G84" s="184">
        <v>10</v>
      </c>
      <c r="H84" s="184">
        <v>16</v>
      </c>
      <c r="I84" s="184" cm="1">
        <f t="array" ref="I84">IF(I29="","",IF(I92&gt;(IF(COUNT(I19:I21)=1,230,IF(COUNT(I19:I21)=3,400))/(I27*IF(I37="B",5,IF(I37="C",10,IF(I37="D",20))))),INDEX(T!$P6:$P29,MATCH(TRUE,INDEX(T!$P6:$P29&gt;I83,0),)),I83))</f>
        <v>95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2113</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50</v>
      </c>
      <c r="J85" s="136">
        <f t="shared" si="19"/>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2114</v>
      </c>
      <c r="C88" s="156"/>
      <c r="D88" s="156">
        <f>IF(D$25=0,"",IF(ISNUMBER(D83),LOOKUP(D83,T!$P$6:$P$29,T!$Q$6:$Q$29),IF(ISNUMBER(D79),LOOKUP(D79,T!$P$6:$P$29,T!$Q$6:$Q$29),IF(ISNUMBER(D80),LOOKUP(D80,T!$P$6:$P$29,T!$Q$6:$Q$29),0))))</f>
        <v>0.72699999999999998</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0.19500000000000001</v>
      </c>
      <c r="J88" s="156">
        <f>IF(J$25=0,"",IF(ISNUMBER(J83),LOOKUP(J83,T!$P$6:$P$29,T!$Q$6:$Q$29),IF(ISNUMBER(J79),LOOKUP(J79,T!$P$6:$P$29,T!$Q$6:$Q$29),IF(ISNUMBER(J80),LOOKUP(J80,T!$P$6:$P$29,T!$Q$6:$Q$29),0))))</f>
        <v>0.72699999999999998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2115</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0.38700000000000001</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2116</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2117</v>
      </c>
      <c r="C91" s="158"/>
      <c r="D91" s="158">
        <f t="shared" ref="D91:J91" si="21">IF(D25&lt;&gt;0,(D88+D89)*D69,0)</f>
        <v>28.154999999999998</v>
      </c>
      <c r="E91" s="158">
        <f t="shared" ca="1" si="21"/>
        <v>109.80000000000001</v>
      </c>
      <c r="F91" s="158">
        <f t="shared" ca="1" si="21"/>
        <v>109.80000000000001</v>
      </c>
      <c r="G91" s="158">
        <f t="shared" ca="1" si="21"/>
        <v>109.80000000000001</v>
      </c>
      <c r="H91" s="158">
        <f ca="1">IF(H25&lt;&gt;0,(H88+H89)*H69,0)</f>
        <v>109.80000000000001</v>
      </c>
      <c r="I91" s="158">
        <f t="shared" si="21"/>
        <v>29.100000000000005</v>
      </c>
      <c r="J91" s="158">
        <f t="shared" si="21"/>
        <v>93.85</v>
      </c>
      <c r="K91" s="158">
        <f>IF(K25&lt;&gt;0,(K88+K89)*K69,0)</f>
        <v>726</v>
      </c>
      <c r="L91" s="158">
        <f>IF(L25&lt;&gt;0,(L88+L89)*L69,0)</f>
        <v>726</v>
      </c>
      <c r="M91" s="158">
        <f>IF(M25&lt;&gt;0,(M88+M89)*M69,0)</f>
        <v>0</v>
      </c>
      <c r="N91" s="158">
        <f>IF(N25&lt;&gt;0,(N88+N89)*N69,0)</f>
        <v>21.05</v>
      </c>
      <c r="O91" s="143" t="str">
        <f>IF(N91&gt;0,"Ω","")</f>
        <v>Ω</v>
      </c>
    </row>
    <row r="92" spans="1:15" s="168" customFormat="1" ht="19">
      <c r="A92" s="136"/>
      <c r="B92" s="170" t="s">
        <v>2118</v>
      </c>
      <c r="C92" s="159"/>
      <c r="D92" s="159">
        <f t="shared" ref="D92:J92" si="22">IF(D25&lt;&gt;0,((D90+D91)*1.2)/1000,0)</f>
        <v>3.4205999999999993E-2</v>
      </c>
      <c r="E92" s="159">
        <f t="shared" ca="1" si="22"/>
        <v>0.13218000000000002</v>
      </c>
      <c r="F92" s="159">
        <f t="shared" ca="1" si="22"/>
        <v>0.13218000000000002</v>
      </c>
      <c r="G92" s="159">
        <f t="shared" ca="1" si="22"/>
        <v>0.13218000000000002</v>
      </c>
      <c r="H92" s="159">
        <f ca="1">IF(H25&lt;&gt;0,((H90+H91)*1.2)/1000,0)</f>
        <v>0.13218000000000002</v>
      </c>
      <c r="I92" s="159">
        <f t="shared" si="22"/>
        <v>3.5340000000000003E-2</v>
      </c>
      <c r="J92" s="159">
        <f t="shared" si="22"/>
        <v>0.11303999999999997</v>
      </c>
      <c r="K92" s="159">
        <f>IF(K25&lt;&gt;0,((K90+K91)*1.2)/1000,0)</f>
        <v>0.87161999999999995</v>
      </c>
      <c r="L92" s="159">
        <f>IF(L25&lt;&gt;0,((L90+L91)*1.2)/1000,0)</f>
        <v>0.87161999999999995</v>
      </c>
      <c r="M92" s="159">
        <f>IF(M25&lt;&gt;0,((M90+M91)*1.2)/1000,0)</f>
        <v>0</v>
      </c>
      <c r="N92" s="159">
        <f>IF(N25&lt;&gt;0,((N90+N91)*1.2)/1000,0)</f>
        <v>2.5680000000000005E-2</v>
      </c>
      <c r="O92" s="135" t="str">
        <f>IF(N92&gt;0,"Ω","")</f>
        <v>Ω</v>
      </c>
    </row>
    <row r="93" spans="1:15" s="168" customFormat="1" ht="16">
      <c r="A93" s="123"/>
      <c r="B93" s="171"/>
    </row>
    <row r="94" spans="1:15" s="168" customFormat="1" ht="17">
      <c r="A94" s="187" t="s">
        <v>2119</v>
      </c>
      <c r="B94" s="394" t="s">
        <v>2484</v>
      </c>
      <c r="C94" s="391" t="s">
        <v>2120</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2.05078125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6.3162000000000003</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6.3162000000000003</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6.3162000000000003</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6.3162000000000003</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6.8359375</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13.876499999999998</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13.876499999999998</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5"/>
      <c r="C95" s="392"/>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2.05078125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6.3162000000000003</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6.3162000000000003</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6.3162000000000003</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6.3162000000000003</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6.8359375</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13.876499999999998</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13.876499999999998</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5"/>
      <c r="C96" s="392"/>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2.05078125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6.3162000000000003</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6.3162000000000003</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6.3162000000000003</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6.3162000000000003</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6.8359375</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13.876499999999998</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13.876499999999998</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5"/>
      <c r="C97" s="392"/>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2.05078125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6.3162000000000003</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6.3162000000000003</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6.3162000000000003</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6.3162000000000003</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6.8359375</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13.876499999999998</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13.876499999999998</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2121</v>
      </c>
      <c r="B98" s="395"/>
      <c r="C98" s="392"/>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5"/>
      <c r="C99" s="392"/>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5"/>
      <c r="C100" s="392"/>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5"/>
      <c r="C101" s="393"/>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2119</v>
      </c>
      <c r="B102" s="395"/>
      <c r="C102" s="391" t="s">
        <v>2122</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2.05078125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15.790499999999996</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10.479149999999997</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6.3162000000000003</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4.0193999999999992</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6.8359375</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5.2634999999999996</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3.4930499999999998</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2121</v>
      </c>
      <c r="B103" s="396"/>
      <c r="C103" s="393"/>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2486</v>
      </c>
      <c r="B104" s="192"/>
      <c r="C104" s="193"/>
      <c r="D104" s="193"/>
      <c r="E104" s="194">
        <f ca="1">IFERROR((IF(E84&gt;=E83,E102,99999)/((SUMPRODUCT(Items!$A$242:$A$254,Items!$AQ$242:$AQ$254)/SUM(Items!$A$242:$A$254))*Items!$N$1)),"")</f>
        <v>419.28301886792451</v>
      </c>
      <c r="F104" s="194">
        <f ca="1">IFERROR((IF(F84&gt;=F83,F102,99999)/((SUMPRODUCT(Items!$A$242:$A$254,Items!$AQ$242:$AQ$254)/SUM(Items!$A$242:$A$254))*Items!$N$1)),"")</f>
        <v>419.28301886792451</v>
      </c>
      <c r="G104" s="194">
        <f ca="1">IFERROR((IF(G84&gt;=G83,G102,99999)/((SUMPRODUCT(Items!$A$242:$A$254,Items!$AQ$242:$AQ$254)/SUM(Items!$A$242:$A$254))*Items!$N$1)),"")</f>
        <v>2.6483018867924528E-2</v>
      </c>
      <c r="H104" s="194">
        <f ca="1">IFERROR((IF(H84&gt;=H83,H102,99999)/((SUMPRODUCT(Items!$A$242:$A$254,Items!$AQ$242:$AQ$254)/SUM(Items!$A$242:$A$254))*Items!$N$1)),"")</f>
        <v>1.6852830188679242E-2</v>
      </c>
      <c r="I104" s="193"/>
      <c r="J104" s="193"/>
      <c r="K104" s="194">
        <f ca="1">IFERROR((IF(K84&gt;=K83,K102,99999)/((SUMPRODUCT(Items!$A$242:$A$254,Items!$AQ$242:$AQ$254)/SUM(Items!$A$242:$A$254))*Items!$N$1)),"")</f>
        <v>2.2069182389937107E-2</v>
      </c>
      <c r="L104" s="194">
        <f ca="1">IFERROR((IF(L84&gt;=L83,L102,99999)/((SUMPRODUCT(Items!$A$242:$A$254,Items!$AQ$242:$AQ$254)/SUM(Items!$A$242:$A$254))*Items!$N$1)),"")</f>
        <v>1.4645911949685534E-2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8" t="s">
        <v>2091</v>
      </c>
      <c r="B106" s="195" t="s">
        <v>2123</v>
      </c>
      <c r="C106" s="184">
        <v>2</v>
      </c>
      <c r="D106" s="184">
        <v>3</v>
      </c>
      <c r="E106" s="184">
        <v>4</v>
      </c>
      <c r="F106" s="184">
        <v>5</v>
      </c>
      <c r="G106" s="184">
        <v>6</v>
      </c>
      <c r="H106" s="184"/>
      <c r="I106" s="184">
        <v>7</v>
      </c>
      <c r="J106" s="184">
        <v>9</v>
      </c>
      <c r="K106" s="184"/>
      <c r="L106" s="184">
        <v>12</v>
      </c>
      <c r="M106" s="123"/>
      <c r="N106" s="196" t="s">
        <v>2124</v>
      </c>
      <c r="O106" s="196" t="s">
        <v>2125</v>
      </c>
      <c r="P106" s="196" t="s">
        <v>2080</v>
      </c>
      <c r="Q106" s="196" t="s">
        <v>2126</v>
      </c>
      <c r="R106" s="196" t="s">
        <v>2127</v>
      </c>
      <c r="S106" s="196" t="s">
        <v>2128</v>
      </c>
      <c r="T106" s="196" t="s">
        <v>2129</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9"/>
      <c r="B107" s="151" t="s">
        <v>2130</v>
      </c>
      <c r="C107" s="152" t="s">
        <v>2124</v>
      </c>
      <c r="D107" s="152" t="s">
        <v>2124</v>
      </c>
      <c r="E107" s="152" t="s">
        <v>2125</v>
      </c>
      <c r="F107" s="152" t="s">
        <v>2125</v>
      </c>
      <c r="G107" s="152" t="s">
        <v>2080</v>
      </c>
      <c r="H107" s="152"/>
      <c r="I107" s="152" t="s">
        <v>2080</v>
      </c>
      <c r="J107" s="152" t="s">
        <v>2128</v>
      </c>
      <c r="K107" s="152"/>
      <c r="L107" s="152" t="s">
        <v>2128</v>
      </c>
      <c r="M107" s="123"/>
      <c r="N107" s="197"/>
      <c r="O107" s="198"/>
      <c r="P107" s="198"/>
      <c r="Q107" s="198"/>
      <c r="R107" s="199" t="s">
        <v>2131</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9"/>
      <c r="B108" s="151" t="s">
        <v>2132</v>
      </c>
      <c r="C108" s="152">
        <v>2</v>
      </c>
      <c r="D108" s="152" t="s">
        <v>2133</v>
      </c>
      <c r="E108" s="152">
        <v>2</v>
      </c>
      <c r="F108" s="152" t="s">
        <v>2133</v>
      </c>
      <c r="G108" s="152">
        <v>2</v>
      </c>
      <c r="H108" s="152"/>
      <c r="I108" s="152" t="s">
        <v>2133</v>
      </c>
      <c r="J108" s="152">
        <v>3</v>
      </c>
      <c r="K108" s="152"/>
      <c r="L108" s="152" t="s">
        <v>2134</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9"/>
      <c r="B109" s="151" t="s">
        <v>2135</v>
      </c>
      <c r="C109" s="152"/>
      <c r="D109" s="152"/>
      <c r="E109" s="152"/>
      <c r="F109" s="152"/>
      <c r="G109" s="152" t="s">
        <v>2136</v>
      </c>
      <c r="H109" s="152"/>
      <c r="I109" s="152" t="s">
        <v>2136</v>
      </c>
      <c r="J109" s="152" t="s">
        <v>2136</v>
      </c>
      <c r="K109" s="152"/>
      <c r="L109" s="152" t="s">
        <v>2137</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9"/>
      <c r="B110" s="151" t="s">
        <v>2138</v>
      </c>
      <c r="C110" s="152"/>
      <c r="D110" s="152"/>
      <c r="E110" s="152"/>
      <c r="F110" s="152"/>
      <c r="G110" s="152" t="s">
        <v>2139</v>
      </c>
      <c r="H110" s="152"/>
      <c r="I110" s="152"/>
      <c r="J110" s="152" t="s">
        <v>2139</v>
      </c>
      <c r="K110" s="152"/>
      <c r="L110" s="152" t="s">
        <v>2139</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9"/>
      <c r="B111" s="151" t="s">
        <v>2140</v>
      </c>
      <c r="C111" s="152"/>
      <c r="D111" s="152"/>
      <c r="E111" s="152"/>
      <c r="F111" s="152"/>
      <c r="G111" s="152"/>
      <c r="H111" s="152"/>
      <c r="I111" s="152"/>
      <c r="J111" s="152"/>
      <c r="K111" s="152"/>
      <c r="L111" s="152" t="s">
        <v>2141</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0"/>
      <c r="B112" s="134" t="s">
        <v>2093</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8" t="s">
        <v>2090</v>
      </c>
      <c r="B114" s="195" t="s">
        <v>2142</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9"/>
      <c r="B115" s="151" t="s">
        <v>2130</v>
      </c>
      <c r="C115" s="152" t="s">
        <v>2124</v>
      </c>
      <c r="D115" s="152" t="s">
        <v>2124</v>
      </c>
      <c r="E115" s="152" t="s">
        <v>2125</v>
      </c>
      <c r="F115" s="152" t="s">
        <v>2125</v>
      </c>
      <c r="G115" s="152" t="s">
        <v>2080</v>
      </c>
      <c r="H115" s="152"/>
      <c r="I115" s="152" t="s">
        <v>2080</v>
      </c>
      <c r="J115" s="152" t="s">
        <v>2127</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9"/>
      <c r="B116" s="151" t="s">
        <v>2132</v>
      </c>
      <c r="C116" s="152">
        <v>2</v>
      </c>
      <c r="D116" s="152" t="s">
        <v>2133</v>
      </c>
      <c r="E116" s="152">
        <v>2</v>
      </c>
      <c r="F116" s="152" t="s">
        <v>2133</v>
      </c>
      <c r="G116" s="152">
        <v>2</v>
      </c>
      <c r="H116" s="152"/>
      <c r="I116" s="152" t="s">
        <v>2133</v>
      </c>
      <c r="J116" s="152" t="s">
        <v>2133</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9"/>
      <c r="B117" s="151" t="s">
        <v>2135</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9"/>
      <c r="B118" s="151" t="s">
        <v>2138</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9"/>
      <c r="B119" s="151" t="s">
        <v>2140</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0"/>
      <c r="B120" s="134" t="s">
        <v>2093</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8" t="s">
        <v>2143</v>
      </c>
      <c r="B122" s="195" t="s">
        <v>2144</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9"/>
      <c r="B123" s="151" t="s">
        <v>2130</v>
      </c>
      <c r="C123" s="152" t="s">
        <v>2080</v>
      </c>
      <c r="D123" s="152" t="s">
        <v>2080</v>
      </c>
      <c r="E123" s="152" t="s">
        <v>2128</v>
      </c>
      <c r="F123" s="152" t="s">
        <v>2128</v>
      </c>
      <c r="G123" s="152" t="s">
        <v>2128</v>
      </c>
      <c r="H123" s="152"/>
      <c r="I123" s="152" t="s">
        <v>2128</v>
      </c>
      <c r="J123" s="152" t="s">
        <v>2128</v>
      </c>
      <c r="K123" s="152"/>
      <c r="L123" s="152" t="s">
        <v>2128</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9"/>
      <c r="B124" s="151" t="s">
        <v>2132</v>
      </c>
      <c r="C124" s="152">
        <v>2</v>
      </c>
      <c r="D124" s="152" t="s">
        <v>2133</v>
      </c>
      <c r="E124" s="152">
        <v>2</v>
      </c>
      <c r="F124" s="152" t="s">
        <v>2133</v>
      </c>
      <c r="G124" s="152" t="s">
        <v>2133</v>
      </c>
      <c r="H124" s="152"/>
      <c r="I124" s="152">
        <v>2</v>
      </c>
      <c r="J124" s="152">
        <v>2</v>
      </c>
      <c r="K124" s="152"/>
      <c r="L124" s="152" t="s">
        <v>2133</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9"/>
      <c r="B125" s="151" t="s">
        <v>2135</v>
      </c>
      <c r="C125" s="152" t="s">
        <v>2136</v>
      </c>
      <c r="D125" s="152" t="s">
        <v>2136</v>
      </c>
      <c r="E125" s="152" t="s">
        <v>2136</v>
      </c>
      <c r="F125" s="152" t="s">
        <v>2136</v>
      </c>
      <c r="G125" s="152" t="s">
        <v>2136</v>
      </c>
      <c r="H125" s="152"/>
      <c r="I125" s="152" t="s">
        <v>2137</v>
      </c>
      <c r="J125" s="152" t="s">
        <v>2137</v>
      </c>
      <c r="K125" s="152"/>
      <c r="L125" s="152" t="s">
        <v>2137</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9"/>
      <c r="B126" s="151" t="s">
        <v>2138</v>
      </c>
      <c r="C126" s="152" t="s">
        <v>2139</v>
      </c>
      <c r="D126" s="152" t="s">
        <v>2139</v>
      </c>
      <c r="E126" s="152" t="s">
        <v>2139</v>
      </c>
      <c r="F126" s="152" t="s">
        <v>2139</v>
      </c>
      <c r="G126" s="152" t="s">
        <v>2145</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9"/>
      <c r="B127" s="151" t="s">
        <v>2140</v>
      </c>
      <c r="C127" s="152"/>
      <c r="D127" s="152"/>
      <c r="E127" s="152"/>
      <c r="F127" s="152"/>
      <c r="G127" s="152"/>
      <c r="H127" s="152"/>
      <c r="I127" s="152" t="s">
        <v>2146</v>
      </c>
      <c r="J127" s="152" t="s">
        <v>2146</v>
      </c>
      <c r="K127" s="152"/>
      <c r="L127" s="152" t="s">
        <v>2141</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0"/>
      <c r="B128" s="134" t="s">
        <v>2093</v>
      </c>
      <c r="C128" s="136"/>
      <c r="D128" s="136"/>
      <c r="E128" s="136"/>
      <c r="F128" s="136"/>
      <c r="G128" s="136"/>
      <c r="H128" s="136"/>
      <c r="I128" s="136" t="s">
        <v>2147</v>
      </c>
      <c r="J128" s="136" t="s">
        <v>2094</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8" t="s">
        <v>2148</v>
      </c>
      <c r="B130" s="195" t="s">
        <v>2149</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9"/>
      <c r="B131" s="151" t="s">
        <v>2130</v>
      </c>
      <c r="C131" s="152" t="s">
        <v>2080</v>
      </c>
      <c r="D131" s="152" t="s">
        <v>2080</v>
      </c>
      <c r="E131" s="152" t="s">
        <v>2127</v>
      </c>
      <c r="F131" s="152" t="s">
        <v>2127</v>
      </c>
      <c r="G131" s="152" t="s">
        <v>2126</v>
      </c>
      <c r="H131" s="152"/>
      <c r="I131" s="152" t="s">
        <v>2126</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9"/>
      <c r="B132" s="151" t="s">
        <v>2132</v>
      </c>
      <c r="C132" s="152">
        <v>2</v>
      </c>
      <c r="D132" s="152" t="s">
        <v>2133</v>
      </c>
      <c r="E132" s="152">
        <v>2</v>
      </c>
      <c r="F132" s="152" t="s">
        <v>2133</v>
      </c>
      <c r="G132" s="152">
        <v>2</v>
      </c>
      <c r="H132" s="152"/>
      <c r="I132" s="152" t="s">
        <v>2133</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9"/>
      <c r="B133" s="151" t="s">
        <v>2135</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9"/>
      <c r="B134" s="151" t="s">
        <v>2138</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9"/>
      <c r="B135" s="151" t="s">
        <v>2140</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0"/>
      <c r="B136" s="134" t="s">
        <v>2093</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8" t="s">
        <v>2150</v>
      </c>
      <c r="B138" s="195" t="s">
        <v>2151</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9"/>
      <c r="B139" s="151" t="s">
        <v>2130</v>
      </c>
      <c r="C139" s="152">
        <v>100</v>
      </c>
      <c r="D139" s="152">
        <v>101</v>
      </c>
      <c r="E139" s="152">
        <v>102</v>
      </c>
      <c r="F139" s="152">
        <v>103</v>
      </c>
      <c r="G139" s="152" t="s">
        <v>2080</v>
      </c>
      <c r="H139" s="152"/>
      <c r="I139" s="152" t="s">
        <v>2124</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9"/>
      <c r="B140" s="151" t="s">
        <v>2132</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9"/>
      <c r="B141" s="151" t="s">
        <v>2135</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9"/>
      <c r="B142" s="151" t="s">
        <v>2138</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9"/>
      <c r="B143" s="151" t="s">
        <v>2140</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0"/>
      <c r="B144" s="134" t="s">
        <v>2093</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5" t="s">
        <v>2152</v>
      </c>
      <c r="B146" s="195" t="s">
        <v>2153</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6"/>
      <c r="B147" s="151" t="s">
        <v>2130</v>
      </c>
      <c r="C147" s="152" t="s">
        <v>2124</v>
      </c>
      <c r="D147" s="152" t="s">
        <v>2124</v>
      </c>
      <c r="E147" s="152" t="s">
        <v>2125</v>
      </c>
      <c r="F147" s="152" t="s">
        <v>2125</v>
      </c>
      <c r="G147" s="152" t="s">
        <v>2080</v>
      </c>
      <c r="H147" s="152"/>
      <c r="I147" s="152" t="s">
        <v>2080</v>
      </c>
      <c r="J147" s="152" t="s">
        <v>2128</v>
      </c>
      <c r="K147" s="152"/>
      <c r="L147" s="152" t="s">
        <v>2128</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6"/>
      <c r="B148" s="151" t="s">
        <v>2132</v>
      </c>
      <c r="C148" s="152">
        <v>2</v>
      </c>
      <c r="D148" s="152" t="s">
        <v>2133</v>
      </c>
      <c r="E148" s="152">
        <v>2</v>
      </c>
      <c r="F148" s="152" t="s">
        <v>2133</v>
      </c>
      <c r="G148" s="152">
        <v>2</v>
      </c>
      <c r="H148" s="152"/>
      <c r="I148" s="152" t="s">
        <v>2133</v>
      </c>
      <c r="J148" s="152">
        <v>3</v>
      </c>
      <c r="K148" s="152"/>
      <c r="L148" s="152" t="s">
        <v>2134</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6"/>
      <c r="B149" s="151" t="s">
        <v>2135</v>
      </c>
      <c r="C149" s="152"/>
      <c r="D149" s="152"/>
      <c r="E149" s="152"/>
      <c r="F149" s="152"/>
      <c r="G149" s="152" t="s">
        <v>2136</v>
      </c>
      <c r="H149" s="152"/>
      <c r="I149" s="152" t="s">
        <v>2136</v>
      </c>
      <c r="J149" s="152" t="s">
        <v>2136</v>
      </c>
      <c r="K149" s="152"/>
      <c r="L149" s="152" t="s">
        <v>2137</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6"/>
      <c r="B150" s="151" t="s">
        <v>2138</v>
      </c>
      <c r="C150" s="152"/>
      <c r="D150" s="152"/>
      <c r="E150" s="152"/>
      <c r="F150" s="152"/>
      <c r="G150" s="152" t="s">
        <v>2139</v>
      </c>
      <c r="H150" s="152"/>
      <c r="I150" s="152"/>
      <c r="J150" s="152" t="s">
        <v>2139</v>
      </c>
      <c r="K150" s="152"/>
      <c r="L150" s="152" t="s">
        <v>2139</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6"/>
      <c r="B151" s="151" t="s">
        <v>2140</v>
      </c>
      <c r="C151" s="152"/>
      <c r="D151" s="152"/>
      <c r="E151" s="152"/>
      <c r="F151" s="152"/>
      <c r="G151" s="152"/>
      <c r="H151" s="152"/>
      <c r="I151" s="152"/>
      <c r="J151" s="152"/>
      <c r="K151" s="152"/>
      <c r="L151" s="152" t="s">
        <v>2141</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7"/>
      <c r="B152" s="134" t="s">
        <v>2093</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5" t="s">
        <v>2154</v>
      </c>
      <c r="B154" s="195" t="s">
        <v>2155</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6"/>
      <c r="B155" s="151" t="s">
        <v>2130</v>
      </c>
      <c r="C155" s="152" t="s">
        <v>2124</v>
      </c>
      <c r="D155" s="152" t="s">
        <v>2124</v>
      </c>
      <c r="E155" s="152" t="s">
        <v>2125</v>
      </c>
      <c r="F155" s="152" t="s">
        <v>2125</v>
      </c>
      <c r="G155" s="152" t="s">
        <v>2080</v>
      </c>
      <c r="H155" s="152"/>
      <c r="I155" s="152" t="s">
        <v>2080</v>
      </c>
      <c r="J155" s="152" t="s">
        <v>2127</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6"/>
      <c r="B156" s="151" t="s">
        <v>2132</v>
      </c>
      <c r="C156" s="152">
        <v>2</v>
      </c>
      <c r="D156" s="152" t="s">
        <v>2133</v>
      </c>
      <c r="E156" s="152">
        <v>2</v>
      </c>
      <c r="F156" s="152" t="s">
        <v>2133</v>
      </c>
      <c r="G156" s="152">
        <v>2</v>
      </c>
      <c r="H156" s="152"/>
      <c r="I156" s="152" t="s">
        <v>2133</v>
      </c>
      <c r="J156" s="152" t="s">
        <v>2133</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6"/>
      <c r="B157" s="151" t="s">
        <v>2135</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6"/>
      <c r="B158" s="151" t="s">
        <v>2138</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6"/>
      <c r="B159" s="151" t="s">
        <v>2140</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7"/>
      <c r="B160" s="134" t="s">
        <v>2093</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5" t="s">
        <v>2156</v>
      </c>
      <c r="B162" s="195" t="s">
        <v>2157</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6"/>
      <c r="B163" s="151" t="s">
        <v>2130</v>
      </c>
      <c r="C163" s="152" t="s">
        <v>2080</v>
      </c>
      <c r="D163" s="152" t="s">
        <v>2080</v>
      </c>
      <c r="E163" s="152" t="s">
        <v>2128</v>
      </c>
      <c r="F163" s="152" t="s">
        <v>2128</v>
      </c>
      <c r="G163" s="152" t="s">
        <v>2128</v>
      </c>
      <c r="H163" s="152"/>
      <c r="I163" s="152" t="s">
        <v>2128</v>
      </c>
      <c r="J163" s="152" t="s">
        <v>2128</v>
      </c>
      <c r="K163" s="152"/>
      <c r="L163" s="152" t="s">
        <v>2128</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6"/>
      <c r="B164" s="151" t="s">
        <v>2132</v>
      </c>
      <c r="C164" s="152">
        <v>2</v>
      </c>
      <c r="D164" s="152" t="s">
        <v>2133</v>
      </c>
      <c r="E164" s="152">
        <v>2</v>
      </c>
      <c r="F164" s="152" t="s">
        <v>2133</v>
      </c>
      <c r="G164" s="152" t="s">
        <v>2133</v>
      </c>
      <c r="H164" s="152"/>
      <c r="I164" s="152">
        <v>2</v>
      </c>
      <c r="J164" s="152">
        <v>2</v>
      </c>
      <c r="K164" s="152"/>
      <c r="L164" s="152" t="s">
        <v>2133</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6"/>
      <c r="B165" s="151" t="s">
        <v>2135</v>
      </c>
      <c r="C165" s="152" t="s">
        <v>2136</v>
      </c>
      <c r="D165" s="152" t="s">
        <v>2136</v>
      </c>
      <c r="E165" s="152" t="s">
        <v>2136</v>
      </c>
      <c r="F165" s="152" t="s">
        <v>2136</v>
      </c>
      <c r="G165" s="152" t="s">
        <v>2136</v>
      </c>
      <c r="H165" s="152"/>
      <c r="I165" s="152" t="s">
        <v>2137</v>
      </c>
      <c r="J165" s="152" t="s">
        <v>2137</v>
      </c>
      <c r="K165" s="152"/>
      <c r="L165" s="152" t="s">
        <v>2137</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6"/>
      <c r="B166" s="151" t="s">
        <v>2138</v>
      </c>
      <c r="C166" s="152" t="s">
        <v>2139</v>
      </c>
      <c r="D166" s="152" t="s">
        <v>2139</v>
      </c>
      <c r="E166" s="152" t="s">
        <v>2139</v>
      </c>
      <c r="F166" s="152" t="s">
        <v>2139</v>
      </c>
      <c r="G166" s="152" t="s">
        <v>2145</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6"/>
      <c r="B167" s="151" t="s">
        <v>2140</v>
      </c>
      <c r="C167" s="152"/>
      <c r="D167" s="152"/>
      <c r="E167" s="152"/>
      <c r="F167" s="152"/>
      <c r="G167" s="152"/>
      <c r="H167" s="152"/>
      <c r="I167" s="152" t="s">
        <v>2146</v>
      </c>
      <c r="J167" s="152" t="s">
        <v>2146</v>
      </c>
      <c r="K167" s="152"/>
      <c r="L167" s="152" t="s">
        <v>2141</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7"/>
      <c r="B168" s="134" t="s">
        <v>2093</v>
      </c>
      <c r="C168" s="136"/>
      <c r="D168" s="136"/>
      <c r="E168" s="136"/>
      <c r="F168" s="136"/>
      <c r="G168" s="136"/>
      <c r="H168" s="136"/>
      <c r="I168" s="136" t="s">
        <v>2147</v>
      </c>
      <c r="J168" s="136" t="s">
        <v>2094</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5" t="s">
        <v>2158</v>
      </c>
      <c r="B170" s="195" t="s">
        <v>2159</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6"/>
      <c r="B171" s="151" t="s">
        <v>2130</v>
      </c>
      <c r="C171" s="152" t="s">
        <v>2080</v>
      </c>
      <c r="D171" s="152" t="s">
        <v>2080</v>
      </c>
      <c r="E171" s="152" t="s">
        <v>2127</v>
      </c>
      <c r="F171" s="152" t="s">
        <v>2127</v>
      </c>
      <c r="G171" s="152" t="s">
        <v>2126</v>
      </c>
      <c r="H171" s="152"/>
      <c r="I171" s="152" t="s">
        <v>2126</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6"/>
      <c r="B172" s="151" t="s">
        <v>2132</v>
      </c>
      <c r="C172" s="152">
        <v>2</v>
      </c>
      <c r="D172" s="152" t="s">
        <v>2133</v>
      </c>
      <c r="E172" s="152">
        <v>2</v>
      </c>
      <c r="F172" s="152" t="s">
        <v>2133</v>
      </c>
      <c r="G172" s="152">
        <v>2</v>
      </c>
      <c r="H172" s="152"/>
      <c r="I172" s="152" t="s">
        <v>2133</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6"/>
      <c r="B173" s="151" t="s">
        <v>2135</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6"/>
      <c r="B174" s="151" t="s">
        <v>2138</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6"/>
      <c r="B175" s="151" t="s">
        <v>2140</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7"/>
      <c r="B176" s="134" t="s">
        <v>2093</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5" t="s">
        <v>2160</v>
      </c>
      <c r="B178" s="195" t="s">
        <v>2161</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6"/>
      <c r="B179" s="151" t="s">
        <v>2130</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6"/>
      <c r="B180" s="151" t="s">
        <v>2132</v>
      </c>
      <c r="C180" s="152">
        <v>2</v>
      </c>
      <c r="D180" s="152" t="s">
        <v>2162</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6"/>
      <c r="B181" s="151" t="s">
        <v>2135</v>
      </c>
      <c r="C181" s="152"/>
      <c r="D181" s="152"/>
      <c r="E181" s="152" t="s">
        <v>2136</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6"/>
      <c r="B182" s="151" t="s">
        <v>2138</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6"/>
      <c r="B183" s="151" t="s">
        <v>2140</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6"/>
      <c r="B184" s="151" t="s">
        <v>2093</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7"/>
      <c r="B185" s="134" t="s">
        <v>2163</v>
      </c>
      <c r="C185" s="136" t="s">
        <v>2164</v>
      </c>
      <c r="D185" s="136" t="s">
        <v>2164</v>
      </c>
      <c r="E185" s="136" t="s">
        <v>2165</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5" t="s">
        <v>2166</v>
      </c>
      <c r="B187" s="195" t="s">
        <v>2167</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6"/>
      <c r="B188" s="151" t="s">
        <v>2130</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6"/>
      <c r="B189" s="151" t="s">
        <v>2132</v>
      </c>
      <c r="C189" s="152">
        <v>2</v>
      </c>
      <c r="D189" s="152" t="s">
        <v>2162</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6"/>
      <c r="B190" s="151" t="s">
        <v>2135</v>
      </c>
      <c r="C190" s="152"/>
      <c r="D190" s="152"/>
      <c r="E190" s="152" t="s">
        <v>2136</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6"/>
      <c r="B191" s="151" t="s">
        <v>2138</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6"/>
      <c r="B192" s="151" t="s">
        <v>2140</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6"/>
      <c r="B193" s="151" t="s">
        <v>2093</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7"/>
      <c r="B194" s="134" t="s">
        <v>2163</v>
      </c>
      <c r="C194" s="136" t="s">
        <v>2164</v>
      </c>
      <c r="D194" s="136" t="s">
        <v>2164</v>
      </c>
      <c r="E194" s="136" t="s">
        <v>2165</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5" t="s">
        <v>2168</v>
      </c>
      <c r="B196" s="195" t="s">
        <v>2169</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6"/>
      <c r="B197" s="151" t="s">
        <v>2130</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6"/>
      <c r="B198" s="151" t="s">
        <v>2132</v>
      </c>
      <c r="C198" s="152" t="s">
        <v>2170</v>
      </c>
      <c r="D198" s="152" t="s">
        <v>1969</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6"/>
      <c r="B199" s="151" t="s">
        <v>2135</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6"/>
      <c r="B200" s="151" t="s">
        <v>2138</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6"/>
      <c r="B201" s="151" t="s">
        <v>2140</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6"/>
      <c r="B202" s="151" t="s">
        <v>2093</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7"/>
      <c r="B203" s="134" t="s">
        <v>2163</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5" t="s">
        <v>2171</v>
      </c>
      <c r="B205" s="195" t="s">
        <v>2172</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6"/>
      <c r="B206" s="151" t="s">
        <v>2130</v>
      </c>
      <c r="C206" s="152" t="s">
        <v>2080</v>
      </c>
      <c r="D206" s="152" t="s">
        <v>2080</v>
      </c>
      <c r="E206" s="152" t="s">
        <v>2080</v>
      </c>
      <c r="F206" s="152" t="s">
        <v>2080</v>
      </c>
      <c r="G206" s="152" t="s">
        <v>2080</v>
      </c>
      <c r="H206" s="152"/>
      <c r="I206" s="152" t="s">
        <v>2173</v>
      </c>
      <c r="J206" s="152" t="s">
        <v>2173</v>
      </c>
      <c r="K206" s="152"/>
      <c r="L206" s="152" t="s">
        <v>2173</v>
      </c>
      <c r="M206" s="152" t="s">
        <v>2173</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6"/>
      <c r="B207" s="151" t="s">
        <v>2132</v>
      </c>
      <c r="C207" s="152">
        <v>2</v>
      </c>
      <c r="D207" s="152">
        <v>2</v>
      </c>
      <c r="E207" s="152">
        <v>3</v>
      </c>
      <c r="F207" s="152" t="s">
        <v>2133</v>
      </c>
      <c r="G207" s="152">
        <v>3</v>
      </c>
      <c r="H207" s="152"/>
      <c r="I207" s="152">
        <v>2</v>
      </c>
      <c r="J207" s="152">
        <v>3</v>
      </c>
      <c r="K207" s="152"/>
      <c r="L207" s="152">
        <v>2</v>
      </c>
      <c r="M207" s="152" t="s">
        <v>2133</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6"/>
      <c r="B208" s="151" t="s">
        <v>2135</v>
      </c>
      <c r="C208" s="152" t="s">
        <v>2136</v>
      </c>
      <c r="D208" s="152"/>
      <c r="E208" s="152"/>
      <c r="F208" s="152"/>
      <c r="G208" s="152" t="s">
        <v>2136</v>
      </c>
      <c r="H208" s="152"/>
      <c r="I208" s="152" t="s">
        <v>2136</v>
      </c>
      <c r="J208" s="152"/>
      <c r="K208" s="152"/>
      <c r="L208" s="152" t="s">
        <v>2137</v>
      </c>
      <c r="M208" s="152" t="s">
        <v>2137</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6"/>
      <c r="B209" s="151" t="s">
        <v>2138</v>
      </c>
      <c r="C209" s="152"/>
      <c r="D209" s="152"/>
      <c r="E209" s="152" t="s">
        <v>2145</v>
      </c>
      <c r="F209" s="152"/>
      <c r="G209" s="152" t="s">
        <v>2139</v>
      </c>
      <c r="H209" s="152"/>
      <c r="I209" s="152"/>
      <c r="J209" s="152" t="s">
        <v>2145</v>
      </c>
      <c r="K209" s="152"/>
      <c r="L209" s="152" t="s">
        <v>2139</v>
      </c>
      <c r="M209" s="152" t="s">
        <v>2139</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6"/>
      <c r="B210" s="151" t="s">
        <v>2140</v>
      </c>
      <c r="C210" s="152"/>
      <c r="D210" s="152"/>
      <c r="E210" s="152"/>
      <c r="F210" s="152"/>
      <c r="G210" s="152"/>
      <c r="H210" s="152"/>
      <c r="I210" s="152"/>
      <c r="J210" s="152"/>
      <c r="K210" s="152"/>
      <c r="L210" s="152" t="s">
        <v>2141</v>
      </c>
      <c r="M210" s="152" t="s">
        <v>2146</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6"/>
      <c r="B211" s="151" t="s">
        <v>2093</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7"/>
      <c r="B212" s="134" t="s">
        <v>2163</v>
      </c>
      <c r="C212" s="136" t="s">
        <v>2165</v>
      </c>
      <c r="D212" s="136" t="s">
        <v>2164</v>
      </c>
      <c r="E212" s="136" t="s">
        <v>2165</v>
      </c>
      <c r="F212" s="136" t="s">
        <v>2164</v>
      </c>
      <c r="G212" s="136" t="s">
        <v>2165</v>
      </c>
      <c r="H212" s="136"/>
      <c r="I212" s="136" t="s">
        <v>2165</v>
      </c>
      <c r="J212" s="136" t="s">
        <v>2165</v>
      </c>
      <c r="K212" s="136"/>
      <c r="L212" s="136" t="s">
        <v>2165</v>
      </c>
      <c r="M212" s="136" t="s">
        <v>2165</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5" t="s">
        <v>2174</v>
      </c>
      <c r="B214" s="195" t="s">
        <v>2175</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6"/>
      <c r="B215" s="151" t="s">
        <v>2130</v>
      </c>
      <c r="C215" s="152" t="s">
        <v>2080</v>
      </c>
      <c r="D215" s="152" t="s">
        <v>2080</v>
      </c>
      <c r="E215" s="152" t="s">
        <v>2080</v>
      </c>
      <c r="F215" s="152" t="s">
        <v>2080</v>
      </c>
      <c r="G215" s="152" t="s">
        <v>2080</v>
      </c>
      <c r="H215" s="152"/>
      <c r="I215" s="152" t="s">
        <v>2173</v>
      </c>
      <c r="J215" s="152" t="s">
        <v>2173</v>
      </c>
      <c r="K215" s="152"/>
      <c r="L215" s="152" t="s">
        <v>2173</v>
      </c>
      <c r="M215" s="152" t="s">
        <v>2173</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6"/>
      <c r="B216" s="151" t="s">
        <v>2132</v>
      </c>
      <c r="C216" s="152">
        <v>2</v>
      </c>
      <c r="D216" s="152">
        <v>2</v>
      </c>
      <c r="E216" s="152">
        <v>3</v>
      </c>
      <c r="F216" s="152" t="s">
        <v>2133</v>
      </c>
      <c r="G216" s="152">
        <v>3</v>
      </c>
      <c r="H216" s="152"/>
      <c r="I216" s="152">
        <v>2</v>
      </c>
      <c r="J216" s="152">
        <v>3</v>
      </c>
      <c r="K216" s="152"/>
      <c r="L216" s="152">
        <v>2</v>
      </c>
      <c r="M216" s="152" t="s">
        <v>2133</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6"/>
      <c r="B217" s="151" t="s">
        <v>2135</v>
      </c>
      <c r="C217" s="152" t="s">
        <v>2136</v>
      </c>
      <c r="D217" s="152"/>
      <c r="E217" s="152"/>
      <c r="F217" s="152"/>
      <c r="G217" s="152" t="s">
        <v>2136</v>
      </c>
      <c r="H217" s="152"/>
      <c r="I217" s="152" t="s">
        <v>2136</v>
      </c>
      <c r="J217" s="152"/>
      <c r="K217" s="152"/>
      <c r="L217" s="152" t="s">
        <v>2137</v>
      </c>
      <c r="M217" s="152" t="s">
        <v>2137</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6"/>
      <c r="B218" s="151" t="s">
        <v>2138</v>
      </c>
      <c r="C218" s="152"/>
      <c r="D218" s="152"/>
      <c r="E218" s="152" t="s">
        <v>2145</v>
      </c>
      <c r="F218" s="152"/>
      <c r="G218" s="152" t="s">
        <v>2139</v>
      </c>
      <c r="H218" s="152"/>
      <c r="I218" s="152"/>
      <c r="J218" s="152" t="s">
        <v>2145</v>
      </c>
      <c r="K218" s="152"/>
      <c r="L218" s="152" t="s">
        <v>2139</v>
      </c>
      <c r="M218" s="152" t="s">
        <v>2139</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6"/>
      <c r="B219" s="151" t="s">
        <v>2140</v>
      </c>
      <c r="C219" s="152"/>
      <c r="D219" s="152"/>
      <c r="E219" s="152"/>
      <c r="F219" s="152"/>
      <c r="G219" s="152"/>
      <c r="H219" s="152"/>
      <c r="I219" s="152"/>
      <c r="J219" s="152"/>
      <c r="K219" s="152"/>
      <c r="L219" s="152" t="s">
        <v>2141</v>
      </c>
      <c r="M219" s="152" t="s">
        <v>2146</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6"/>
      <c r="B220" s="151" t="s">
        <v>2093</v>
      </c>
      <c r="C220" s="152"/>
      <c r="D220" s="152"/>
      <c r="E220" s="152"/>
      <c r="F220" s="152"/>
      <c r="G220" s="152"/>
      <c r="H220" s="152"/>
      <c r="I220" s="152"/>
      <c r="J220" s="152"/>
      <c r="K220" s="152"/>
      <c r="L220" s="152"/>
      <c r="M220" s="152"/>
      <c r="O220" s="125"/>
    </row>
    <row r="221" spans="1:58" s="124" customFormat="1" ht="16">
      <c r="A221" s="387"/>
      <c r="B221" s="134" t="s">
        <v>2163</v>
      </c>
      <c r="C221" s="136" t="s">
        <v>2165</v>
      </c>
      <c r="D221" s="136" t="s">
        <v>2164</v>
      </c>
      <c r="E221" s="136" t="s">
        <v>2165</v>
      </c>
      <c r="F221" s="136" t="s">
        <v>2164</v>
      </c>
      <c r="G221" s="136" t="s">
        <v>2165</v>
      </c>
      <c r="H221" s="136"/>
      <c r="I221" s="136" t="s">
        <v>2165</v>
      </c>
      <c r="J221" s="136" t="s">
        <v>2165</v>
      </c>
      <c r="K221" s="136"/>
      <c r="L221" s="136" t="s">
        <v>2165</v>
      </c>
      <c r="M221" s="136" t="s">
        <v>2165</v>
      </c>
      <c r="O221" s="125"/>
    </row>
    <row r="222" spans="1:58" s="124" customFormat="1" ht="16">
      <c r="O222" s="125"/>
    </row>
    <row r="223" spans="1:58" s="124" customFormat="1" ht="55">
      <c r="A223" s="388" t="s">
        <v>2176</v>
      </c>
      <c r="B223" s="195" t="s">
        <v>2123</v>
      </c>
      <c r="C223" s="184">
        <v>2</v>
      </c>
      <c r="D223" s="184">
        <v>3</v>
      </c>
      <c r="E223" s="184">
        <v>4</v>
      </c>
      <c r="F223" s="184">
        <v>5</v>
      </c>
      <c r="G223" s="184">
        <v>6</v>
      </c>
      <c r="H223" s="184"/>
      <c r="I223" s="184">
        <v>7</v>
      </c>
      <c r="J223" s="184">
        <v>9</v>
      </c>
      <c r="K223" s="184"/>
      <c r="L223" s="184">
        <v>12</v>
      </c>
      <c r="O223" s="125"/>
    </row>
    <row r="224" spans="1:58" s="124" customFormat="1" ht="16">
      <c r="A224" s="389"/>
      <c r="B224" s="151" t="s">
        <v>2130</v>
      </c>
      <c r="C224" s="152" t="s">
        <v>2124</v>
      </c>
      <c r="D224" s="152" t="s">
        <v>2124</v>
      </c>
      <c r="E224" s="152" t="s">
        <v>2125</v>
      </c>
      <c r="F224" s="152" t="s">
        <v>2125</v>
      </c>
      <c r="G224" s="152" t="s">
        <v>2080</v>
      </c>
      <c r="H224" s="152"/>
      <c r="I224" s="152" t="s">
        <v>2080</v>
      </c>
      <c r="J224" s="152" t="s">
        <v>2128</v>
      </c>
      <c r="K224" s="152"/>
      <c r="L224" s="152" t="s">
        <v>2128</v>
      </c>
      <c r="O224" s="125"/>
    </row>
    <row r="225" spans="1:12" s="124" customFormat="1" ht="16">
      <c r="A225" s="389"/>
      <c r="B225" s="151" t="s">
        <v>2132</v>
      </c>
      <c r="C225" s="152">
        <v>2</v>
      </c>
      <c r="D225" s="152" t="s">
        <v>2133</v>
      </c>
      <c r="E225" s="152">
        <v>2</v>
      </c>
      <c r="F225" s="152" t="s">
        <v>2133</v>
      </c>
      <c r="G225" s="152">
        <v>2</v>
      </c>
      <c r="H225" s="152"/>
      <c r="I225" s="152" t="s">
        <v>2133</v>
      </c>
      <c r="J225" s="152">
        <v>3</v>
      </c>
      <c r="K225" s="152"/>
      <c r="L225" s="152" t="s">
        <v>2134</v>
      </c>
    </row>
    <row r="226" spans="1:12" s="124" customFormat="1" ht="16">
      <c r="A226" s="389"/>
      <c r="B226" s="151" t="s">
        <v>2135</v>
      </c>
      <c r="C226" s="152"/>
      <c r="D226" s="152"/>
      <c r="E226" s="152"/>
      <c r="F226" s="152"/>
      <c r="G226" s="152" t="s">
        <v>2136</v>
      </c>
      <c r="H226" s="152"/>
      <c r="I226" s="152" t="s">
        <v>2136</v>
      </c>
      <c r="J226" s="152" t="s">
        <v>2136</v>
      </c>
      <c r="K226" s="152"/>
      <c r="L226" s="152" t="s">
        <v>2137</v>
      </c>
    </row>
    <row r="227" spans="1:12" s="124" customFormat="1" ht="16">
      <c r="A227" s="389"/>
      <c r="B227" s="151" t="s">
        <v>2138</v>
      </c>
      <c r="C227" s="152"/>
      <c r="D227" s="152"/>
      <c r="E227" s="152"/>
      <c r="F227" s="152"/>
      <c r="G227" s="152" t="s">
        <v>2139</v>
      </c>
      <c r="H227" s="152"/>
      <c r="I227" s="152"/>
      <c r="J227" s="152" t="s">
        <v>2139</v>
      </c>
      <c r="K227" s="152"/>
      <c r="L227" s="152" t="s">
        <v>2139</v>
      </c>
    </row>
    <row r="228" spans="1:12" s="124" customFormat="1" ht="16">
      <c r="A228" s="389"/>
      <c r="B228" s="151" t="s">
        <v>2140</v>
      </c>
      <c r="C228" s="152"/>
      <c r="D228" s="152"/>
      <c r="E228" s="152"/>
      <c r="F228" s="152"/>
      <c r="G228" s="152"/>
      <c r="H228" s="152"/>
      <c r="I228" s="152"/>
      <c r="J228" s="152"/>
      <c r="K228" s="152"/>
      <c r="L228" s="152" t="s">
        <v>2141</v>
      </c>
    </row>
    <row r="229" spans="1:12" s="124" customFormat="1" ht="16">
      <c r="A229" s="390"/>
      <c r="B229" s="134" t="s">
        <v>2093</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8" t="s">
        <v>2177</v>
      </c>
      <c r="B231" s="195" t="s">
        <v>2178</v>
      </c>
      <c r="C231" s="184">
        <v>2</v>
      </c>
      <c r="D231" s="184">
        <v>3</v>
      </c>
      <c r="E231" s="184">
        <v>4</v>
      </c>
      <c r="F231" s="184">
        <v>5</v>
      </c>
      <c r="G231" s="184">
        <v>6</v>
      </c>
      <c r="H231" s="184"/>
      <c r="I231" s="184">
        <v>7</v>
      </c>
      <c r="J231" s="184">
        <v>9</v>
      </c>
      <c r="K231" s="184"/>
      <c r="L231" s="184"/>
    </row>
    <row r="232" spans="1:12" s="124" customFormat="1" ht="16">
      <c r="A232" s="389"/>
      <c r="B232" s="151" t="s">
        <v>2130</v>
      </c>
      <c r="C232" s="152" t="s">
        <v>2124</v>
      </c>
      <c r="D232" s="152" t="s">
        <v>2124</v>
      </c>
      <c r="E232" s="152" t="s">
        <v>2125</v>
      </c>
      <c r="F232" s="152" t="s">
        <v>2125</v>
      </c>
      <c r="G232" s="152" t="s">
        <v>2080</v>
      </c>
      <c r="H232" s="152"/>
      <c r="I232" s="152" t="s">
        <v>2080</v>
      </c>
      <c r="J232" s="152" t="s">
        <v>2127</v>
      </c>
      <c r="K232" s="152"/>
      <c r="L232" s="152"/>
    </row>
    <row r="233" spans="1:12" s="124" customFormat="1" ht="16">
      <c r="A233" s="389"/>
      <c r="B233" s="151" t="s">
        <v>2132</v>
      </c>
      <c r="C233" s="152">
        <v>2</v>
      </c>
      <c r="D233" s="152" t="s">
        <v>2133</v>
      </c>
      <c r="E233" s="152">
        <v>2</v>
      </c>
      <c r="F233" s="152" t="s">
        <v>2133</v>
      </c>
      <c r="G233" s="152">
        <v>2</v>
      </c>
      <c r="H233" s="152"/>
      <c r="I233" s="152" t="s">
        <v>2133</v>
      </c>
      <c r="J233" s="152" t="s">
        <v>2133</v>
      </c>
      <c r="K233" s="152"/>
      <c r="L233" s="152"/>
    </row>
    <row r="234" spans="1:12" s="124" customFormat="1" ht="16">
      <c r="A234" s="389"/>
      <c r="B234" s="151" t="s">
        <v>2135</v>
      </c>
      <c r="C234" s="152"/>
      <c r="D234" s="152"/>
      <c r="E234" s="152"/>
      <c r="F234" s="152"/>
      <c r="G234" s="152"/>
      <c r="H234" s="152"/>
      <c r="I234" s="152"/>
      <c r="J234" s="152"/>
      <c r="K234" s="152"/>
      <c r="L234" s="152"/>
    </row>
    <row r="235" spans="1:12" s="124" customFormat="1" ht="16">
      <c r="A235" s="389"/>
      <c r="B235" s="151" t="s">
        <v>2138</v>
      </c>
      <c r="C235" s="152"/>
      <c r="D235" s="152"/>
      <c r="E235" s="152"/>
      <c r="F235" s="152"/>
      <c r="G235" s="152"/>
      <c r="H235" s="152"/>
      <c r="I235" s="152"/>
      <c r="J235" s="152"/>
      <c r="K235" s="152"/>
      <c r="L235" s="152"/>
    </row>
    <row r="236" spans="1:12" s="124" customFormat="1" ht="16">
      <c r="A236" s="389"/>
      <c r="B236" s="151" t="s">
        <v>2140</v>
      </c>
      <c r="C236" s="152"/>
      <c r="D236" s="152"/>
      <c r="E236" s="152"/>
      <c r="F236" s="152"/>
      <c r="G236" s="152"/>
      <c r="H236" s="152"/>
      <c r="I236" s="152"/>
      <c r="J236" s="152"/>
      <c r="K236" s="152"/>
      <c r="L236" s="152"/>
    </row>
    <row r="237" spans="1:12" s="124" customFormat="1" ht="16">
      <c r="A237" s="390"/>
      <c r="B237" s="134" t="s">
        <v>2093</v>
      </c>
      <c r="C237" s="136"/>
      <c r="D237" s="136"/>
      <c r="E237" s="136"/>
      <c r="F237" s="136"/>
      <c r="G237" s="136"/>
      <c r="H237" s="136"/>
      <c r="I237" s="136"/>
      <c r="J237" s="136"/>
      <c r="K237" s="136"/>
      <c r="L237" s="136"/>
    </row>
    <row r="238" spans="1:12" s="124" customFormat="1" ht="16">
      <c r="L238" s="123"/>
    </row>
    <row r="239" spans="1:12" s="124" customFormat="1" ht="55">
      <c r="A239" s="388" t="s">
        <v>2179</v>
      </c>
      <c r="B239" s="195" t="s">
        <v>2180</v>
      </c>
      <c r="C239" s="184">
        <v>2</v>
      </c>
      <c r="D239" s="184">
        <v>3</v>
      </c>
      <c r="E239" s="184">
        <v>4</v>
      </c>
      <c r="F239" s="184">
        <v>5</v>
      </c>
      <c r="G239" s="184">
        <v>6</v>
      </c>
      <c r="H239" s="184"/>
      <c r="I239" s="184">
        <v>7</v>
      </c>
      <c r="J239" s="184">
        <v>9</v>
      </c>
      <c r="K239" s="184"/>
      <c r="L239" s="184">
        <v>12</v>
      </c>
    </row>
    <row r="240" spans="1:12" s="124" customFormat="1" ht="16">
      <c r="A240" s="389"/>
      <c r="B240" s="151" t="s">
        <v>2130</v>
      </c>
      <c r="C240" s="152" t="s">
        <v>2080</v>
      </c>
      <c r="D240" s="152" t="s">
        <v>2080</v>
      </c>
      <c r="E240" s="152" t="s">
        <v>2128</v>
      </c>
      <c r="F240" s="152" t="s">
        <v>2128</v>
      </c>
      <c r="G240" s="152" t="s">
        <v>2128</v>
      </c>
      <c r="H240" s="152"/>
      <c r="I240" s="152" t="s">
        <v>2128</v>
      </c>
      <c r="J240" s="152" t="s">
        <v>2128</v>
      </c>
      <c r="K240" s="152"/>
      <c r="L240" s="152" t="s">
        <v>2128</v>
      </c>
    </row>
    <row r="241" spans="1:15" s="124" customFormat="1" ht="16">
      <c r="A241" s="389"/>
      <c r="B241" s="151" t="s">
        <v>2132</v>
      </c>
      <c r="C241" s="152">
        <v>2</v>
      </c>
      <c r="D241" s="152" t="s">
        <v>2133</v>
      </c>
      <c r="E241" s="152">
        <v>2</v>
      </c>
      <c r="F241" s="152" t="s">
        <v>2133</v>
      </c>
      <c r="G241" s="152" t="s">
        <v>2133</v>
      </c>
      <c r="H241" s="152"/>
      <c r="I241" s="152">
        <v>2</v>
      </c>
      <c r="J241" s="152">
        <v>2</v>
      </c>
      <c r="K241" s="152"/>
      <c r="L241" s="152" t="s">
        <v>2133</v>
      </c>
    </row>
    <row r="242" spans="1:15" s="124" customFormat="1" ht="16">
      <c r="A242" s="389"/>
      <c r="B242" s="151" t="s">
        <v>2135</v>
      </c>
      <c r="C242" s="152" t="s">
        <v>2136</v>
      </c>
      <c r="D242" s="152" t="s">
        <v>2136</v>
      </c>
      <c r="E242" s="152" t="s">
        <v>2136</v>
      </c>
      <c r="F242" s="152" t="s">
        <v>2136</v>
      </c>
      <c r="G242" s="152" t="s">
        <v>2136</v>
      </c>
      <c r="H242" s="152"/>
      <c r="I242" s="152" t="s">
        <v>2137</v>
      </c>
      <c r="J242" s="152" t="s">
        <v>2137</v>
      </c>
      <c r="K242" s="152"/>
      <c r="L242" s="152" t="s">
        <v>2137</v>
      </c>
    </row>
    <row r="243" spans="1:15" s="124" customFormat="1" ht="16">
      <c r="A243" s="389"/>
      <c r="B243" s="151" t="s">
        <v>2138</v>
      </c>
      <c r="C243" s="152" t="s">
        <v>2139</v>
      </c>
      <c r="D243" s="152" t="s">
        <v>2139</v>
      </c>
      <c r="E243" s="152" t="s">
        <v>2139</v>
      </c>
      <c r="F243" s="152" t="s">
        <v>2139</v>
      </c>
      <c r="G243" s="152" t="s">
        <v>2145</v>
      </c>
      <c r="H243" s="152"/>
      <c r="I243" s="152"/>
      <c r="J243" s="152"/>
      <c r="K243" s="152"/>
      <c r="L243" s="152"/>
    </row>
    <row r="244" spans="1:15" s="124" customFormat="1" ht="16">
      <c r="A244" s="389"/>
      <c r="B244" s="151" t="s">
        <v>2140</v>
      </c>
      <c r="C244" s="152"/>
      <c r="D244" s="152"/>
      <c r="E244" s="152"/>
      <c r="F244" s="152"/>
      <c r="G244" s="152"/>
      <c r="H244" s="152"/>
      <c r="I244" s="152" t="s">
        <v>2146</v>
      </c>
      <c r="J244" s="152" t="s">
        <v>2146</v>
      </c>
      <c r="K244" s="152"/>
      <c r="L244" s="152" t="s">
        <v>2141</v>
      </c>
    </row>
    <row r="245" spans="1:15" s="124" customFormat="1" ht="16">
      <c r="A245" s="390"/>
      <c r="B245" s="134" t="s">
        <v>2093</v>
      </c>
      <c r="C245" s="136"/>
      <c r="D245" s="136"/>
      <c r="E245" s="136"/>
      <c r="F245" s="136"/>
      <c r="G245" s="136"/>
      <c r="H245" s="136"/>
      <c r="I245" s="136" t="s">
        <v>2147</v>
      </c>
      <c r="J245" s="136" t="s">
        <v>2094</v>
      </c>
      <c r="K245" s="136"/>
      <c r="L245" s="136"/>
    </row>
    <row r="246" spans="1:15" s="124" customFormat="1" ht="16">
      <c r="C246" s="123"/>
      <c r="D246" s="123"/>
      <c r="E246" s="123"/>
      <c r="F246" s="123"/>
      <c r="G246" s="123"/>
      <c r="H246" s="123"/>
      <c r="I246" s="123"/>
      <c r="J246" s="123"/>
      <c r="K246" s="123"/>
      <c r="L246" s="123"/>
    </row>
    <row r="247" spans="1:15" s="124" customFormat="1" ht="74">
      <c r="A247" s="388" t="s">
        <v>2181</v>
      </c>
      <c r="B247" s="195" t="s">
        <v>2149</v>
      </c>
      <c r="C247" s="184">
        <v>2</v>
      </c>
      <c r="D247" s="184">
        <v>3</v>
      </c>
      <c r="E247" s="184">
        <v>4</v>
      </c>
      <c r="F247" s="184">
        <v>5</v>
      </c>
      <c r="G247" s="184">
        <v>6</v>
      </c>
      <c r="H247" s="184"/>
      <c r="I247" s="184">
        <v>7</v>
      </c>
      <c r="J247" s="184"/>
      <c r="K247" s="184"/>
      <c r="L247" s="184"/>
    </row>
    <row r="248" spans="1:15" s="124" customFormat="1" ht="16">
      <c r="A248" s="389"/>
      <c r="B248" s="151" t="s">
        <v>2130</v>
      </c>
      <c r="C248" s="152" t="s">
        <v>2080</v>
      </c>
      <c r="D248" s="152" t="s">
        <v>2080</v>
      </c>
      <c r="E248" s="152" t="s">
        <v>2127</v>
      </c>
      <c r="F248" s="152" t="s">
        <v>2127</v>
      </c>
      <c r="G248" s="152" t="s">
        <v>2126</v>
      </c>
      <c r="H248" s="152"/>
      <c r="I248" s="152" t="s">
        <v>2126</v>
      </c>
      <c r="J248" s="152"/>
      <c r="K248" s="152"/>
      <c r="L248" s="152"/>
    </row>
    <row r="249" spans="1:15" s="124" customFormat="1" ht="16">
      <c r="A249" s="389"/>
      <c r="B249" s="151" t="s">
        <v>2132</v>
      </c>
      <c r="C249" s="152">
        <v>2</v>
      </c>
      <c r="D249" s="152" t="s">
        <v>2133</v>
      </c>
      <c r="E249" s="152">
        <v>2</v>
      </c>
      <c r="F249" s="152" t="s">
        <v>2133</v>
      </c>
      <c r="G249" s="152">
        <v>2</v>
      </c>
      <c r="H249" s="152"/>
      <c r="I249" s="152" t="s">
        <v>2133</v>
      </c>
      <c r="J249" s="152"/>
      <c r="K249" s="152"/>
      <c r="L249" s="152"/>
    </row>
    <row r="250" spans="1:15" s="124" customFormat="1" ht="16">
      <c r="A250" s="389"/>
      <c r="B250" s="151" t="s">
        <v>2135</v>
      </c>
      <c r="C250" s="152"/>
      <c r="D250" s="152"/>
      <c r="E250" s="152"/>
      <c r="F250" s="152"/>
      <c r="G250" s="152"/>
      <c r="H250" s="152"/>
      <c r="I250" s="152"/>
      <c r="J250" s="152"/>
      <c r="K250" s="152"/>
      <c r="L250" s="152"/>
    </row>
    <row r="251" spans="1:15" s="124" customFormat="1" ht="16">
      <c r="A251" s="389"/>
      <c r="B251" s="151" t="s">
        <v>2138</v>
      </c>
      <c r="C251" s="152"/>
      <c r="D251" s="152"/>
      <c r="E251" s="152"/>
      <c r="F251" s="152"/>
      <c r="G251" s="152"/>
      <c r="H251" s="152"/>
      <c r="I251" s="152"/>
      <c r="J251" s="152"/>
      <c r="K251" s="152"/>
      <c r="L251" s="152"/>
    </row>
    <row r="252" spans="1:15" s="124" customFormat="1" ht="16">
      <c r="A252" s="389"/>
      <c r="B252" s="151" t="s">
        <v>2140</v>
      </c>
      <c r="C252" s="152"/>
      <c r="D252" s="152"/>
      <c r="E252" s="152"/>
      <c r="F252" s="152"/>
      <c r="G252" s="152"/>
      <c r="H252" s="152"/>
      <c r="I252" s="152"/>
      <c r="J252" s="152"/>
      <c r="K252" s="152"/>
      <c r="L252" s="152"/>
    </row>
    <row r="253" spans="1:15" s="124" customFormat="1" ht="16">
      <c r="A253" s="390"/>
      <c r="B253" s="134" t="s">
        <v>2093</v>
      </c>
      <c r="C253" s="136"/>
      <c r="D253" s="136"/>
      <c r="E253" s="136"/>
      <c r="F253" s="136"/>
      <c r="G253" s="136"/>
      <c r="H253" s="136"/>
      <c r="I253" s="136"/>
      <c r="J253" s="136"/>
      <c r="K253" s="136"/>
      <c r="L253" s="136"/>
    </row>
    <row r="254" spans="1:15" s="124" customFormat="1" ht="16">
      <c r="O254" s="125"/>
    </row>
    <row r="255" spans="1:15" s="124" customFormat="1" ht="55">
      <c r="A255" s="385" t="s">
        <v>2182</v>
      </c>
      <c r="B255" s="195" t="s">
        <v>2153</v>
      </c>
      <c r="C255" s="184">
        <v>2</v>
      </c>
      <c r="D255" s="184">
        <v>3</v>
      </c>
      <c r="E255" s="184">
        <v>4</v>
      </c>
      <c r="F255" s="184">
        <v>5</v>
      </c>
      <c r="G255" s="184">
        <v>6</v>
      </c>
      <c r="H255" s="184"/>
      <c r="I255" s="184">
        <v>7</v>
      </c>
      <c r="J255" s="184">
        <v>9</v>
      </c>
      <c r="K255" s="184"/>
      <c r="L255" s="184">
        <v>12</v>
      </c>
    </row>
    <row r="256" spans="1:15" s="124" customFormat="1" ht="16">
      <c r="A256" s="386"/>
      <c r="B256" s="151" t="s">
        <v>2130</v>
      </c>
      <c r="C256" s="152" t="s">
        <v>2124</v>
      </c>
      <c r="D256" s="152" t="s">
        <v>2124</v>
      </c>
      <c r="E256" s="152" t="s">
        <v>2125</v>
      </c>
      <c r="F256" s="152" t="s">
        <v>2125</v>
      </c>
      <c r="G256" s="152" t="s">
        <v>2080</v>
      </c>
      <c r="H256" s="152"/>
      <c r="I256" s="152" t="s">
        <v>2080</v>
      </c>
      <c r="J256" s="152" t="s">
        <v>2128</v>
      </c>
      <c r="K256" s="152"/>
      <c r="L256" s="152" t="s">
        <v>2128</v>
      </c>
    </row>
    <row r="257" spans="1:12" s="124" customFormat="1" ht="16">
      <c r="A257" s="386"/>
      <c r="B257" s="151" t="s">
        <v>2132</v>
      </c>
      <c r="C257" s="152">
        <v>2</v>
      </c>
      <c r="D257" s="152" t="s">
        <v>2133</v>
      </c>
      <c r="E257" s="152">
        <v>2</v>
      </c>
      <c r="F257" s="152" t="s">
        <v>2133</v>
      </c>
      <c r="G257" s="152">
        <v>2</v>
      </c>
      <c r="H257" s="152"/>
      <c r="I257" s="152" t="s">
        <v>2133</v>
      </c>
      <c r="J257" s="152">
        <v>3</v>
      </c>
      <c r="K257" s="152"/>
      <c r="L257" s="152" t="s">
        <v>2134</v>
      </c>
    </row>
    <row r="258" spans="1:12" s="124" customFormat="1" ht="16">
      <c r="A258" s="386"/>
      <c r="B258" s="151" t="s">
        <v>2135</v>
      </c>
      <c r="C258" s="152"/>
      <c r="D258" s="152"/>
      <c r="E258" s="152"/>
      <c r="F258" s="152"/>
      <c r="G258" s="152" t="s">
        <v>2136</v>
      </c>
      <c r="H258" s="152"/>
      <c r="I258" s="152" t="s">
        <v>2136</v>
      </c>
      <c r="J258" s="152" t="s">
        <v>2136</v>
      </c>
      <c r="K258" s="152"/>
      <c r="L258" s="152" t="s">
        <v>2137</v>
      </c>
    </row>
    <row r="259" spans="1:12" s="124" customFormat="1" ht="16">
      <c r="A259" s="386"/>
      <c r="B259" s="151" t="s">
        <v>2138</v>
      </c>
      <c r="C259" s="152"/>
      <c r="D259" s="152"/>
      <c r="E259" s="152"/>
      <c r="F259" s="152"/>
      <c r="G259" s="152" t="s">
        <v>2139</v>
      </c>
      <c r="H259" s="152"/>
      <c r="I259" s="152"/>
      <c r="J259" s="152" t="s">
        <v>2139</v>
      </c>
      <c r="K259" s="152"/>
      <c r="L259" s="152" t="s">
        <v>2139</v>
      </c>
    </row>
    <row r="260" spans="1:12" s="124" customFormat="1" ht="16">
      <c r="A260" s="386"/>
      <c r="B260" s="151" t="s">
        <v>2140</v>
      </c>
      <c r="C260" s="152"/>
      <c r="D260" s="152"/>
      <c r="E260" s="152"/>
      <c r="F260" s="152"/>
      <c r="G260" s="152"/>
      <c r="H260" s="152"/>
      <c r="I260" s="152"/>
      <c r="J260" s="152"/>
      <c r="K260" s="152"/>
      <c r="L260" s="152" t="s">
        <v>2141</v>
      </c>
    </row>
    <row r="261" spans="1:12" s="124" customFormat="1" ht="16">
      <c r="A261" s="387"/>
      <c r="B261" s="134" t="s">
        <v>2093</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5" t="s">
        <v>2183</v>
      </c>
      <c r="B263" s="195" t="s">
        <v>2155</v>
      </c>
      <c r="C263" s="184">
        <v>2</v>
      </c>
      <c r="D263" s="184">
        <v>3</v>
      </c>
      <c r="E263" s="184">
        <v>4</v>
      </c>
      <c r="F263" s="184">
        <v>5</v>
      </c>
      <c r="G263" s="184">
        <v>6</v>
      </c>
      <c r="H263" s="184"/>
      <c r="I263" s="184">
        <v>7</v>
      </c>
      <c r="J263" s="184">
        <v>9</v>
      </c>
      <c r="K263" s="184"/>
      <c r="L263" s="184"/>
    </row>
    <row r="264" spans="1:12" s="124" customFormat="1" ht="16">
      <c r="A264" s="386"/>
      <c r="B264" s="151" t="s">
        <v>2130</v>
      </c>
      <c r="C264" s="152" t="s">
        <v>2124</v>
      </c>
      <c r="D264" s="152" t="s">
        <v>2124</v>
      </c>
      <c r="E264" s="152" t="s">
        <v>2125</v>
      </c>
      <c r="F264" s="152" t="s">
        <v>2125</v>
      </c>
      <c r="G264" s="152" t="s">
        <v>2080</v>
      </c>
      <c r="H264" s="152"/>
      <c r="I264" s="152" t="s">
        <v>2080</v>
      </c>
      <c r="J264" s="152" t="s">
        <v>2127</v>
      </c>
      <c r="K264" s="152"/>
      <c r="L264" s="152"/>
    </row>
    <row r="265" spans="1:12" s="124" customFormat="1" ht="16">
      <c r="A265" s="386"/>
      <c r="B265" s="151" t="s">
        <v>2132</v>
      </c>
      <c r="C265" s="152">
        <v>2</v>
      </c>
      <c r="D265" s="152" t="s">
        <v>2133</v>
      </c>
      <c r="E265" s="152">
        <v>2</v>
      </c>
      <c r="F265" s="152" t="s">
        <v>2133</v>
      </c>
      <c r="G265" s="152">
        <v>2</v>
      </c>
      <c r="H265" s="152"/>
      <c r="I265" s="152" t="s">
        <v>2133</v>
      </c>
      <c r="J265" s="152" t="s">
        <v>2133</v>
      </c>
      <c r="K265" s="152"/>
      <c r="L265" s="152"/>
    </row>
    <row r="266" spans="1:12" s="124" customFormat="1" ht="16">
      <c r="A266" s="386"/>
      <c r="B266" s="151" t="s">
        <v>2135</v>
      </c>
      <c r="C266" s="152"/>
      <c r="D266" s="152"/>
      <c r="E266" s="152"/>
      <c r="F266" s="152"/>
      <c r="G266" s="152"/>
      <c r="H266" s="152"/>
      <c r="I266" s="152"/>
      <c r="J266" s="152"/>
      <c r="K266" s="152"/>
      <c r="L266" s="152"/>
    </row>
    <row r="267" spans="1:12" s="124" customFormat="1" ht="16">
      <c r="A267" s="386"/>
      <c r="B267" s="151" t="s">
        <v>2138</v>
      </c>
      <c r="C267" s="152"/>
      <c r="D267" s="152"/>
      <c r="E267" s="152"/>
      <c r="F267" s="152"/>
      <c r="G267" s="152"/>
      <c r="H267" s="152"/>
      <c r="I267" s="152"/>
      <c r="J267" s="152"/>
      <c r="K267" s="152"/>
      <c r="L267" s="152"/>
    </row>
    <row r="268" spans="1:12" s="124" customFormat="1" ht="16">
      <c r="A268" s="386"/>
      <c r="B268" s="151" t="s">
        <v>2140</v>
      </c>
      <c r="C268" s="152"/>
      <c r="D268" s="152"/>
      <c r="E268" s="152"/>
      <c r="F268" s="152"/>
      <c r="G268" s="152"/>
      <c r="H268" s="152"/>
      <c r="I268" s="152"/>
      <c r="J268" s="152"/>
      <c r="K268" s="152"/>
      <c r="L268" s="152"/>
    </row>
    <row r="269" spans="1:12" s="124" customFormat="1" ht="16">
      <c r="A269" s="387"/>
      <c r="B269" s="134" t="s">
        <v>2093</v>
      </c>
      <c r="C269" s="136"/>
      <c r="D269" s="136"/>
      <c r="E269" s="136"/>
      <c r="F269" s="136"/>
      <c r="G269" s="136"/>
      <c r="H269" s="136"/>
      <c r="I269" s="136"/>
      <c r="J269" s="136"/>
      <c r="K269" s="136"/>
      <c r="L269" s="136"/>
    </row>
    <row r="270" spans="1:12" s="124" customFormat="1" ht="16">
      <c r="A270" s="203"/>
      <c r="L270" s="123"/>
    </row>
    <row r="271" spans="1:12" s="124" customFormat="1" ht="55">
      <c r="A271" s="385" t="s">
        <v>2184</v>
      </c>
      <c r="B271" s="195" t="s">
        <v>2157</v>
      </c>
      <c r="C271" s="184">
        <v>2</v>
      </c>
      <c r="D271" s="184">
        <v>3</v>
      </c>
      <c r="E271" s="184">
        <v>4</v>
      </c>
      <c r="F271" s="184">
        <v>5</v>
      </c>
      <c r="G271" s="184">
        <v>6</v>
      </c>
      <c r="H271" s="184"/>
      <c r="I271" s="184">
        <v>7</v>
      </c>
      <c r="J271" s="184">
        <v>9</v>
      </c>
      <c r="K271" s="184"/>
      <c r="L271" s="184">
        <v>12</v>
      </c>
    </row>
    <row r="272" spans="1:12" s="124" customFormat="1" ht="16">
      <c r="A272" s="386"/>
      <c r="B272" s="151" t="s">
        <v>2130</v>
      </c>
      <c r="C272" s="152" t="s">
        <v>2080</v>
      </c>
      <c r="D272" s="152" t="s">
        <v>2080</v>
      </c>
      <c r="E272" s="152" t="s">
        <v>2128</v>
      </c>
      <c r="F272" s="152" t="s">
        <v>2128</v>
      </c>
      <c r="G272" s="152" t="s">
        <v>2128</v>
      </c>
      <c r="H272" s="152"/>
      <c r="I272" s="152" t="s">
        <v>2128</v>
      </c>
      <c r="J272" s="152" t="s">
        <v>2128</v>
      </c>
      <c r="K272" s="152"/>
      <c r="L272" s="152" t="s">
        <v>2128</v>
      </c>
    </row>
    <row r="273" spans="1:15" s="124" customFormat="1" ht="16">
      <c r="A273" s="386"/>
      <c r="B273" s="151" t="s">
        <v>2132</v>
      </c>
      <c r="C273" s="152">
        <v>2</v>
      </c>
      <c r="D273" s="152" t="s">
        <v>2133</v>
      </c>
      <c r="E273" s="152">
        <v>2</v>
      </c>
      <c r="F273" s="152" t="s">
        <v>2133</v>
      </c>
      <c r="G273" s="152" t="s">
        <v>2133</v>
      </c>
      <c r="H273" s="152"/>
      <c r="I273" s="152">
        <v>2</v>
      </c>
      <c r="J273" s="152">
        <v>2</v>
      </c>
      <c r="K273" s="152"/>
      <c r="L273" s="152" t="s">
        <v>2133</v>
      </c>
    </row>
    <row r="274" spans="1:15" s="124" customFormat="1" ht="16">
      <c r="A274" s="386"/>
      <c r="B274" s="151" t="s">
        <v>2135</v>
      </c>
      <c r="C274" s="152" t="s">
        <v>2136</v>
      </c>
      <c r="D274" s="152" t="s">
        <v>2136</v>
      </c>
      <c r="E274" s="152" t="s">
        <v>2136</v>
      </c>
      <c r="F274" s="152" t="s">
        <v>2136</v>
      </c>
      <c r="G274" s="152" t="s">
        <v>2136</v>
      </c>
      <c r="H274" s="152"/>
      <c r="I274" s="152" t="s">
        <v>2137</v>
      </c>
      <c r="J274" s="152" t="s">
        <v>2137</v>
      </c>
      <c r="K274" s="152"/>
      <c r="L274" s="152" t="s">
        <v>2137</v>
      </c>
    </row>
    <row r="275" spans="1:15" s="124" customFormat="1" ht="16">
      <c r="A275" s="386"/>
      <c r="B275" s="151" t="s">
        <v>2138</v>
      </c>
      <c r="C275" s="152" t="s">
        <v>2139</v>
      </c>
      <c r="D275" s="152" t="s">
        <v>2139</v>
      </c>
      <c r="E275" s="152" t="s">
        <v>2139</v>
      </c>
      <c r="F275" s="152" t="s">
        <v>2139</v>
      </c>
      <c r="G275" s="152" t="s">
        <v>2145</v>
      </c>
      <c r="H275" s="152"/>
      <c r="I275" s="152"/>
      <c r="J275" s="152"/>
      <c r="K275" s="152"/>
      <c r="L275" s="152"/>
    </row>
    <row r="276" spans="1:15" s="124" customFormat="1" ht="16">
      <c r="A276" s="386"/>
      <c r="B276" s="151" t="s">
        <v>2140</v>
      </c>
      <c r="C276" s="152"/>
      <c r="D276" s="152"/>
      <c r="E276" s="152"/>
      <c r="F276" s="152"/>
      <c r="G276" s="152"/>
      <c r="H276" s="152"/>
      <c r="I276" s="152" t="s">
        <v>2146</v>
      </c>
      <c r="J276" s="152" t="s">
        <v>2146</v>
      </c>
      <c r="K276" s="152"/>
      <c r="L276" s="152" t="s">
        <v>2141</v>
      </c>
    </row>
    <row r="277" spans="1:15" s="124" customFormat="1" ht="16">
      <c r="A277" s="387"/>
      <c r="B277" s="134" t="s">
        <v>2093</v>
      </c>
      <c r="C277" s="136"/>
      <c r="D277" s="136"/>
      <c r="E277" s="136"/>
      <c r="F277" s="136"/>
      <c r="G277" s="136"/>
      <c r="H277" s="136"/>
      <c r="I277" s="136" t="s">
        <v>2147</v>
      </c>
      <c r="J277" s="136" t="s">
        <v>2094</v>
      </c>
      <c r="K277" s="136"/>
      <c r="L277" s="136"/>
    </row>
    <row r="278" spans="1:15" s="124" customFormat="1" ht="16">
      <c r="C278" s="123"/>
      <c r="D278" s="123"/>
      <c r="E278" s="123"/>
      <c r="F278" s="123"/>
      <c r="G278" s="123"/>
      <c r="H278" s="123"/>
      <c r="I278" s="123"/>
      <c r="J278" s="123"/>
      <c r="K278" s="123"/>
      <c r="L278" s="123"/>
    </row>
    <row r="279" spans="1:15" s="124" customFormat="1" ht="74">
      <c r="A279" s="385" t="s">
        <v>2185</v>
      </c>
      <c r="B279" s="195" t="s">
        <v>2159</v>
      </c>
      <c r="C279" s="184">
        <v>2</v>
      </c>
      <c r="D279" s="184">
        <v>3</v>
      </c>
      <c r="E279" s="184">
        <v>4</v>
      </c>
      <c r="F279" s="184">
        <v>5</v>
      </c>
      <c r="G279" s="184">
        <v>6</v>
      </c>
      <c r="H279" s="184"/>
      <c r="I279" s="184">
        <v>7</v>
      </c>
      <c r="J279" s="184"/>
      <c r="K279" s="184"/>
      <c r="L279" s="184"/>
    </row>
    <row r="280" spans="1:15" s="124" customFormat="1" ht="16">
      <c r="A280" s="386"/>
      <c r="B280" s="151" t="s">
        <v>2130</v>
      </c>
      <c r="C280" s="152" t="s">
        <v>2080</v>
      </c>
      <c r="D280" s="152" t="s">
        <v>2080</v>
      </c>
      <c r="E280" s="152" t="s">
        <v>2127</v>
      </c>
      <c r="F280" s="152" t="s">
        <v>2127</v>
      </c>
      <c r="G280" s="152" t="s">
        <v>2126</v>
      </c>
      <c r="H280" s="152"/>
      <c r="I280" s="152" t="s">
        <v>2126</v>
      </c>
      <c r="J280" s="152"/>
      <c r="K280" s="152"/>
      <c r="L280" s="152"/>
    </row>
    <row r="281" spans="1:15" s="124" customFormat="1" ht="16">
      <c r="A281" s="386"/>
      <c r="B281" s="151" t="s">
        <v>2132</v>
      </c>
      <c r="C281" s="152">
        <v>2</v>
      </c>
      <c r="D281" s="152" t="s">
        <v>2133</v>
      </c>
      <c r="E281" s="152">
        <v>2</v>
      </c>
      <c r="F281" s="152" t="s">
        <v>2133</v>
      </c>
      <c r="G281" s="152">
        <v>2</v>
      </c>
      <c r="H281" s="152"/>
      <c r="I281" s="152" t="s">
        <v>2133</v>
      </c>
      <c r="J281" s="152"/>
      <c r="K281" s="152"/>
      <c r="L281" s="152"/>
    </row>
    <row r="282" spans="1:15" s="124" customFormat="1" ht="16">
      <c r="A282" s="386"/>
      <c r="B282" s="151" t="s">
        <v>2135</v>
      </c>
      <c r="C282" s="152"/>
      <c r="D282" s="152"/>
      <c r="E282" s="152"/>
      <c r="F282" s="152"/>
      <c r="G282" s="152"/>
      <c r="H282" s="152"/>
      <c r="I282" s="152"/>
      <c r="J282" s="152"/>
      <c r="K282" s="152"/>
      <c r="L282" s="152"/>
    </row>
    <row r="283" spans="1:15" s="124" customFormat="1" ht="16">
      <c r="A283" s="386"/>
      <c r="B283" s="151" t="s">
        <v>2138</v>
      </c>
      <c r="C283" s="152"/>
      <c r="D283" s="152"/>
      <c r="E283" s="152"/>
      <c r="F283" s="152"/>
      <c r="G283" s="152"/>
      <c r="H283" s="152"/>
      <c r="I283" s="152"/>
      <c r="J283" s="152"/>
      <c r="K283" s="152"/>
      <c r="L283" s="152"/>
    </row>
    <row r="284" spans="1:15" s="124" customFormat="1" ht="16">
      <c r="A284" s="386"/>
      <c r="B284" s="151" t="s">
        <v>2140</v>
      </c>
      <c r="C284" s="152"/>
      <c r="D284" s="152"/>
      <c r="E284" s="152"/>
      <c r="F284" s="152"/>
      <c r="G284" s="152"/>
      <c r="H284" s="152"/>
      <c r="I284" s="152"/>
      <c r="J284" s="152"/>
      <c r="K284" s="152"/>
      <c r="L284" s="152"/>
    </row>
    <row r="285" spans="1:15" s="124" customFormat="1" ht="16">
      <c r="A285" s="387"/>
      <c r="B285" s="134" t="s">
        <v>2093</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2025-04-24T12:34:19Z</dcterms:modified>
</cp:coreProperties>
</file>